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66925"/>
  <mc:AlternateContent xmlns:mc="http://schemas.openxmlformats.org/markup-compatibility/2006">
    <mc:Choice Requires="x15">
      <x15ac:absPath xmlns:x15ac="http://schemas.microsoft.com/office/spreadsheetml/2010/11/ac" url="C:\Users\tjoyc\Downloads\2021 Results\"/>
    </mc:Choice>
  </mc:AlternateContent>
  <xr:revisionPtr revIDLastSave="0" documentId="13_ncr:20001_{CBE2FA7F-7360-4EB4-A011-2D0640BAE8A4}" xr6:coauthVersionLast="47" xr6:coauthVersionMax="47" xr10:uidLastSave="{00000000-0000-0000-0000-000000000000}"/>
  <bookViews>
    <workbookView xWindow="-108" yWindow="-108" windowWidth="23256" windowHeight="12456" firstSheet="1" activeTab="1" xr2:uid="{00000000-000D-0000-FFFF-FFFF00000000}"/>
  </bookViews>
  <sheets>
    <sheet name="AdminNotes" sheetId="3" state="hidden"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AdminDashboard" sheetId="12" state="hidden" r:id="rId10"/>
    <sheet name="Lookup-TOC" sheetId="13" state="hidden" r:id="rId11"/>
    <sheet name="Lookup-DiverRoster" sheetId="14" state="hidden" r:id="rId12"/>
    <sheet name="Prep-Div-Emails" sheetId="15" state="hidden" r:id="rId13"/>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5" l="1"/>
  <c r="B23" i="15"/>
  <c r="B22" i="15"/>
  <c r="B21" i="15"/>
  <c r="A21" i="15"/>
  <c r="E20" i="15"/>
  <c r="C20" i="15"/>
  <c r="B20" i="15"/>
  <c r="A20" i="15"/>
  <c r="E19" i="15"/>
  <c r="C19" i="15"/>
  <c r="B19" i="15"/>
  <c r="A19" i="15"/>
  <c r="F18" i="15"/>
  <c r="E18" i="15"/>
  <c r="C18" i="15"/>
  <c r="B18" i="15"/>
  <c r="A18" i="15"/>
  <c r="F17" i="15"/>
  <c r="E17" i="15"/>
  <c r="C17" i="15"/>
  <c r="B17" i="15"/>
  <c r="A17" i="15"/>
  <c r="F16" i="15"/>
  <c r="E16" i="15"/>
  <c r="C16" i="15"/>
  <c r="B16" i="15"/>
  <c r="A16" i="15"/>
  <c r="H15" i="15"/>
  <c r="G15" i="15"/>
  <c r="F15" i="15"/>
  <c r="E15" i="15"/>
  <c r="D15" i="15"/>
  <c r="C15" i="15"/>
  <c r="B15" i="15"/>
  <c r="A15" i="15"/>
  <c r="H14" i="15"/>
  <c r="G14" i="15"/>
  <c r="F14" i="15"/>
  <c r="E14" i="15"/>
  <c r="D14" i="15"/>
  <c r="C14" i="15"/>
  <c r="B14" i="15"/>
  <c r="A14" i="15"/>
  <c r="H13" i="15"/>
  <c r="G13" i="15"/>
  <c r="F13" i="15"/>
  <c r="E13" i="15"/>
  <c r="D13" i="15"/>
  <c r="C13" i="15"/>
  <c r="B13" i="15"/>
  <c r="A13" i="15"/>
  <c r="H12" i="15"/>
  <c r="G12" i="15"/>
  <c r="F12" i="15"/>
  <c r="E12" i="15"/>
  <c r="D12" i="15"/>
  <c r="C12" i="15"/>
  <c r="B12" i="15"/>
  <c r="A12" i="15"/>
  <c r="H11" i="15"/>
  <c r="G11" i="15"/>
  <c r="F11" i="15"/>
  <c r="E11" i="15"/>
  <c r="D11" i="15"/>
  <c r="C11" i="15"/>
  <c r="B11" i="15"/>
  <c r="A11" i="15"/>
  <c r="H10" i="15"/>
  <c r="G10" i="15"/>
  <c r="F10" i="15"/>
  <c r="E10" i="15"/>
  <c r="D10" i="15"/>
  <c r="C10" i="15"/>
  <c r="B10" i="15"/>
  <c r="A10" i="15"/>
  <c r="H9" i="15"/>
  <c r="G9" i="15"/>
  <c r="F9" i="15"/>
  <c r="E9" i="15"/>
  <c r="D9" i="15"/>
  <c r="C9" i="15"/>
  <c r="B9" i="15"/>
  <c r="A9" i="15"/>
  <c r="H8" i="15"/>
  <c r="G8" i="15"/>
  <c r="F8" i="15"/>
  <c r="E8" i="15"/>
  <c r="D8" i="15"/>
  <c r="C8" i="15"/>
  <c r="B8" i="15"/>
  <c r="A8" i="15"/>
  <c r="H7" i="15"/>
  <c r="G7" i="15"/>
  <c r="F7" i="15"/>
  <c r="E7" i="15"/>
  <c r="D7" i="15"/>
  <c r="C7" i="15"/>
  <c r="B7" i="15"/>
  <c r="A7" i="15"/>
  <c r="H6" i="15"/>
  <c r="G6" i="15"/>
  <c r="F6" i="15"/>
  <c r="E6" i="15"/>
  <c r="D6" i="15"/>
  <c r="C6" i="15"/>
  <c r="B6" i="15"/>
  <c r="A6" i="15"/>
  <c r="H5" i="15"/>
  <c r="G5" i="15"/>
  <c r="F5" i="15"/>
  <c r="E5" i="15"/>
  <c r="D5" i="15"/>
  <c r="C5" i="15"/>
  <c r="B5" i="15"/>
  <c r="A5" i="15"/>
  <c r="H4" i="15"/>
  <c r="G4" i="15"/>
  <c r="F4" i="15"/>
  <c r="E4" i="15"/>
  <c r="D4" i="15"/>
  <c r="C4" i="15"/>
  <c r="B4" i="15"/>
  <c r="A4" i="15"/>
  <c r="A3" i="15"/>
  <c r="G2395" i="14"/>
  <c r="F2395" i="14"/>
  <c r="E2395" i="14"/>
  <c r="D2395" i="14"/>
  <c r="C2395" i="14"/>
  <c r="B2395" i="14"/>
  <c r="G2394" i="14"/>
  <c r="F2394" i="14"/>
  <c r="E2394" i="14"/>
  <c r="D2394" i="14"/>
  <c r="C2394" i="14"/>
  <c r="B2394" i="14"/>
  <c r="G2393" i="14"/>
  <c r="F2393" i="14"/>
  <c r="E2393" i="14"/>
  <c r="D2393" i="14"/>
  <c r="C2393" i="14"/>
  <c r="B2393" i="14"/>
  <c r="G2392" i="14"/>
  <c r="F2392" i="14"/>
  <c r="E2392" i="14"/>
  <c r="D2392" i="14"/>
  <c r="C2392" i="14"/>
  <c r="B2392" i="14"/>
  <c r="G2391" i="14"/>
  <c r="F2391" i="14"/>
  <c r="E2391" i="14"/>
  <c r="D2391" i="14"/>
  <c r="C2391" i="14"/>
  <c r="B2391" i="14"/>
  <c r="G2390" i="14"/>
  <c r="F2390" i="14"/>
  <c r="E2390" i="14"/>
  <c r="D2390" i="14"/>
  <c r="C2390" i="14"/>
  <c r="B2390" i="14"/>
  <c r="G2389" i="14"/>
  <c r="F2389" i="14"/>
  <c r="E2389" i="14"/>
  <c r="D2389" i="14"/>
  <c r="C2389" i="14"/>
  <c r="B2389" i="14"/>
  <c r="G2388" i="14"/>
  <c r="F2388" i="14"/>
  <c r="E2388" i="14"/>
  <c r="D2388" i="14"/>
  <c r="C2388" i="14"/>
  <c r="B2388" i="14"/>
  <c r="G2387" i="14"/>
  <c r="F2387" i="14"/>
  <c r="E2387" i="14"/>
  <c r="D2387" i="14"/>
  <c r="C2387" i="14"/>
  <c r="B2387" i="14"/>
  <c r="G2386" i="14"/>
  <c r="F2386" i="14"/>
  <c r="E2386" i="14"/>
  <c r="D2386" i="14"/>
  <c r="C2386" i="14"/>
  <c r="B2386" i="14"/>
  <c r="G2385" i="14"/>
  <c r="F2385" i="14"/>
  <c r="E2385" i="14"/>
  <c r="D2385" i="14"/>
  <c r="C2385" i="14"/>
  <c r="B2385" i="14"/>
  <c r="G2384" i="14"/>
  <c r="F2384" i="14"/>
  <c r="E2384" i="14"/>
  <c r="D2384" i="14"/>
  <c r="C2384" i="14"/>
  <c r="B2384" i="14"/>
  <c r="G2383" i="14"/>
  <c r="F2383" i="14"/>
  <c r="E2383" i="14"/>
  <c r="D2383" i="14"/>
  <c r="C2383" i="14"/>
  <c r="B2383" i="14"/>
  <c r="G2382" i="14"/>
  <c r="F2382" i="14"/>
  <c r="E2382" i="14"/>
  <c r="D2382" i="14"/>
  <c r="C2382" i="14"/>
  <c r="B2382" i="14"/>
  <c r="G2381" i="14"/>
  <c r="F2381" i="14"/>
  <c r="E2381" i="14"/>
  <c r="D2381" i="14"/>
  <c r="C2381" i="14"/>
  <c r="B2381" i="14"/>
  <c r="G2380" i="14"/>
  <c r="F2380" i="14"/>
  <c r="E2380" i="14"/>
  <c r="D2380" i="14"/>
  <c r="C2380" i="14"/>
  <c r="B2380" i="14"/>
  <c r="G2379" i="14"/>
  <c r="F2379" i="14"/>
  <c r="E2379" i="14"/>
  <c r="D2379" i="14"/>
  <c r="C2379" i="14"/>
  <c r="B2379" i="14"/>
  <c r="G2378" i="14"/>
  <c r="F2378" i="14"/>
  <c r="E2378" i="14"/>
  <c r="D2378" i="14"/>
  <c r="C2378" i="14"/>
  <c r="B2378" i="14"/>
  <c r="G2377" i="14"/>
  <c r="F2377" i="14"/>
  <c r="E2377" i="14"/>
  <c r="D2377" i="14"/>
  <c r="C2377" i="14"/>
  <c r="B2377" i="14"/>
  <c r="G2376" i="14"/>
  <c r="F2376" i="14"/>
  <c r="E2376" i="14"/>
  <c r="D2376" i="14"/>
  <c r="C2376" i="14"/>
  <c r="B2376" i="14"/>
  <c r="G2375" i="14"/>
  <c r="F2375" i="14"/>
  <c r="E2375" i="14"/>
  <c r="D2375" i="14"/>
  <c r="C2375" i="14"/>
  <c r="B2375" i="14"/>
  <c r="G2374" i="14"/>
  <c r="F2374" i="14"/>
  <c r="E2374" i="14"/>
  <c r="D2374" i="14"/>
  <c r="C2374" i="14"/>
  <c r="B2374" i="14"/>
  <c r="G2373" i="14"/>
  <c r="F2373" i="14"/>
  <c r="E2373" i="14"/>
  <c r="D2373" i="14"/>
  <c r="C2373" i="14"/>
  <c r="B2373" i="14"/>
  <c r="G2372" i="14"/>
  <c r="F2372" i="14"/>
  <c r="E2372" i="14"/>
  <c r="D2372" i="14"/>
  <c r="C2372" i="14"/>
  <c r="B2372" i="14"/>
  <c r="G2371" i="14"/>
  <c r="F2371" i="14"/>
  <c r="E2371" i="14"/>
  <c r="D2371" i="14"/>
  <c r="C2371" i="14"/>
  <c r="B2371" i="14"/>
  <c r="G2370" i="14"/>
  <c r="F2370" i="14"/>
  <c r="E2370" i="14"/>
  <c r="D2370" i="14"/>
  <c r="C2370" i="14"/>
  <c r="B2370" i="14"/>
  <c r="G2369" i="14"/>
  <c r="F2369" i="14"/>
  <c r="E2369" i="14"/>
  <c r="D2369" i="14"/>
  <c r="C2369" i="14"/>
  <c r="B2369" i="14"/>
  <c r="G2368" i="14"/>
  <c r="F2368" i="14"/>
  <c r="E2368" i="14"/>
  <c r="D2368" i="14"/>
  <c r="C2368" i="14"/>
  <c r="B2368" i="14"/>
  <c r="G2367" i="14"/>
  <c r="F2367" i="14"/>
  <c r="E2367" i="14"/>
  <c r="D2367" i="14"/>
  <c r="C2367" i="14"/>
  <c r="B2367" i="14"/>
  <c r="G2366" i="14"/>
  <c r="F2366" i="14"/>
  <c r="E2366" i="14"/>
  <c r="D2366" i="14"/>
  <c r="C2366" i="14"/>
  <c r="B2366" i="14"/>
  <c r="G2365" i="14"/>
  <c r="F2365" i="14"/>
  <c r="E2365" i="14"/>
  <c r="D2365" i="14"/>
  <c r="C2365" i="14"/>
  <c r="B2365" i="14"/>
  <c r="G2364" i="14"/>
  <c r="F2364" i="14"/>
  <c r="E2364" i="14"/>
  <c r="D2364" i="14"/>
  <c r="C2364" i="14"/>
  <c r="B2364" i="14"/>
  <c r="G2363" i="14"/>
  <c r="F2363" i="14"/>
  <c r="E2363" i="14"/>
  <c r="D2363" i="14"/>
  <c r="C2363" i="14"/>
  <c r="B2363" i="14"/>
  <c r="G2362" i="14"/>
  <c r="F2362" i="14"/>
  <c r="E2362" i="14"/>
  <c r="D2362" i="14"/>
  <c r="C2362" i="14"/>
  <c r="B2362" i="14"/>
  <c r="G2361" i="14"/>
  <c r="F2361" i="14"/>
  <c r="E2361" i="14"/>
  <c r="D2361" i="14"/>
  <c r="C2361" i="14"/>
  <c r="B2361" i="14"/>
  <c r="G2360" i="14"/>
  <c r="F2360" i="14"/>
  <c r="E2360" i="14"/>
  <c r="D2360" i="14"/>
  <c r="C2360" i="14"/>
  <c r="B2360" i="14"/>
  <c r="G2359" i="14"/>
  <c r="F2359" i="14"/>
  <c r="E2359" i="14"/>
  <c r="D2359" i="14"/>
  <c r="C2359" i="14"/>
  <c r="B2359" i="14"/>
  <c r="G2358" i="14"/>
  <c r="F2358" i="14"/>
  <c r="E2358" i="14"/>
  <c r="D2358" i="14"/>
  <c r="C2358" i="14"/>
  <c r="B2358" i="14"/>
  <c r="G2357" i="14"/>
  <c r="F2357" i="14"/>
  <c r="E2357" i="14"/>
  <c r="D2357" i="14"/>
  <c r="C2357" i="14"/>
  <c r="B2357" i="14"/>
  <c r="G2356" i="14"/>
  <c r="F2356" i="14"/>
  <c r="E2356" i="14"/>
  <c r="D2356" i="14"/>
  <c r="C2356" i="14"/>
  <c r="B2356" i="14"/>
  <c r="G2355" i="14"/>
  <c r="F2355" i="14"/>
  <c r="E2355" i="14"/>
  <c r="D2355" i="14"/>
  <c r="C2355" i="14"/>
  <c r="B2355" i="14"/>
  <c r="G2354" i="14"/>
  <c r="F2354" i="14"/>
  <c r="E2354" i="14"/>
  <c r="D2354" i="14"/>
  <c r="C2354" i="14"/>
  <c r="B2354" i="14"/>
  <c r="G2353" i="14"/>
  <c r="F2353" i="14"/>
  <c r="E2353" i="14"/>
  <c r="D2353" i="14"/>
  <c r="C2353" i="14"/>
  <c r="B2353" i="14"/>
  <c r="G2352" i="14"/>
  <c r="F2352" i="14"/>
  <c r="E2352" i="14"/>
  <c r="D2352" i="14"/>
  <c r="C2352" i="14"/>
  <c r="B2352" i="14"/>
  <c r="G2351" i="14"/>
  <c r="F2351" i="14"/>
  <c r="E2351" i="14"/>
  <c r="D2351" i="14"/>
  <c r="C2351" i="14"/>
  <c r="B2351" i="14"/>
  <c r="G2350" i="14"/>
  <c r="F2350" i="14"/>
  <c r="E2350" i="14"/>
  <c r="D2350" i="14"/>
  <c r="C2350" i="14"/>
  <c r="B2350" i="14"/>
  <c r="G2349" i="14"/>
  <c r="F2349" i="14"/>
  <c r="E2349" i="14"/>
  <c r="D2349" i="14"/>
  <c r="C2349" i="14"/>
  <c r="B2349" i="14"/>
  <c r="G2348" i="14"/>
  <c r="F2348" i="14"/>
  <c r="E2348" i="14"/>
  <c r="D2348" i="14"/>
  <c r="C2348" i="14"/>
  <c r="B2348" i="14"/>
  <c r="G2347" i="14"/>
  <c r="F2347" i="14"/>
  <c r="E2347" i="14"/>
  <c r="D2347" i="14"/>
  <c r="C2347" i="14"/>
  <c r="B2347" i="14"/>
  <c r="G2346" i="14"/>
  <c r="F2346" i="14"/>
  <c r="E2346" i="14"/>
  <c r="D2346" i="14"/>
  <c r="C2346" i="14"/>
  <c r="B2346" i="14"/>
  <c r="G2345" i="14"/>
  <c r="F2345" i="14"/>
  <c r="E2345" i="14"/>
  <c r="D2345" i="14"/>
  <c r="C2345" i="14"/>
  <c r="B2345" i="14"/>
  <c r="G2344" i="14"/>
  <c r="F2344" i="14"/>
  <c r="E2344" i="14"/>
  <c r="D2344" i="14"/>
  <c r="C2344" i="14"/>
  <c r="B2344" i="14"/>
  <c r="G2343" i="14"/>
  <c r="F2343" i="14"/>
  <c r="E2343" i="14"/>
  <c r="D2343" i="14"/>
  <c r="C2343" i="14"/>
  <c r="B2343" i="14"/>
  <c r="G2342" i="14"/>
  <c r="F2342" i="14"/>
  <c r="E2342" i="14"/>
  <c r="D2342" i="14"/>
  <c r="C2342" i="14"/>
  <c r="B2342" i="14"/>
  <c r="G2341" i="14"/>
  <c r="F2341" i="14"/>
  <c r="E2341" i="14"/>
  <c r="D2341" i="14"/>
  <c r="C2341" i="14"/>
  <c r="B2341" i="14"/>
  <c r="G2340" i="14"/>
  <c r="F2340" i="14"/>
  <c r="E2340" i="14"/>
  <c r="D2340" i="14"/>
  <c r="C2340" i="14"/>
  <c r="B2340" i="14"/>
  <c r="G2339" i="14"/>
  <c r="F2339" i="14"/>
  <c r="E2339" i="14"/>
  <c r="D2339" i="14"/>
  <c r="C2339" i="14"/>
  <c r="B2339" i="14"/>
  <c r="G2338" i="14"/>
  <c r="F2338" i="14"/>
  <c r="E2338" i="14"/>
  <c r="D2338" i="14"/>
  <c r="C2338" i="14"/>
  <c r="B2338" i="14"/>
  <c r="G2337" i="14"/>
  <c r="F2337" i="14"/>
  <c r="E2337" i="14"/>
  <c r="D2337" i="14"/>
  <c r="C2337" i="14"/>
  <c r="B2337" i="14"/>
  <c r="A2337" i="14"/>
  <c r="G2336" i="14"/>
  <c r="F2336" i="14"/>
  <c r="E2336" i="14"/>
  <c r="D2336" i="14"/>
  <c r="C2336" i="14"/>
  <c r="B2336" i="14"/>
  <c r="A2336" i="14"/>
  <c r="G2335" i="14"/>
  <c r="F2335" i="14"/>
  <c r="E2335" i="14"/>
  <c r="D2335" i="14"/>
  <c r="C2335" i="14"/>
  <c r="B2335" i="14"/>
  <c r="A2335" i="14"/>
  <c r="G2334" i="14"/>
  <c r="F2334" i="14"/>
  <c r="E2334" i="14"/>
  <c r="D2334" i="14"/>
  <c r="C2334" i="14"/>
  <c r="B2334" i="14"/>
  <c r="A2334" i="14"/>
  <c r="G2333" i="14"/>
  <c r="F2333" i="14"/>
  <c r="E2333" i="14"/>
  <c r="D2333" i="14"/>
  <c r="C2333" i="14"/>
  <c r="B2333" i="14"/>
  <c r="A2333" i="14"/>
  <c r="G2332" i="14"/>
  <c r="F2332" i="14"/>
  <c r="E2332" i="14"/>
  <c r="D2332" i="14"/>
  <c r="C2332" i="14"/>
  <c r="B2332" i="14"/>
  <c r="A2332" i="14"/>
  <c r="G2331" i="14"/>
  <c r="F2331" i="14"/>
  <c r="E2331" i="14"/>
  <c r="D2331" i="14"/>
  <c r="C2331" i="14"/>
  <c r="B2331" i="14"/>
  <c r="A2331" i="14"/>
  <c r="G2330" i="14"/>
  <c r="F2330" i="14"/>
  <c r="E2330" i="14"/>
  <c r="D2330" i="14"/>
  <c r="C2330" i="14"/>
  <c r="B2330" i="14"/>
  <c r="A2330" i="14"/>
  <c r="G2329" i="14"/>
  <c r="F2329" i="14"/>
  <c r="E2329" i="14"/>
  <c r="D2329" i="14"/>
  <c r="C2329" i="14"/>
  <c r="B2329" i="14"/>
  <c r="A2329" i="14"/>
  <c r="G2328" i="14"/>
  <c r="F2328" i="14"/>
  <c r="E2328" i="14"/>
  <c r="D2328" i="14"/>
  <c r="C2328" i="14"/>
  <c r="B2328" i="14"/>
  <c r="A2328" i="14"/>
  <c r="G2327" i="14"/>
  <c r="F2327" i="14"/>
  <c r="E2327" i="14"/>
  <c r="D2327" i="14"/>
  <c r="C2327" i="14"/>
  <c r="B2327" i="14"/>
  <c r="A2327" i="14"/>
  <c r="G2326" i="14"/>
  <c r="F2326" i="14"/>
  <c r="E2326" i="14"/>
  <c r="D2326" i="14"/>
  <c r="C2326" i="14"/>
  <c r="B2326" i="14"/>
  <c r="A2326" i="14"/>
  <c r="G2325" i="14"/>
  <c r="F2325" i="14"/>
  <c r="E2325" i="14"/>
  <c r="D2325" i="14"/>
  <c r="C2325" i="14"/>
  <c r="B2325" i="14"/>
  <c r="A2325" i="14"/>
  <c r="G2324" i="14"/>
  <c r="F2324" i="14"/>
  <c r="E2324" i="14"/>
  <c r="D2324" i="14"/>
  <c r="C2324" i="14"/>
  <c r="B2324" i="14"/>
  <c r="A2324" i="14"/>
  <c r="G2323" i="14"/>
  <c r="F2323" i="14"/>
  <c r="E2323" i="14"/>
  <c r="D2323" i="14"/>
  <c r="C2323" i="14"/>
  <c r="B2323" i="14"/>
  <c r="A2323" i="14"/>
  <c r="G2322" i="14"/>
  <c r="F2322" i="14"/>
  <c r="E2322" i="14"/>
  <c r="D2322" i="14"/>
  <c r="C2322" i="14"/>
  <c r="B2322" i="14"/>
  <c r="A2322" i="14"/>
  <c r="G2321" i="14"/>
  <c r="F2321" i="14"/>
  <c r="E2321" i="14"/>
  <c r="D2321" i="14"/>
  <c r="C2321" i="14"/>
  <c r="B2321" i="14"/>
  <c r="A2321" i="14"/>
  <c r="G2320" i="14"/>
  <c r="F2320" i="14"/>
  <c r="E2320" i="14"/>
  <c r="D2320" i="14"/>
  <c r="C2320" i="14"/>
  <c r="B2320" i="14"/>
  <c r="A2320" i="14"/>
  <c r="G2319" i="14"/>
  <c r="F2319" i="14"/>
  <c r="E2319" i="14"/>
  <c r="D2319" i="14"/>
  <c r="C2319" i="14"/>
  <c r="B2319" i="14"/>
  <c r="A2319" i="14"/>
  <c r="G2318" i="14"/>
  <c r="F2318" i="14"/>
  <c r="E2318" i="14"/>
  <c r="D2318" i="14"/>
  <c r="C2318" i="14"/>
  <c r="B2318" i="14"/>
  <c r="A2318" i="14"/>
  <c r="G2317" i="14"/>
  <c r="F2317" i="14"/>
  <c r="E2317" i="14"/>
  <c r="D2317" i="14"/>
  <c r="C2317" i="14"/>
  <c r="B2317" i="14"/>
  <c r="A2317" i="14"/>
  <c r="G2316" i="14"/>
  <c r="F2316" i="14"/>
  <c r="E2316" i="14"/>
  <c r="D2316" i="14"/>
  <c r="C2316" i="14"/>
  <c r="B2316" i="14"/>
  <c r="A2316" i="14"/>
  <c r="G2315" i="14"/>
  <c r="F2315" i="14"/>
  <c r="E2315" i="14"/>
  <c r="D2315" i="14"/>
  <c r="C2315" i="14"/>
  <c r="B2315" i="14"/>
  <c r="A2315" i="14"/>
  <c r="G2314" i="14"/>
  <c r="F2314" i="14"/>
  <c r="E2314" i="14"/>
  <c r="D2314" i="14"/>
  <c r="C2314" i="14"/>
  <c r="B2314" i="14"/>
  <c r="A2314" i="14"/>
  <c r="G2313" i="14"/>
  <c r="F2313" i="14"/>
  <c r="E2313" i="14"/>
  <c r="D2313" i="14"/>
  <c r="C2313" i="14"/>
  <c r="B2313" i="14"/>
  <c r="A2313" i="14"/>
  <c r="G2312" i="14"/>
  <c r="F2312" i="14"/>
  <c r="E2312" i="14"/>
  <c r="D2312" i="14"/>
  <c r="C2312" i="14"/>
  <c r="B2312" i="14"/>
  <c r="A2312" i="14"/>
  <c r="G2311" i="14"/>
  <c r="F2311" i="14"/>
  <c r="E2311" i="14"/>
  <c r="D2311" i="14"/>
  <c r="C2311" i="14"/>
  <c r="B2311" i="14"/>
  <c r="A2311" i="14"/>
  <c r="G2310" i="14"/>
  <c r="F2310" i="14"/>
  <c r="E2310" i="14"/>
  <c r="D2310" i="14"/>
  <c r="C2310" i="14"/>
  <c r="B2310" i="14"/>
  <c r="A2310" i="14"/>
  <c r="G2309" i="14"/>
  <c r="F2309" i="14"/>
  <c r="E2309" i="14"/>
  <c r="D2309" i="14"/>
  <c r="C2309" i="14"/>
  <c r="B2309" i="14"/>
  <c r="A2309" i="14"/>
  <c r="G2308" i="14"/>
  <c r="F2308" i="14"/>
  <c r="E2308" i="14"/>
  <c r="D2308" i="14"/>
  <c r="C2308" i="14"/>
  <c r="B2308" i="14"/>
  <c r="A2308" i="14"/>
  <c r="G2307" i="14"/>
  <c r="F2307" i="14"/>
  <c r="E2307" i="14"/>
  <c r="D2307" i="14"/>
  <c r="C2307" i="14"/>
  <c r="B2307" i="14"/>
  <c r="A2307" i="14"/>
  <c r="G2306" i="14"/>
  <c r="F2306" i="14"/>
  <c r="E2306" i="14"/>
  <c r="D2306" i="14"/>
  <c r="C2306" i="14"/>
  <c r="B2306" i="14"/>
  <c r="A2306" i="14"/>
  <c r="G2305" i="14"/>
  <c r="F2305" i="14"/>
  <c r="E2305" i="14"/>
  <c r="D2305" i="14"/>
  <c r="C2305" i="14"/>
  <c r="B2305" i="14"/>
  <c r="A2305" i="14"/>
  <c r="G2304" i="14"/>
  <c r="F2304" i="14"/>
  <c r="E2304" i="14"/>
  <c r="D2304" i="14"/>
  <c r="C2304" i="14"/>
  <c r="B2304" i="14"/>
  <c r="A2304" i="14"/>
  <c r="G2303" i="14"/>
  <c r="F2303" i="14"/>
  <c r="E2303" i="14"/>
  <c r="D2303" i="14"/>
  <c r="C2303" i="14"/>
  <c r="B2303" i="14"/>
  <c r="A2303" i="14"/>
  <c r="G2302" i="14"/>
  <c r="F2302" i="14"/>
  <c r="E2302" i="14"/>
  <c r="D2302" i="14"/>
  <c r="C2302" i="14"/>
  <c r="B2302" i="14"/>
  <c r="A2302" i="14"/>
  <c r="G2301" i="14"/>
  <c r="F2301" i="14"/>
  <c r="E2301" i="14"/>
  <c r="D2301" i="14"/>
  <c r="C2301" i="14"/>
  <c r="B2301" i="14"/>
  <c r="A2301" i="14"/>
  <c r="G2300" i="14"/>
  <c r="F2300" i="14"/>
  <c r="E2300" i="14"/>
  <c r="D2300" i="14"/>
  <c r="C2300" i="14"/>
  <c r="B2300" i="14"/>
  <c r="A2300" i="14"/>
  <c r="G2299" i="14"/>
  <c r="F2299" i="14"/>
  <c r="E2299" i="14"/>
  <c r="D2299" i="14"/>
  <c r="C2299" i="14"/>
  <c r="B2299" i="14"/>
  <c r="A2299" i="14"/>
  <c r="G2298" i="14"/>
  <c r="F2298" i="14"/>
  <c r="E2298" i="14"/>
  <c r="D2298" i="14"/>
  <c r="C2298" i="14"/>
  <c r="B2298" i="14"/>
  <c r="A2298" i="14"/>
  <c r="G2297" i="14"/>
  <c r="F2297" i="14"/>
  <c r="E2297" i="14"/>
  <c r="D2297" i="14"/>
  <c r="C2297" i="14"/>
  <c r="B2297" i="14"/>
  <c r="A2297" i="14"/>
  <c r="G2296" i="14"/>
  <c r="F2296" i="14"/>
  <c r="E2296" i="14"/>
  <c r="D2296" i="14"/>
  <c r="C2296" i="14"/>
  <c r="B2296" i="14"/>
  <c r="A2296" i="14"/>
  <c r="G2295" i="14"/>
  <c r="F2295" i="14"/>
  <c r="E2295" i="14"/>
  <c r="D2295" i="14"/>
  <c r="C2295" i="14"/>
  <c r="B2295" i="14"/>
  <c r="A2295" i="14"/>
  <c r="G2294" i="14"/>
  <c r="F2294" i="14"/>
  <c r="E2294" i="14"/>
  <c r="D2294" i="14"/>
  <c r="C2294" i="14"/>
  <c r="B2294" i="14"/>
  <c r="A2294" i="14"/>
  <c r="G2293" i="14"/>
  <c r="F2293" i="14"/>
  <c r="E2293" i="14"/>
  <c r="D2293" i="14"/>
  <c r="C2293" i="14"/>
  <c r="B2293" i="14"/>
  <c r="A2293" i="14"/>
  <c r="G2292" i="14"/>
  <c r="F2292" i="14"/>
  <c r="E2292" i="14"/>
  <c r="D2292" i="14"/>
  <c r="C2292" i="14"/>
  <c r="B2292" i="14"/>
  <c r="A2292" i="14"/>
  <c r="G2291" i="14"/>
  <c r="F2291" i="14"/>
  <c r="E2291" i="14"/>
  <c r="D2291" i="14"/>
  <c r="C2291" i="14"/>
  <c r="B2291" i="14"/>
  <c r="A2291" i="14"/>
  <c r="G2290" i="14"/>
  <c r="F2290" i="14"/>
  <c r="E2290" i="14"/>
  <c r="D2290" i="14"/>
  <c r="C2290" i="14"/>
  <c r="B2290" i="14"/>
  <c r="A2290" i="14"/>
  <c r="G2289" i="14"/>
  <c r="F2289" i="14"/>
  <c r="E2289" i="14"/>
  <c r="D2289" i="14"/>
  <c r="C2289" i="14"/>
  <c r="B2289" i="14"/>
  <c r="A2289" i="14"/>
  <c r="G2288" i="14"/>
  <c r="F2288" i="14"/>
  <c r="E2288" i="14"/>
  <c r="D2288" i="14"/>
  <c r="C2288" i="14"/>
  <c r="B2288" i="14"/>
  <c r="A2288" i="14"/>
  <c r="G2287" i="14"/>
  <c r="F2287" i="14"/>
  <c r="E2287" i="14"/>
  <c r="D2287" i="14"/>
  <c r="C2287" i="14"/>
  <c r="B2287" i="14"/>
  <c r="A2287" i="14"/>
  <c r="G2286" i="14"/>
  <c r="F2286" i="14"/>
  <c r="E2286" i="14"/>
  <c r="D2286" i="14"/>
  <c r="C2286" i="14"/>
  <c r="B2286" i="14"/>
  <c r="A2286" i="14"/>
  <c r="G2285" i="14"/>
  <c r="F2285" i="14"/>
  <c r="E2285" i="14"/>
  <c r="D2285" i="14"/>
  <c r="C2285" i="14"/>
  <c r="B2285" i="14"/>
  <c r="A2285" i="14"/>
  <c r="G2284" i="14"/>
  <c r="F2284" i="14"/>
  <c r="E2284" i="14"/>
  <c r="D2284" i="14"/>
  <c r="C2284" i="14"/>
  <c r="B2284" i="14"/>
  <c r="A2284" i="14"/>
  <c r="G2283" i="14"/>
  <c r="F2283" i="14"/>
  <c r="E2283" i="14"/>
  <c r="D2283" i="14"/>
  <c r="C2283" i="14"/>
  <c r="B2283" i="14"/>
  <c r="A2283" i="14"/>
  <c r="G2282" i="14"/>
  <c r="F2282" i="14"/>
  <c r="E2282" i="14"/>
  <c r="D2282" i="14"/>
  <c r="C2282" i="14"/>
  <c r="B2282" i="14"/>
  <c r="A2282" i="14"/>
  <c r="G2281" i="14"/>
  <c r="F2281" i="14"/>
  <c r="E2281" i="14"/>
  <c r="D2281" i="14"/>
  <c r="C2281" i="14"/>
  <c r="B2281" i="14"/>
  <c r="A2281" i="14"/>
  <c r="G2280" i="14"/>
  <c r="F2280" i="14"/>
  <c r="E2280" i="14"/>
  <c r="D2280" i="14"/>
  <c r="C2280" i="14"/>
  <c r="B2280" i="14"/>
  <c r="A2280" i="14"/>
  <c r="G2279" i="14"/>
  <c r="F2279" i="14"/>
  <c r="E2279" i="14"/>
  <c r="D2279" i="14"/>
  <c r="C2279" i="14"/>
  <c r="B2279" i="14"/>
  <c r="A2279" i="14"/>
  <c r="G2278" i="14"/>
  <c r="F2278" i="14"/>
  <c r="E2278" i="14"/>
  <c r="D2278" i="14"/>
  <c r="C2278" i="14"/>
  <c r="B2278" i="14"/>
  <c r="A2278" i="14"/>
  <c r="G2277" i="14"/>
  <c r="F2277" i="14"/>
  <c r="E2277" i="14"/>
  <c r="D2277" i="14"/>
  <c r="C2277" i="14"/>
  <c r="B2277" i="14"/>
  <c r="A2277" i="14"/>
  <c r="G2276" i="14"/>
  <c r="F2276" i="14"/>
  <c r="E2276" i="14"/>
  <c r="D2276" i="14"/>
  <c r="C2276" i="14"/>
  <c r="B2276" i="14"/>
  <c r="A2276" i="14"/>
  <c r="G2275" i="14"/>
  <c r="F2275" i="14"/>
  <c r="E2275" i="14"/>
  <c r="D2275" i="14"/>
  <c r="C2275" i="14"/>
  <c r="B2275" i="14"/>
  <c r="A2275" i="14"/>
  <c r="G2274" i="14"/>
  <c r="F2274" i="14"/>
  <c r="E2274" i="14"/>
  <c r="D2274" i="14"/>
  <c r="C2274" i="14"/>
  <c r="B2274" i="14"/>
  <c r="A2274" i="14"/>
  <c r="G2273" i="14"/>
  <c r="F2273" i="14"/>
  <c r="E2273" i="14"/>
  <c r="D2273" i="14"/>
  <c r="C2273" i="14"/>
  <c r="B2273" i="14"/>
  <c r="A2273" i="14"/>
  <c r="G2272" i="14"/>
  <c r="F2272" i="14"/>
  <c r="E2272" i="14"/>
  <c r="D2272" i="14"/>
  <c r="C2272" i="14"/>
  <c r="B2272" i="14"/>
  <c r="A2272" i="14"/>
  <c r="G2271" i="14"/>
  <c r="F2271" i="14"/>
  <c r="E2271" i="14"/>
  <c r="D2271" i="14"/>
  <c r="C2271" i="14"/>
  <c r="B2271" i="14"/>
  <c r="A2271" i="14"/>
  <c r="G2270" i="14"/>
  <c r="F2270" i="14"/>
  <c r="E2270" i="14"/>
  <c r="D2270" i="14"/>
  <c r="C2270" i="14"/>
  <c r="B2270" i="14"/>
  <c r="A2270" i="14"/>
  <c r="G2269" i="14"/>
  <c r="F2269" i="14"/>
  <c r="E2269" i="14"/>
  <c r="D2269" i="14"/>
  <c r="C2269" i="14"/>
  <c r="B2269" i="14"/>
  <c r="A2269" i="14"/>
  <c r="G2268" i="14"/>
  <c r="F2268" i="14"/>
  <c r="E2268" i="14"/>
  <c r="D2268" i="14"/>
  <c r="C2268" i="14"/>
  <c r="B2268" i="14"/>
  <c r="A2268" i="14"/>
  <c r="G2267" i="14"/>
  <c r="F2267" i="14"/>
  <c r="E2267" i="14"/>
  <c r="D2267" i="14"/>
  <c r="C2267" i="14"/>
  <c r="B2267" i="14"/>
  <c r="A2267" i="14"/>
  <c r="G2266" i="14"/>
  <c r="F2266" i="14"/>
  <c r="E2266" i="14"/>
  <c r="D2266" i="14"/>
  <c r="C2266" i="14"/>
  <c r="B2266" i="14"/>
  <c r="A2266" i="14"/>
  <c r="G2265" i="14"/>
  <c r="F2265" i="14"/>
  <c r="E2265" i="14"/>
  <c r="D2265" i="14"/>
  <c r="C2265" i="14"/>
  <c r="B2265" i="14"/>
  <c r="A2265" i="14"/>
  <c r="G2264" i="14"/>
  <c r="F2264" i="14"/>
  <c r="E2264" i="14"/>
  <c r="D2264" i="14"/>
  <c r="C2264" i="14"/>
  <c r="B2264" i="14"/>
  <c r="A2264" i="14"/>
  <c r="G2263" i="14"/>
  <c r="F2263" i="14"/>
  <c r="E2263" i="14"/>
  <c r="D2263" i="14"/>
  <c r="C2263" i="14"/>
  <c r="B2263" i="14"/>
  <c r="A2263" i="14"/>
  <c r="G2262" i="14"/>
  <c r="F2262" i="14"/>
  <c r="E2262" i="14"/>
  <c r="D2262" i="14"/>
  <c r="C2262" i="14"/>
  <c r="B2262" i="14"/>
  <c r="A2262" i="14"/>
  <c r="G2261" i="14"/>
  <c r="F2261" i="14"/>
  <c r="E2261" i="14"/>
  <c r="D2261" i="14"/>
  <c r="C2261" i="14"/>
  <c r="B2261" i="14"/>
  <c r="A2261" i="14"/>
  <c r="G2260" i="14"/>
  <c r="F2260" i="14"/>
  <c r="E2260" i="14"/>
  <c r="D2260" i="14"/>
  <c r="C2260" i="14"/>
  <c r="B2260" i="14"/>
  <c r="A2260" i="14"/>
  <c r="G2259" i="14"/>
  <c r="F2259" i="14"/>
  <c r="E2259" i="14"/>
  <c r="D2259" i="14"/>
  <c r="C2259" i="14"/>
  <c r="B2259" i="14"/>
  <c r="A2259" i="14"/>
  <c r="G2258" i="14"/>
  <c r="F2258" i="14"/>
  <c r="E2258" i="14"/>
  <c r="D2258" i="14"/>
  <c r="C2258" i="14"/>
  <c r="B2258" i="14"/>
  <c r="A2258" i="14"/>
  <c r="G2257" i="14"/>
  <c r="F2257" i="14"/>
  <c r="E2257" i="14"/>
  <c r="D2257" i="14"/>
  <c r="C2257" i="14"/>
  <c r="B2257" i="14"/>
  <c r="A2257" i="14"/>
  <c r="G2256" i="14"/>
  <c r="F2256" i="14"/>
  <c r="E2256" i="14"/>
  <c r="D2256" i="14"/>
  <c r="C2256" i="14"/>
  <c r="B2256" i="14"/>
  <c r="A2256" i="14"/>
  <c r="G2255" i="14"/>
  <c r="F2255" i="14"/>
  <c r="E2255" i="14"/>
  <c r="D2255" i="14"/>
  <c r="C2255" i="14"/>
  <c r="B2255" i="14"/>
  <c r="A2255" i="14"/>
  <c r="G2254" i="14"/>
  <c r="F2254" i="14"/>
  <c r="E2254" i="14"/>
  <c r="D2254" i="14"/>
  <c r="C2254" i="14"/>
  <c r="B2254" i="14"/>
  <c r="A2254" i="14"/>
  <c r="G2253" i="14"/>
  <c r="F2253" i="14"/>
  <c r="E2253" i="14"/>
  <c r="D2253" i="14"/>
  <c r="C2253" i="14"/>
  <c r="B2253" i="14"/>
  <c r="A2253" i="14"/>
  <c r="G2252" i="14"/>
  <c r="F2252" i="14"/>
  <c r="E2252" i="14"/>
  <c r="D2252" i="14"/>
  <c r="C2252" i="14"/>
  <c r="B2252" i="14"/>
  <c r="A2252" i="14"/>
  <c r="G2251" i="14"/>
  <c r="F2251" i="14"/>
  <c r="E2251" i="14"/>
  <c r="D2251" i="14"/>
  <c r="C2251" i="14"/>
  <c r="B2251" i="14"/>
  <c r="A2251" i="14"/>
  <c r="G2250" i="14"/>
  <c r="F2250" i="14"/>
  <c r="E2250" i="14"/>
  <c r="D2250" i="14"/>
  <c r="C2250" i="14"/>
  <c r="B2250" i="14"/>
  <c r="A2250" i="14"/>
  <c r="G2249" i="14"/>
  <c r="F2249" i="14"/>
  <c r="E2249" i="14"/>
  <c r="D2249" i="14"/>
  <c r="C2249" i="14"/>
  <c r="B2249" i="14"/>
  <c r="A2249" i="14"/>
  <c r="G2248" i="14"/>
  <c r="F2248" i="14"/>
  <c r="E2248" i="14"/>
  <c r="D2248" i="14"/>
  <c r="C2248" i="14"/>
  <c r="B2248" i="14"/>
  <c r="A2248" i="14"/>
  <c r="G2247" i="14"/>
  <c r="F2247" i="14"/>
  <c r="E2247" i="14"/>
  <c r="D2247" i="14"/>
  <c r="C2247" i="14"/>
  <c r="B2247" i="14"/>
  <c r="A2247" i="14"/>
  <c r="G2246" i="14"/>
  <c r="F2246" i="14"/>
  <c r="E2246" i="14"/>
  <c r="D2246" i="14"/>
  <c r="C2246" i="14"/>
  <c r="B2246" i="14"/>
  <c r="A2246" i="14"/>
  <c r="G2245" i="14"/>
  <c r="F2245" i="14"/>
  <c r="E2245" i="14"/>
  <c r="D2245" i="14"/>
  <c r="C2245" i="14"/>
  <c r="B2245" i="14"/>
  <c r="A2245" i="14"/>
  <c r="G2244" i="14"/>
  <c r="F2244" i="14"/>
  <c r="E2244" i="14"/>
  <c r="D2244" i="14"/>
  <c r="C2244" i="14"/>
  <c r="B2244" i="14"/>
  <c r="A2244" i="14"/>
  <c r="G2243" i="14"/>
  <c r="F2243" i="14"/>
  <c r="E2243" i="14"/>
  <c r="D2243" i="14"/>
  <c r="C2243" i="14"/>
  <c r="B2243" i="14"/>
  <c r="A2243" i="14"/>
  <c r="G2242" i="14"/>
  <c r="F2242" i="14"/>
  <c r="E2242" i="14"/>
  <c r="D2242" i="14"/>
  <c r="C2242" i="14"/>
  <c r="B2242" i="14"/>
  <c r="A2242" i="14"/>
  <c r="G2241" i="14"/>
  <c r="F2241" i="14"/>
  <c r="E2241" i="14"/>
  <c r="D2241" i="14"/>
  <c r="C2241" i="14"/>
  <c r="B2241" i="14"/>
  <c r="A2241" i="14"/>
  <c r="G2240" i="14"/>
  <c r="F2240" i="14"/>
  <c r="E2240" i="14"/>
  <c r="D2240" i="14"/>
  <c r="C2240" i="14"/>
  <c r="B2240" i="14"/>
  <c r="A2240" i="14"/>
  <c r="G2239" i="14"/>
  <c r="F2239" i="14"/>
  <c r="E2239" i="14"/>
  <c r="D2239" i="14"/>
  <c r="C2239" i="14"/>
  <c r="B2239" i="14"/>
  <c r="A2239" i="14"/>
  <c r="G2238" i="14"/>
  <c r="F2238" i="14"/>
  <c r="E2238" i="14"/>
  <c r="D2238" i="14"/>
  <c r="C2238" i="14"/>
  <c r="B2238" i="14"/>
  <c r="A2238" i="14"/>
  <c r="G2237" i="14"/>
  <c r="F2237" i="14"/>
  <c r="E2237" i="14"/>
  <c r="D2237" i="14"/>
  <c r="C2237" i="14"/>
  <c r="B2237" i="14"/>
  <c r="A2237" i="14"/>
  <c r="G2236" i="14"/>
  <c r="F2236" i="14"/>
  <c r="E2236" i="14"/>
  <c r="D2236" i="14"/>
  <c r="C2236" i="14"/>
  <c r="B2236" i="14"/>
  <c r="A2236" i="14"/>
  <c r="G2235" i="14"/>
  <c r="F2235" i="14"/>
  <c r="E2235" i="14"/>
  <c r="D2235" i="14"/>
  <c r="C2235" i="14"/>
  <c r="B2235" i="14"/>
  <c r="A2235" i="14"/>
  <c r="G2234" i="14"/>
  <c r="F2234" i="14"/>
  <c r="E2234" i="14"/>
  <c r="D2234" i="14"/>
  <c r="C2234" i="14"/>
  <c r="B2234" i="14"/>
  <c r="A2234" i="14"/>
  <c r="G2233" i="14"/>
  <c r="F2233" i="14"/>
  <c r="E2233" i="14"/>
  <c r="D2233" i="14"/>
  <c r="C2233" i="14"/>
  <c r="B2233" i="14"/>
  <c r="A2233" i="14"/>
  <c r="G2232" i="14"/>
  <c r="F2232" i="14"/>
  <c r="E2232" i="14"/>
  <c r="D2232" i="14"/>
  <c r="C2232" i="14"/>
  <c r="B2232" i="14"/>
  <c r="A2232" i="14"/>
  <c r="G2231" i="14"/>
  <c r="F2231" i="14"/>
  <c r="E2231" i="14"/>
  <c r="D2231" i="14"/>
  <c r="C2231" i="14"/>
  <c r="B2231" i="14"/>
  <c r="A2231" i="14"/>
  <c r="G2230" i="14"/>
  <c r="F2230" i="14"/>
  <c r="E2230" i="14"/>
  <c r="D2230" i="14"/>
  <c r="C2230" i="14"/>
  <c r="B2230" i="14"/>
  <c r="A2230" i="14"/>
  <c r="G2229" i="14"/>
  <c r="F2229" i="14"/>
  <c r="E2229" i="14"/>
  <c r="D2229" i="14"/>
  <c r="C2229" i="14"/>
  <c r="B2229" i="14"/>
  <c r="A2229" i="14"/>
  <c r="G2228" i="14"/>
  <c r="F2228" i="14"/>
  <c r="E2228" i="14"/>
  <c r="D2228" i="14"/>
  <c r="C2228" i="14"/>
  <c r="B2228" i="14"/>
  <c r="A2228" i="14"/>
  <c r="G2227" i="14"/>
  <c r="F2227" i="14"/>
  <c r="E2227" i="14"/>
  <c r="D2227" i="14"/>
  <c r="C2227" i="14"/>
  <c r="B2227" i="14"/>
  <c r="A2227" i="14"/>
  <c r="G2226" i="14"/>
  <c r="F2226" i="14"/>
  <c r="E2226" i="14"/>
  <c r="D2226" i="14"/>
  <c r="C2226" i="14"/>
  <c r="B2226" i="14"/>
  <c r="A2226" i="14"/>
  <c r="G2225" i="14"/>
  <c r="F2225" i="14"/>
  <c r="E2225" i="14"/>
  <c r="D2225" i="14"/>
  <c r="C2225" i="14"/>
  <c r="B2225" i="14"/>
  <c r="A2225" i="14"/>
  <c r="G2224" i="14"/>
  <c r="F2224" i="14"/>
  <c r="E2224" i="14"/>
  <c r="D2224" i="14"/>
  <c r="C2224" i="14"/>
  <c r="B2224" i="14"/>
  <c r="A2224" i="14"/>
  <c r="G2223" i="14"/>
  <c r="F2223" i="14"/>
  <c r="E2223" i="14"/>
  <c r="D2223" i="14"/>
  <c r="C2223" i="14"/>
  <c r="B2223" i="14"/>
  <c r="A2223" i="14"/>
  <c r="G2222" i="14"/>
  <c r="F2222" i="14"/>
  <c r="E2222" i="14"/>
  <c r="D2222" i="14"/>
  <c r="C2222" i="14"/>
  <c r="B2222" i="14"/>
  <c r="A2222" i="14"/>
  <c r="G2221" i="14"/>
  <c r="F2221" i="14"/>
  <c r="E2221" i="14"/>
  <c r="D2221" i="14"/>
  <c r="C2221" i="14"/>
  <c r="B2221" i="14"/>
  <c r="A2221" i="14"/>
  <c r="G2220" i="14"/>
  <c r="F2220" i="14"/>
  <c r="E2220" i="14"/>
  <c r="D2220" i="14"/>
  <c r="C2220" i="14"/>
  <c r="B2220" i="14"/>
  <c r="A2220" i="14"/>
  <c r="G2219" i="14"/>
  <c r="F2219" i="14"/>
  <c r="E2219" i="14"/>
  <c r="D2219" i="14"/>
  <c r="C2219" i="14"/>
  <c r="B2219" i="14"/>
  <c r="A2219" i="14"/>
  <c r="G2218" i="14"/>
  <c r="F2218" i="14"/>
  <c r="E2218" i="14"/>
  <c r="D2218" i="14"/>
  <c r="C2218" i="14"/>
  <c r="B2218" i="14"/>
  <c r="A2218" i="14"/>
  <c r="G2217" i="14"/>
  <c r="F2217" i="14"/>
  <c r="E2217" i="14"/>
  <c r="D2217" i="14"/>
  <c r="C2217" i="14"/>
  <c r="B2217" i="14"/>
  <c r="A2217" i="14"/>
  <c r="G2216" i="14"/>
  <c r="F2216" i="14"/>
  <c r="E2216" i="14"/>
  <c r="D2216" i="14"/>
  <c r="C2216" i="14"/>
  <c r="B2216" i="14"/>
  <c r="A2216" i="14"/>
  <c r="G2215" i="14"/>
  <c r="F2215" i="14"/>
  <c r="E2215" i="14"/>
  <c r="D2215" i="14"/>
  <c r="C2215" i="14"/>
  <c r="B2215" i="14"/>
  <c r="A2215" i="14"/>
  <c r="G2214" i="14"/>
  <c r="F2214" i="14"/>
  <c r="E2214" i="14"/>
  <c r="D2214" i="14"/>
  <c r="C2214" i="14"/>
  <c r="B2214" i="14"/>
  <c r="A2214" i="14"/>
  <c r="G2213" i="14"/>
  <c r="F2213" i="14"/>
  <c r="E2213" i="14"/>
  <c r="D2213" i="14"/>
  <c r="C2213" i="14"/>
  <c r="B2213" i="14"/>
  <c r="A2213" i="14"/>
  <c r="G2212" i="14"/>
  <c r="F2212" i="14"/>
  <c r="E2212" i="14"/>
  <c r="D2212" i="14"/>
  <c r="C2212" i="14"/>
  <c r="B2212" i="14"/>
  <c r="A2212" i="14"/>
  <c r="G2211" i="14"/>
  <c r="F2211" i="14"/>
  <c r="E2211" i="14"/>
  <c r="D2211" i="14"/>
  <c r="C2211" i="14"/>
  <c r="B2211" i="14"/>
  <c r="A2211" i="14"/>
  <c r="G2210" i="14"/>
  <c r="F2210" i="14"/>
  <c r="E2210" i="14"/>
  <c r="D2210" i="14"/>
  <c r="C2210" i="14"/>
  <c r="B2210" i="14"/>
  <c r="A2210" i="14"/>
  <c r="G2209" i="14"/>
  <c r="F2209" i="14"/>
  <c r="E2209" i="14"/>
  <c r="D2209" i="14"/>
  <c r="C2209" i="14"/>
  <c r="B2209" i="14"/>
  <c r="A2209" i="14"/>
  <c r="G2208" i="14"/>
  <c r="F2208" i="14"/>
  <c r="E2208" i="14"/>
  <c r="D2208" i="14"/>
  <c r="C2208" i="14"/>
  <c r="B2208" i="14"/>
  <c r="A2208" i="14"/>
  <c r="G2207" i="14"/>
  <c r="F2207" i="14"/>
  <c r="E2207" i="14"/>
  <c r="D2207" i="14"/>
  <c r="C2207" i="14"/>
  <c r="B2207" i="14"/>
  <c r="A2207" i="14"/>
  <c r="G2206" i="14"/>
  <c r="F2206" i="14"/>
  <c r="E2206" i="14"/>
  <c r="D2206" i="14"/>
  <c r="C2206" i="14"/>
  <c r="B2206" i="14"/>
  <c r="A2206" i="14"/>
  <c r="G2205" i="14"/>
  <c r="F2205" i="14"/>
  <c r="E2205" i="14"/>
  <c r="D2205" i="14"/>
  <c r="C2205" i="14"/>
  <c r="B2205" i="14"/>
  <c r="A2205" i="14"/>
  <c r="G2204" i="14"/>
  <c r="F2204" i="14"/>
  <c r="E2204" i="14"/>
  <c r="D2204" i="14"/>
  <c r="C2204" i="14"/>
  <c r="B2204" i="14"/>
  <c r="A2204" i="14"/>
  <c r="G2203" i="14"/>
  <c r="F2203" i="14"/>
  <c r="E2203" i="14"/>
  <c r="D2203" i="14"/>
  <c r="C2203" i="14"/>
  <c r="B2203" i="14"/>
  <c r="A2203" i="14"/>
  <c r="G2202" i="14"/>
  <c r="F2202" i="14"/>
  <c r="E2202" i="14"/>
  <c r="D2202" i="14"/>
  <c r="C2202" i="14"/>
  <c r="B2202" i="14"/>
  <c r="A2202" i="14"/>
  <c r="G2201" i="14"/>
  <c r="F2201" i="14"/>
  <c r="E2201" i="14"/>
  <c r="D2201" i="14"/>
  <c r="C2201" i="14"/>
  <c r="B2201" i="14"/>
  <c r="A2201" i="14"/>
  <c r="G2200" i="14"/>
  <c r="F2200" i="14"/>
  <c r="E2200" i="14"/>
  <c r="D2200" i="14"/>
  <c r="C2200" i="14"/>
  <c r="B2200" i="14"/>
  <c r="A2200" i="14"/>
  <c r="G2199" i="14"/>
  <c r="F2199" i="14"/>
  <c r="E2199" i="14"/>
  <c r="D2199" i="14"/>
  <c r="C2199" i="14"/>
  <c r="B2199" i="14"/>
  <c r="A2199" i="14"/>
  <c r="G2198" i="14"/>
  <c r="F2198" i="14"/>
  <c r="E2198" i="14"/>
  <c r="D2198" i="14"/>
  <c r="C2198" i="14"/>
  <c r="B2198" i="14"/>
  <c r="A2198" i="14"/>
  <c r="G2197" i="14"/>
  <c r="F2197" i="14"/>
  <c r="E2197" i="14"/>
  <c r="D2197" i="14"/>
  <c r="C2197" i="14"/>
  <c r="B2197" i="14"/>
  <c r="A2197" i="14"/>
  <c r="G2196" i="14"/>
  <c r="F2196" i="14"/>
  <c r="E2196" i="14"/>
  <c r="D2196" i="14"/>
  <c r="C2196" i="14"/>
  <c r="B2196" i="14"/>
  <c r="A2196" i="14"/>
  <c r="G2195" i="14"/>
  <c r="F2195" i="14"/>
  <c r="E2195" i="14"/>
  <c r="D2195" i="14"/>
  <c r="C2195" i="14"/>
  <c r="B2195" i="14"/>
  <c r="A2195" i="14"/>
  <c r="G2194" i="14"/>
  <c r="F2194" i="14"/>
  <c r="E2194" i="14"/>
  <c r="D2194" i="14"/>
  <c r="C2194" i="14"/>
  <c r="B2194" i="14"/>
  <c r="A2194" i="14"/>
  <c r="G2193" i="14"/>
  <c r="F2193" i="14"/>
  <c r="E2193" i="14"/>
  <c r="D2193" i="14"/>
  <c r="C2193" i="14"/>
  <c r="B2193" i="14"/>
  <c r="A2193" i="14"/>
  <c r="G2192" i="14"/>
  <c r="F2192" i="14"/>
  <c r="E2192" i="14"/>
  <c r="D2192" i="14"/>
  <c r="C2192" i="14"/>
  <c r="B2192" i="14"/>
  <c r="A2192" i="14"/>
  <c r="G2191" i="14"/>
  <c r="F2191" i="14"/>
  <c r="E2191" i="14"/>
  <c r="D2191" i="14"/>
  <c r="C2191" i="14"/>
  <c r="B2191" i="14"/>
  <c r="A2191" i="14"/>
  <c r="G2190" i="14"/>
  <c r="F2190" i="14"/>
  <c r="E2190" i="14"/>
  <c r="D2190" i="14"/>
  <c r="C2190" i="14"/>
  <c r="B2190" i="14"/>
  <c r="A2190" i="14"/>
  <c r="G2189" i="14"/>
  <c r="F2189" i="14"/>
  <c r="E2189" i="14"/>
  <c r="D2189" i="14"/>
  <c r="C2189" i="14"/>
  <c r="B2189" i="14"/>
  <c r="A2189" i="14"/>
  <c r="G2188" i="14"/>
  <c r="F2188" i="14"/>
  <c r="E2188" i="14"/>
  <c r="D2188" i="14"/>
  <c r="C2188" i="14"/>
  <c r="B2188" i="14"/>
  <c r="A2188" i="14"/>
  <c r="G2187" i="14"/>
  <c r="F2187" i="14"/>
  <c r="E2187" i="14"/>
  <c r="D2187" i="14"/>
  <c r="C2187" i="14"/>
  <c r="B2187" i="14"/>
  <c r="A2187" i="14"/>
  <c r="G2186" i="14"/>
  <c r="F2186" i="14"/>
  <c r="E2186" i="14"/>
  <c r="D2186" i="14"/>
  <c r="C2186" i="14"/>
  <c r="B2186" i="14"/>
  <c r="A2186" i="14"/>
  <c r="G2185" i="14"/>
  <c r="F2185" i="14"/>
  <c r="E2185" i="14"/>
  <c r="D2185" i="14"/>
  <c r="C2185" i="14"/>
  <c r="B2185" i="14"/>
  <c r="A2185" i="14"/>
  <c r="G2184" i="14"/>
  <c r="F2184" i="14"/>
  <c r="E2184" i="14"/>
  <c r="D2184" i="14"/>
  <c r="C2184" i="14"/>
  <c r="B2184" i="14"/>
  <c r="A2184" i="14"/>
  <c r="G2183" i="14"/>
  <c r="F2183" i="14"/>
  <c r="E2183" i="14"/>
  <c r="D2183" i="14"/>
  <c r="C2183" i="14"/>
  <c r="B2183" i="14"/>
  <c r="A2183" i="14"/>
  <c r="G2182" i="14"/>
  <c r="F2182" i="14"/>
  <c r="E2182" i="14"/>
  <c r="D2182" i="14"/>
  <c r="C2182" i="14"/>
  <c r="B2182" i="14"/>
  <c r="A2182" i="14"/>
  <c r="G2181" i="14"/>
  <c r="F2181" i="14"/>
  <c r="E2181" i="14"/>
  <c r="D2181" i="14"/>
  <c r="C2181" i="14"/>
  <c r="B2181" i="14"/>
  <c r="A2181" i="14"/>
  <c r="G2180" i="14"/>
  <c r="F2180" i="14"/>
  <c r="E2180" i="14"/>
  <c r="D2180" i="14"/>
  <c r="C2180" i="14"/>
  <c r="B2180" i="14"/>
  <c r="A2180" i="14"/>
  <c r="G2179" i="14"/>
  <c r="F2179" i="14"/>
  <c r="E2179" i="14"/>
  <c r="D2179" i="14"/>
  <c r="C2179" i="14"/>
  <c r="B2179" i="14"/>
  <c r="A2179" i="14"/>
  <c r="G2178" i="14"/>
  <c r="F2178" i="14"/>
  <c r="E2178" i="14"/>
  <c r="D2178" i="14"/>
  <c r="C2178" i="14"/>
  <c r="B2178" i="14"/>
  <c r="A2178" i="14"/>
  <c r="G2177" i="14"/>
  <c r="F2177" i="14"/>
  <c r="E2177" i="14"/>
  <c r="D2177" i="14"/>
  <c r="C2177" i="14"/>
  <c r="B2177" i="14"/>
  <c r="A2177" i="14"/>
  <c r="G2176" i="14"/>
  <c r="F2176" i="14"/>
  <c r="E2176" i="14"/>
  <c r="D2176" i="14"/>
  <c r="C2176" i="14"/>
  <c r="B2176" i="14"/>
  <c r="A2176" i="14"/>
  <c r="G2175" i="14"/>
  <c r="F2175" i="14"/>
  <c r="E2175" i="14"/>
  <c r="D2175" i="14"/>
  <c r="C2175" i="14"/>
  <c r="B2175" i="14"/>
  <c r="A2175" i="14"/>
  <c r="G2174" i="14"/>
  <c r="F2174" i="14"/>
  <c r="E2174" i="14"/>
  <c r="D2174" i="14"/>
  <c r="C2174" i="14"/>
  <c r="B2174" i="14"/>
  <c r="A2174" i="14"/>
  <c r="G2173" i="14"/>
  <c r="F2173" i="14"/>
  <c r="E2173" i="14"/>
  <c r="D2173" i="14"/>
  <c r="C2173" i="14"/>
  <c r="B2173" i="14"/>
  <c r="A2173" i="14"/>
  <c r="G2172" i="14"/>
  <c r="F2172" i="14"/>
  <c r="E2172" i="14"/>
  <c r="D2172" i="14"/>
  <c r="C2172" i="14"/>
  <c r="B2172" i="14"/>
  <c r="A2172" i="14"/>
  <c r="G2171" i="14"/>
  <c r="F2171" i="14"/>
  <c r="E2171" i="14"/>
  <c r="D2171" i="14"/>
  <c r="C2171" i="14"/>
  <c r="B2171" i="14"/>
  <c r="A2171" i="14"/>
  <c r="G2170" i="14"/>
  <c r="F2170" i="14"/>
  <c r="E2170" i="14"/>
  <c r="D2170" i="14"/>
  <c r="C2170" i="14"/>
  <c r="B2170" i="14"/>
  <c r="A2170" i="14"/>
  <c r="G2169" i="14"/>
  <c r="F2169" i="14"/>
  <c r="E2169" i="14"/>
  <c r="D2169" i="14"/>
  <c r="C2169" i="14"/>
  <c r="B2169" i="14"/>
  <c r="A2169" i="14"/>
  <c r="G2168" i="14"/>
  <c r="F2168" i="14"/>
  <c r="E2168" i="14"/>
  <c r="D2168" i="14"/>
  <c r="C2168" i="14"/>
  <c r="B2168" i="14"/>
  <c r="A2168" i="14"/>
  <c r="G2167" i="14"/>
  <c r="F2167" i="14"/>
  <c r="E2167" i="14"/>
  <c r="D2167" i="14"/>
  <c r="C2167" i="14"/>
  <c r="B2167" i="14"/>
  <c r="A2167" i="14"/>
  <c r="G2166" i="14"/>
  <c r="F2166" i="14"/>
  <c r="E2166" i="14"/>
  <c r="D2166" i="14"/>
  <c r="C2166" i="14"/>
  <c r="B2166" i="14"/>
  <c r="A2166" i="14"/>
  <c r="G2165" i="14"/>
  <c r="F2165" i="14"/>
  <c r="E2165" i="14"/>
  <c r="D2165" i="14"/>
  <c r="C2165" i="14"/>
  <c r="B2165" i="14"/>
  <c r="A2165" i="14"/>
  <c r="G2164" i="14"/>
  <c r="F2164" i="14"/>
  <c r="E2164" i="14"/>
  <c r="D2164" i="14"/>
  <c r="C2164" i="14"/>
  <c r="B2164" i="14"/>
  <c r="A2164" i="14"/>
  <c r="G2163" i="14"/>
  <c r="F2163" i="14"/>
  <c r="E2163" i="14"/>
  <c r="D2163" i="14"/>
  <c r="C2163" i="14"/>
  <c r="B2163" i="14"/>
  <c r="A2163" i="14"/>
  <c r="G2162" i="14"/>
  <c r="F2162" i="14"/>
  <c r="E2162" i="14"/>
  <c r="D2162" i="14"/>
  <c r="C2162" i="14"/>
  <c r="B2162" i="14"/>
  <c r="A2162" i="14"/>
  <c r="G2161" i="14"/>
  <c r="F2161" i="14"/>
  <c r="E2161" i="14"/>
  <c r="D2161" i="14"/>
  <c r="C2161" i="14"/>
  <c r="B2161" i="14"/>
  <c r="A2161" i="14"/>
  <c r="G2160" i="14"/>
  <c r="F2160" i="14"/>
  <c r="E2160" i="14"/>
  <c r="D2160" i="14"/>
  <c r="C2160" i="14"/>
  <c r="B2160" i="14"/>
  <c r="A2160" i="14"/>
  <c r="G2159" i="14"/>
  <c r="F2159" i="14"/>
  <c r="E2159" i="14"/>
  <c r="D2159" i="14"/>
  <c r="C2159" i="14"/>
  <c r="B2159" i="14"/>
  <c r="A2159" i="14"/>
  <c r="G2158" i="14"/>
  <c r="F2158" i="14"/>
  <c r="E2158" i="14"/>
  <c r="D2158" i="14"/>
  <c r="C2158" i="14"/>
  <c r="B2158" i="14"/>
  <c r="A2158" i="14"/>
  <c r="G2157" i="14"/>
  <c r="F2157" i="14"/>
  <c r="E2157" i="14"/>
  <c r="D2157" i="14"/>
  <c r="C2157" i="14"/>
  <c r="B2157" i="14"/>
  <c r="A2157" i="14"/>
  <c r="G2156" i="14"/>
  <c r="F2156" i="14"/>
  <c r="E2156" i="14"/>
  <c r="D2156" i="14"/>
  <c r="C2156" i="14"/>
  <c r="B2156" i="14"/>
  <c r="A2156" i="14"/>
  <c r="G2155" i="14"/>
  <c r="F2155" i="14"/>
  <c r="E2155" i="14"/>
  <c r="D2155" i="14"/>
  <c r="C2155" i="14"/>
  <c r="B2155" i="14"/>
  <c r="A2155" i="14"/>
  <c r="G2154" i="14"/>
  <c r="F2154" i="14"/>
  <c r="E2154" i="14"/>
  <c r="D2154" i="14"/>
  <c r="C2154" i="14"/>
  <c r="B2154" i="14"/>
  <c r="A2154" i="14"/>
  <c r="G2153" i="14"/>
  <c r="F2153" i="14"/>
  <c r="E2153" i="14"/>
  <c r="D2153" i="14"/>
  <c r="C2153" i="14"/>
  <c r="B2153" i="14"/>
  <c r="A2153" i="14"/>
  <c r="G2152" i="14"/>
  <c r="F2152" i="14"/>
  <c r="E2152" i="14"/>
  <c r="D2152" i="14"/>
  <c r="C2152" i="14"/>
  <c r="B2152" i="14"/>
  <c r="A2152" i="14"/>
  <c r="G2151" i="14"/>
  <c r="F2151" i="14"/>
  <c r="E2151" i="14"/>
  <c r="D2151" i="14"/>
  <c r="C2151" i="14"/>
  <c r="B2151" i="14"/>
  <c r="A2151" i="14"/>
  <c r="G2150" i="14"/>
  <c r="F2150" i="14"/>
  <c r="E2150" i="14"/>
  <c r="D2150" i="14"/>
  <c r="C2150" i="14"/>
  <c r="B2150" i="14"/>
  <c r="A2150" i="14"/>
  <c r="G2149" i="14"/>
  <c r="F2149" i="14"/>
  <c r="E2149" i="14"/>
  <c r="D2149" i="14"/>
  <c r="C2149" i="14"/>
  <c r="B2149" i="14"/>
  <c r="A2149" i="14"/>
  <c r="G2148" i="14"/>
  <c r="F2148" i="14"/>
  <c r="E2148" i="14"/>
  <c r="D2148" i="14"/>
  <c r="C2148" i="14"/>
  <c r="B2148" i="14"/>
  <c r="A2148" i="14"/>
  <c r="G2147" i="14"/>
  <c r="F2147" i="14"/>
  <c r="E2147" i="14"/>
  <c r="D2147" i="14"/>
  <c r="C2147" i="14"/>
  <c r="B2147" i="14"/>
  <c r="A2147" i="14"/>
  <c r="G2146" i="14"/>
  <c r="F2146" i="14"/>
  <c r="E2146" i="14"/>
  <c r="D2146" i="14"/>
  <c r="C2146" i="14"/>
  <c r="B2146" i="14"/>
  <c r="A2146" i="14"/>
  <c r="G2145" i="14"/>
  <c r="F2145" i="14"/>
  <c r="E2145" i="14"/>
  <c r="D2145" i="14"/>
  <c r="C2145" i="14"/>
  <c r="B2145" i="14"/>
  <c r="A2145" i="14"/>
  <c r="G2144" i="14"/>
  <c r="F2144" i="14"/>
  <c r="E2144" i="14"/>
  <c r="D2144" i="14"/>
  <c r="C2144" i="14"/>
  <c r="B2144" i="14"/>
  <c r="A2144" i="14"/>
  <c r="G2143" i="14"/>
  <c r="F2143" i="14"/>
  <c r="E2143" i="14"/>
  <c r="D2143" i="14"/>
  <c r="C2143" i="14"/>
  <c r="B2143" i="14"/>
  <c r="A2143" i="14"/>
  <c r="G2142" i="14"/>
  <c r="F2142" i="14"/>
  <c r="E2142" i="14"/>
  <c r="D2142" i="14"/>
  <c r="C2142" i="14"/>
  <c r="B2142" i="14"/>
  <c r="A2142" i="14"/>
  <c r="G2141" i="14"/>
  <c r="F2141" i="14"/>
  <c r="E2141" i="14"/>
  <c r="D2141" i="14"/>
  <c r="C2141" i="14"/>
  <c r="B2141" i="14"/>
  <c r="A2141" i="14"/>
  <c r="G2140" i="14"/>
  <c r="F2140" i="14"/>
  <c r="E2140" i="14"/>
  <c r="D2140" i="14"/>
  <c r="C2140" i="14"/>
  <c r="B2140" i="14"/>
  <c r="A2140" i="14"/>
  <c r="G2139" i="14"/>
  <c r="F2139" i="14"/>
  <c r="E2139" i="14"/>
  <c r="D2139" i="14"/>
  <c r="C2139" i="14"/>
  <c r="B2139" i="14"/>
  <c r="A2139" i="14"/>
  <c r="G2138" i="14"/>
  <c r="F2138" i="14"/>
  <c r="E2138" i="14"/>
  <c r="D2138" i="14"/>
  <c r="C2138" i="14"/>
  <c r="B2138" i="14"/>
  <c r="A2138" i="14"/>
  <c r="G2137" i="14"/>
  <c r="F2137" i="14"/>
  <c r="E2137" i="14"/>
  <c r="D2137" i="14"/>
  <c r="C2137" i="14"/>
  <c r="B2137" i="14"/>
  <c r="A2137" i="14"/>
  <c r="G2136" i="14"/>
  <c r="F2136" i="14"/>
  <c r="E2136" i="14"/>
  <c r="D2136" i="14"/>
  <c r="C2136" i="14"/>
  <c r="B2136" i="14"/>
  <c r="A2136" i="14"/>
  <c r="G2135" i="14"/>
  <c r="F2135" i="14"/>
  <c r="E2135" i="14"/>
  <c r="D2135" i="14"/>
  <c r="C2135" i="14"/>
  <c r="B2135" i="14"/>
  <c r="A2135" i="14"/>
  <c r="G2134" i="14"/>
  <c r="F2134" i="14"/>
  <c r="E2134" i="14"/>
  <c r="D2134" i="14"/>
  <c r="C2134" i="14"/>
  <c r="B2134" i="14"/>
  <c r="A2134" i="14"/>
  <c r="G2133" i="14"/>
  <c r="F2133" i="14"/>
  <c r="E2133" i="14"/>
  <c r="D2133" i="14"/>
  <c r="C2133" i="14"/>
  <c r="B2133" i="14"/>
  <c r="A2133" i="14"/>
  <c r="G2132" i="14"/>
  <c r="F2132" i="14"/>
  <c r="E2132" i="14"/>
  <c r="D2132" i="14"/>
  <c r="C2132" i="14"/>
  <c r="B2132" i="14"/>
  <c r="A2132" i="14"/>
  <c r="G2131" i="14"/>
  <c r="F2131" i="14"/>
  <c r="E2131" i="14"/>
  <c r="D2131" i="14"/>
  <c r="C2131" i="14"/>
  <c r="B2131" i="14"/>
  <c r="A2131" i="14"/>
  <c r="G2130" i="14"/>
  <c r="F2130" i="14"/>
  <c r="E2130" i="14"/>
  <c r="D2130" i="14"/>
  <c r="C2130" i="14"/>
  <c r="B2130" i="14"/>
  <c r="A2130" i="14"/>
  <c r="G2129" i="14"/>
  <c r="F2129" i="14"/>
  <c r="E2129" i="14"/>
  <c r="D2129" i="14"/>
  <c r="C2129" i="14"/>
  <c r="B2129" i="14"/>
  <c r="A2129" i="14"/>
  <c r="G2128" i="14"/>
  <c r="F2128" i="14"/>
  <c r="E2128" i="14"/>
  <c r="D2128" i="14"/>
  <c r="C2128" i="14"/>
  <c r="B2128" i="14"/>
  <c r="A2128" i="14"/>
  <c r="G2127" i="14"/>
  <c r="F2127" i="14"/>
  <c r="E2127" i="14"/>
  <c r="D2127" i="14"/>
  <c r="C2127" i="14"/>
  <c r="B2127" i="14"/>
  <c r="A2127" i="14"/>
  <c r="G2126" i="14"/>
  <c r="F2126" i="14"/>
  <c r="E2126" i="14"/>
  <c r="D2126" i="14"/>
  <c r="C2126" i="14"/>
  <c r="B2126" i="14"/>
  <c r="A2126" i="14"/>
  <c r="G2125" i="14"/>
  <c r="F2125" i="14"/>
  <c r="E2125" i="14"/>
  <c r="D2125" i="14"/>
  <c r="C2125" i="14"/>
  <c r="B2125" i="14"/>
  <c r="A2125" i="14"/>
  <c r="G2124" i="14"/>
  <c r="F2124" i="14"/>
  <c r="E2124" i="14"/>
  <c r="D2124" i="14"/>
  <c r="C2124" i="14"/>
  <c r="B2124" i="14"/>
  <c r="A2124" i="14"/>
  <c r="G2123" i="14"/>
  <c r="F2123" i="14"/>
  <c r="E2123" i="14"/>
  <c r="D2123" i="14"/>
  <c r="C2123" i="14"/>
  <c r="B2123" i="14"/>
  <c r="A2123" i="14"/>
  <c r="G2122" i="14"/>
  <c r="F2122" i="14"/>
  <c r="E2122" i="14"/>
  <c r="D2122" i="14"/>
  <c r="C2122" i="14"/>
  <c r="B2122" i="14"/>
  <c r="A2122" i="14"/>
  <c r="G2121" i="14"/>
  <c r="F2121" i="14"/>
  <c r="E2121" i="14"/>
  <c r="D2121" i="14"/>
  <c r="C2121" i="14"/>
  <c r="B2121" i="14"/>
  <c r="A2121" i="14"/>
  <c r="G2120" i="14"/>
  <c r="F2120" i="14"/>
  <c r="E2120" i="14"/>
  <c r="D2120" i="14"/>
  <c r="C2120" i="14"/>
  <c r="B2120" i="14"/>
  <c r="A2120" i="14"/>
  <c r="G2119" i="14"/>
  <c r="F2119" i="14"/>
  <c r="E2119" i="14"/>
  <c r="D2119" i="14"/>
  <c r="C2119" i="14"/>
  <c r="B2119" i="14"/>
  <c r="A2119" i="14"/>
  <c r="G2118" i="14"/>
  <c r="F2118" i="14"/>
  <c r="E2118" i="14"/>
  <c r="D2118" i="14"/>
  <c r="C2118" i="14"/>
  <c r="B2118" i="14"/>
  <c r="A2118" i="14"/>
  <c r="G2117" i="14"/>
  <c r="F2117" i="14"/>
  <c r="E2117" i="14"/>
  <c r="D2117" i="14"/>
  <c r="C2117" i="14"/>
  <c r="B2117" i="14"/>
  <c r="A2117" i="14"/>
  <c r="G2116" i="14"/>
  <c r="F2116" i="14"/>
  <c r="E2116" i="14"/>
  <c r="D2116" i="14"/>
  <c r="C2116" i="14"/>
  <c r="B2116" i="14"/>
  <c r="A2116" i="14"/>
  <c r="G2115" i="14"/>
  <c r="F2115" i="14"/>
  <c r="E2115" i="14"/>
  <c r="D2115" i="14"/>
  <c r="C2115" i="14"/>
  <c r="B2115" i="14"/>
  <c r="A2115" i="14"/>
  <c r="G2114" i="14"/>
  <c r="F2114" i="14"/>
  <c r="E2114" i="14"/>
  <c r="D2114" i="14"/>
  <c r="C2114" i="14"/>
  <c r="B2114" i="14"/>
  <c r="A2114" i="14"/>
  <c r="G2113" i="14"/>
  <c r="F2113" i="14"/>
  <c r="E2113" i="14"/>
  <c r="D2113" i="14"/>
  <c r="C2113" i="14"/>
  <c r="B2113" i="14"/>
  <c r="A2113" i="14"/>
  <c r="G2112" i="14"/>
  <c r="F2112" i="14"/>
  <c r="E2112" i="14"/>
  <c r="D2112" i="14"/>
  <c r="C2112" i="14"/>
  <c r="B2112" i="14"/>
  <c r="A2112" i="14"/>
  <c r="G2111" i="14"/>
  <c r="F2111" i="14"/>
  <c r="E2111" i="14"/>
  <c r="D2111" i="14"/>
  <c r="C2111" i="14"/>
  <c r="B2111" i="14"/>
  <c r="A2111" i="14"/>
  <c r="G2110" i="14"/>
  <c r="F2110" i="14"/>
  <c r="E2110" i="14"/>
  <c r="D2110" i="14"/>
  <c r="C2110" i="14"/>
  <c r="B2110" i="14"/>
  <c r="A2110" i="14"/>
  <c r="G2109" i="14"/>
  <c r="F2109" i="14"/>
  <c r="E2109" i="14"/>
  <c r="D2109" i="14"/>
  <c r="C2109" i="14"/>
  <c r="B2109" i="14"/>
  <c r="A2109" i="14"/>
  <c r="G2108" i="14"/>
  <c r="F2108" i="14"/>
  <c r="E2108" i="14"/>
  <c r="D2108" i="14"/>
  <c r="C2108" i="14"/>
  <c r="B2108" i="14"/>
  <c r="A2108" i="14"/>
  <c r="G2107" i="14"/>
  <c r="F2107" i="14"/>
  <c r="E2107" i="14"/>
  <c r="D2107" i="14"/>
  <c r="C2107" i="14"/>
  <c r="B2107" i="14"/>
  <c r="A2107" i="14"/>
  <c r="G2106" i="14"/>
  <c r="F2106" i="14"/>
  <c r="E2106" i="14"/>
  <c r="D2106" i="14"/>
  <c r="C2106" i="14"/>
  <c r="B2106" i="14"/>
  <c r="A2106" i="14"/>
  <c r="G2105" i="14"/>
  <c r="F2105" i="14"/>
  <c r="E2105" i="14"/>
  <c r="D2105" i="14"/>
  <c r="C2105" i="14"/>
  <c r="B2105" i="14"/>
  <c r="A2105" i="14"/>
  <c r="G2104" i="14"/>
  <c r="F2104" i="14"/>
  <c r="E2104" i="14"/>
  <c r="D2104" i="14"/>
  <c r="C2104" i="14"/>
  <c r="B2104" i="14"/>
  <c r="A2104" i="14"/>
  <c r="G2103" i="14"/>
  <c r="F2103" i="14"/>
  <c r="E2103" i="14"/>
  <c r="D2103" i="14"/>
  <c r="C2103" i="14"/>
  <c r="B2103" i="14"/>
  <c r="A2103" i="14"/>
  <c r="G2102" i="14"/>
  <c r="F2102" i="14"/>
  <c r="E2102" i="14"/>
  <c r="D2102" i="14"/>
  <c r="C2102" i="14"/>
  <c r="B2102" i="14"/>
  <c r="A2102" i="14"/>
  <c r="G2101" i="14"/>
  <c r="F2101" i="14"/>
  <c r="E2101" i="14"/>
  <c r="D2101" i="14"/>
  <c r="C2101" i="14"/>
  <c r="B2101" i="14"/>
  <c r="A2101" i="14"/>
  <c r="G2100" i="14"/>
  <c r="F2100" i="14"/>
  <c r="E2100" i="14"/>
  <c r="D2100" i="14"/>
  <c r="C2100" i="14"/>
  <c r="B2100" i="14"/>
  <c r="A2100" i="14"/>
  <c r="G2099" i="14"/>
  <c r="F2099" i="14"/>
  <c r="E2099" i="14"/>
  <c r="D2099" i="14"/>
  <c r="C2099" i="14"/>
  <c r="B2099" i="14"/>
  <c r="A2099" i="14"/>
  <c r="G2098" i="14"/>
  <c r="F2098" i="14"/>
  <c r="E2098" i="14"/>
  <c r="D2098" i="14"/>
  <c r="C2098" i="14"/>
  <c r="B2098" i="14"/>
  <c r="A2098" i="14"/>
  <c r="G2097" i="14"/>
  <c r="F2097" i="14"/>
  <c r="E2097" i="14"/>
  <c r="D2097" i="14"/>
  <c r="C2097" i="14"/>
  <c r="B2097" i="14"/>
  <c r="A2097" i="14"/>
  <c r="G2096" i="14"/>
  <c r="F2096" i="14"/>
  <c r="E2096" i="14"/>
  <c r="D2096" i="14"/>
  <c r="C2096" i="14"/>
  <c r="B2096" i="14"/>
  <c r="A2096" i="14"/>
  <c r="G2095" i="14"/>
  <c r="F2095" i="14"/>
  <c r="E2095" i="14"/>
  <c r="D2095" i="14"/>
  <c r="C2095" i="14"/>
  <c r="B2095" i="14"/>
  <c r="A2095" i="14"/>
  <c r="G2094" i="14"/>
  <c r="F2094" i="14"/>
  <c r="E2094" i="14"/>
  <c r="D2094" i="14"/>
  <c r="C2094" i="14"/>
  <c r="B2094" i="14"/>
  <c r="A2094" i="14"/>
  <c r="G2093" i="14"/>
  <c r="F2093" i="14"/>
  <c r="E2093" i="14"/>
  <c r="D2093" i="14"/>
  <c r="C2093" i="14"/>
  <c r="B2093" i="14"/>
  <c r="A2093" i="14"/>
  <c r="G2092" i="14"/>
  <c r="F2092" i="14"/>
  <c r="E2092" i="14"/>
  <c r="D2092" i="14"/>
  <c r="C2092" i="14"/>
  <c r="B2092" i="14"/>
  <c r="A2092" i="14"/>
  <c r="G2091" i="14"/>
  <c r="F2091" i="14"/>
  <c r="E2091" i="14"/>
  <c r="D2091" i="14"/>
  <c r="C2091" i="14"/>
  <c r="B2091" i="14"/>
  <c r="A2091" i="14"/>
  <c r="G2090" i="14"/>
  <c r="F2090" i="14"/>
  <c r="E2090" i="14"/>
  <c r="D2090" i="14"/>
  <c r="C2090" i="14"/>
  <c r="B2090" i="14"/>
  <c r="A2090" i="14"/>
  <c r="G2089" i="14"/>
  <c r="F2089" i="14"/>
  <c r="E2089" i="14"/>
  <c r="D2089" i="14"/>
  <c r="C2089" i="14"/>
  <c r="B2089" i="14"/>
  <c r="A2089" i="14"/>
  <c r="G2088" i="14"/>
  <c r="F2088" i="14"/>
  <c r="E2088" i="14"/>
  <c r="D2088" i="14"/>
  <c r="C2088" i="14"/>
  <c r="B2088" i="14"/>
  <c r="A2088" i="14"/>
  <c r="G2087" i="14"/>
  <c r="F2087" i="14"/>
  <c r="E2087" i="14"/>
  <c r="D2087" i="14"/>
  <c r="C2087" i="14"/>
  <c r="B2087" i="14"/>
  <c r="A2087" i="14"/>
  <c r="G2086" i="14"/>
  <c r="F2086" i="14"/>
  <c r="E2086" i="14"/>
  <c r="D2086" i="14"/>
  <c r="C2086" i="14"/>
  <c r="B2086" i="14"/>
  <c r="A2086" i="14"/>
  <c r="G2085" i="14"/>
  <c r="F2085" i="14"/>
  <c r="E2085" i="14"/>
  <c r="D2085" i="14"/>
  <c r="C2085" i="14"/>
  <c r="B2085" i="14"/>
  <c r="A2085" i="14"/>
  <c r="G2084" i="14"/>
  <c r="F2084" i="14"/>
  <c r="E2084" i="14"/>
  <c r="D2084" i="14"/>
  <c r="C2084" i="14"/>
  <c r="B2084" i="14"/>
  <c r="A2084" i="14"/>
  <c r="G2083" i="14"/>
  <c r="F2083" i="14"/>
  <c r="E2083" i="14"/>
  <c r="D2083" i="14"/>
  <c r="C2083" i="14"/>
  <c r="B2083" i="14"/>
  <c r="A2083" i="14"/>
  <c r="G2082" i="14"/>
  <c r="F2082" i="14"/>
  <c r="E2082" i="14"/>
  <c r="D2082" i="14"/>
  <c r="C2082" i="14"/>
  <c r="B2082" i="14"/>
  <c r="A2082" i="14"/>
  <c r="G2081" i="14"/>
  <c r="F2081" i="14"/>
  <c r="E2081" i="14"/>
  <c r="D2081" i="14"/>
  <c r="C2081" i="14"/>
  <c r="B2081" i="14"/>
  <c r="A2081" i="14"/>
  <c r="G2080" i="14"/>
  <c r="F2080" i="14"/>
  <c r="E2080" i="14"/>
  <c r="D2080" i="14"/>
  <c r="C2080" i="14"/>
  <c r="B2080" i="14"/>
  <c r="A2080" i="14"/>
  <c r="G2079" i="14"/>
  <c r="F2079" i="14"/>
  <c r="E2079" i="14"/>
  <c r="D2079" i="14"/>
  <c r="C2079" i="14"/>
  <c r="B2079" i="14"/>
  <c r="A2079" i="14"/>
  <c r="G2078" i="14"/>
  <c r="F2078" i="14"/>
  <c r="E2078" i="14"/>
  <c r="D2078" i="14"/>
  <c r="C2078" i="14"/>
  <c r="B2078" i="14"/>
  <c r="A2078" i="14"/>
  <c r="G2077" i="14"/>
  <c r="F2077" i="14"/>
  <c r="E2077" i="14"/>
  <c r="D2077" i="14"/>
  <c r="C2077" i="14"/>
  <c r="B2077" i="14"/>
  <c r="A2077" i="14"/>
  <c r="G2076" i="14"/>
  <c r="F2076" i="14"/>
  <c r="E2076" i="14"/>
  <c r="D2076" i="14"/>
  <c r="C2076" i="14"/>
  <c r="B2076" i="14"/>
  <c r="A2076" i="14"/>
  <c r="G2075" i="14"/>
  <c r="F2075" i="14"/>
  <c r="E2075" i="14"/>
  <c r="D2075" i="14"/>
  <c r="C2075" i="14"/>
  <c r="B2075" i="14"/>
  <c r="A2075" i="14"/>
  <c r="G2074" i="14"/>
  <c r="F2074" i="14"/>
  <c r="E2074" i="14"/>
  <c r="D2074" i="14"/>
  <c r="C2074" i="14"/>
  <c r="B2074" i="14"/>
  <c r="A2074" i="14"/>
  <c r="G2073" i="14"/>
  <c r="F2073" i="14"/>
  <c r="E2073" i="14"/>
  <c r="D2073" i="14"/>
  <c r="C2073" i="14"/>
  <c r="B2073" i="14"/>
  <c r="A2073" i="14"/>
  <c r="G2072" i="14"/>
  <c r="F2072" i="14"/>
  <c r="E2072" i="14"/>
  <c r="D2072" i="14"/>
  <c r="C2072" i="14"/>
  <c r="B2072" i="14"/>
  <c r="A2072" i="14"/>
  <c r="G2071" i="14"/>
  <c r="F2071" i="14"/>
  <c r="E2071" i="14"/>
  <c r="D2071" i="14"/>
  <c r="C2071" i="14"/>
  <c r="B2071" i="14"/>
  <c r="A2071" i="14"/>
  <c r="G2070" i="14"/>
  <c r="F2070" i="14"/>
  <c r="E2070" i="14"/>
  <c r="D2070" i="14"/>
  <c r="C2070" i="14"/>
  <c r="B2070" i="14"/>
  <c r="A2070" i="14"/>
  <c r="G2069" i="14"/>
  <c r="F2069" i="14"/>
  <c r="E2069" i="14"/>
  <c r="D2069" i="14"/>
  <c r="C2069" i="14"/>
  <c r="B2069" i="14"/>
  <c r="A2069" i="14"/>
  <c r="G2068" i="14"/>
  <c r="F2068" i="14"/>
  <c r="E2068" i="14"/>
  <c r="D2068" i="14"/>
  <c r="C2068" i="14"/>
  <c r="B2068" i="14"/>
  <c r="A2068" i="14"/>
  <c r="G2067" i="14"/>
  <c r="F2067" i="14"/>
  <c r="E2067" i="14"/>
  <c r="D2067" i="14"/>
  <c r="C2067" i="14"/>
  <c r="B2067" i="14"/>
  <c r="A2067" i="14"/>
  <c r="G2066" i="14"/>
  <c r="F2066" i="14"/>
  <c r="E2066" i="14"/>
  <c r="D2066" i="14"/>
  <c r="C2066" i="14"/>
  <c r="B2066" i="14"/>
  <c r="A2066" i="14"/>
  <c r="G2065" i="14"/>
  <c r="F2065" i="14"/>
  <c r="E2065" i="14"/>
  <c r="D2065" i="14"/>
  <c r="C2065" i="14"/>
  <c r="B2065" i="14"/>
  <c r="A2065" i="14"/>
  <c r="G2064" i="14"/>
  <c r="F2064" i="14"/>
  <c r="E2064" i="14"/>
  <c r="D2064" i="14"/>
  <c r="C2064" i="14"/>
  <c r="B2064" i="14"/>
  <c r="A2064" i="14"/>
  <c r="G2063" i="14"/>
  <c r="F2063" i="14"/>
  <c r="E2063" i="14"/>
  <c r="D2063" i="14"/>
  <c r="C2063" i="14"/>
  <c r="B2063" i="14"/>
  <c r="A2063" i="14"/>
  <c r="G2062" i="14"/>
  <c r="F2062" i="14"/>
  <c r="E2062" i="14"/>
  <c r="D2062" i="14"/>
  <c r="C2062" i="14"/>
  <c r="B2062" i="14"/>
  <c r="A2062" i="14"/>
  <c r="G2061" i="14"/>
  <c r="F2061" i="14"/>
  <c r="E2061" i="14"/>
  <c r="D2061" i="14"/>
  <c r="C2061" i="14"/>
  <c r="B2061" i="14"/>
  <c r="A2061" i="14"/>
  <c r="G2060" i="14"/>
  <c r="F2060" i="14"/>
  <c r="E2060" i="14"/>
  <c r="D2060" i="14"/>
  <c r="C2060" i="14"/>
  <c r="B2060" i="14"/>
  <c r="A2060" i="14"/>
  <c r="G2059" i="14"/>
  <c r="F2059" i="14"/>
  <c r="E2059" i="14"/>
  <c r="D2059" i="14"/>
  <c r="C2059" i="14"/>
  <c r="B2059" i="14"/>
  <c r="A2059" i="14"/>
  <c r="G2058" i="14"/>
  <c r="F2058" i="14"/>
  <c r="E2058" i="14"/>
  <c r="D2058" i="14"/>
  <c r="C2058" i="14"/>
  <c r="B2058" i="14"/>
  <c r="A2058" i="14"/>
  <c r="G2057" i="14"/>
  <c r="F2057" i="14"/>
  <c r="E2057" i="14"/>
  <c r="D2057" i="14"/>
  <c r="C2057" i="14"/>
  <c r="B2057" i="14"/>
  <c r="A2057" i="14"/>
  <c r="G2056" i="14"/>
  <c r="F2056" i="14"/>
  <c r="E2056" i="14"/>
  <c r="D2056" i="14"/>
  <c r="C2056" i="14"/>
  <c r="B2056" i="14"/>
  <c r="A2056" i="14"/>
  <c r="G2055" i="14"/>
  <c r="F2055" i="14"/>
  <c r="E2055" i="14"/>
  <c r="D2055" i="14"/>
  <c r="C2055" i="14"/>
  <c r="B2055" i="14"/>
  <c r="A2055" i="14"/>
  <c r="G2054" i="14"/>
  <c r="F2054" i="14"/>
  <c r="E2054" i="14"/>
  <c r="D2054" i="14"/>
  <c r="C2054" i="14"/>
  <c r="B2054" i="14"/>
  <c r="A2054" i="14"/>
  <c r="G2053" i="14"/>
  <c r="F2053" i="14"/>
  <c r="E2053" i="14"/>
  <c r="D2053" i="14"/>
  <c r="C2053" i="14"/>
  <c r="B2053" i="14"/>
  <c r="A2053" i="14"/>
  <c r="G2052" i="14"/>
  <c r="F2052" i="14"/>
  <c r="E2052" i="14"/>
  <c r="D2052" i="14"/>
  <c r="C2052" i="14"/>
  <c r="B2052" i="14"/>
  <c r="A2052" i="14"/>
  <c r="G2051" i="14"/>
  <c r="F2051" i="14"/>
  <c r="E2051" i="14"/>
  <c r="D2051" i="14"/>
  <c r="C2051" i="14"/>
  <c r="B2051" i="14"/>
  <c r="A2051" i="14"/>
  <c r="G2050" i="14"/>
  <c r="F2050" i="14"/>
  <c r="E2050" i="14"/>
  <c r="D2050" i="14"/>
  <c r="C2050" i="14"/>
  <c r="B2050" i="14"/>
  <c r="A2050" i="14"/>
  <c r="G2049" i="14"/>
  <c r="F2049" i="14"/>
  <c r="E2049" i="14"/>
  <c r="D2049" i="14"/>
  <c r="C2049" i="14"/>
  <c r="B2049" i="14"/>
  <c r="A2049" i="14"/>
  <c r="G2048" i="14"/>
  <c r="F2048" i="14"/>
  <c r="E2048" i="14"/>
  <c r="D2048" i="14"/>
  <c r="C2048" i="14"/>
  <c r="B2048" i="14"/>
  <c r="A2048" i="14"/>
  <c r="G2047" i="14"/>
  <c r="F2047" i="14"/>
  <c r="E2047" i="14"/>
  <c r="D2047" i="14"/>
  <c r="C2047" i="14"/>
  <c r="B2047" i="14"/>
  <c r="A2047" i="14"/>
  <c r="G2046" i="14"/>
  <c r="F2046" i="14"/>
  <c r="E2046" i="14"/>
  <c r="D2046" i="14"/>
  <c r="C2046" i="14"/>
  <c r="B2046" i="14"/>
  <c r="A2046" i="14"/>
  <c r="G2045" i="14"/>
  <c r="F2045" i="14"/>
  <c r="E2045" i="14"/>
  <c r="D2045" i="14"/>
  <c r="C2045" i="14"/>
  <c r="B2045" i="14"/>
  <c r="A2045" i="14"/>
  <c r="G2044" i="14"/>
  <c r="F2044" i="14"/>
  <c r="E2044" i="14"/>
  <c r="D2044" i="14"/>
  <c r="C2044" i="14"/>
  <c r="B2044" i="14"/>
  <c r="A2044" i="14"/>
  <c r="G2043" i="14"/>
  <c r="F2043" i="14"/>
  <c r="E2043" i="14"/>
  <c r="D2043" i="14"/>
  <c r="C2043" i="14"/>
  <c r="B2043" i="14"/>
  <c r="A2043" i="14"/>
  <c r="G2042" i="14"/>
  <c r="F2042" i="14"/>
  <c r="E2042" i="14"/>
  <c r="D2042" i="14"/>
  <c r="C2042" i="14"/>
  <c r="B2042" i="14"/>
  <c r="A2042" i="14"/>
  <c r="G2041" i="14"/>
  <c r="F2041" i="14"/>
  <c r="E2041" i="14"/>
  <c r="D2041" i="14"/>
  <c r="C2041" i="14"/>
  <c r="B2041" i="14"/>
  <c r="A2041" i="14"/>
  <c r="G2040" i="14"/>
  <c r="F2040" i="14"/>
  <c r="E2040" i="14"/>
  <c r="D2040" i="14"/>
  <c r="C2040" i="14"/>
  <c r="B2040" i="14"/>
  <c r="A2040" i="14"/>
  <c r="G2039" i="14"/>
  <c r="F2039" i="14"/>
  <c r="E2039" i="14"/>
  <c r="D2039" i="14"/>
  <c r="C2039" i="14"/>
  <c r="B2039" i="14"/>
  <c r="A2039" i="14"/>
  <c r="G2038" i="14"/>
  <c r="F2038" i="14"/>
  <c r="E2038" i="14"/>
  <c r="D2038" i="14"/>
  <c r="C2038" i="14"/>
  <c r="B2038" i="14"/>
  <c r="A2038" i="14"/>
  <c r="G2037" i="14"/>
  <c r="F2037" i="14"/>
  <c r="E2037" i="14"/>
  <c r="D2037" i="14"/>
  <c r="C2037" i="14"/>
  <c r="B2037" i="14"/>
  <c r="A2037" i="14"/>
  <c r="G2036" i="14"/>
  <c r="F2036" i="14"/>
  <c r="E2036" i="14"/>
  <c r="D2036" i="14"/>
  <c r="C2036" i="14"/>
  <c r="B2036" i="14"/>
  <c r="A2036" i="14"/>
  <c r="G2035" i="14"/>
  <c r="F2035" i="14"/>
  <c r="E2035" i="14"/>
  <c r="D2035" i="14"/>
  <c r="C2035" i="14"/>
  <c r="B2035" i="14"/>
  <c r="A2035" i="14"/>
  <c r="G2034" i="14"/>
  <c r="F2034" i="14"/>
  <c r="E2034" i="14"/>
  <c r="D2034" i="14"/>
  <c r="C2034" i="14"/>
  <c r="B2034" i="14"/>
  <c r="A2034" i="14"/>
  <c r="G2033" i="14"/>
  <c r="F2033" i="14"/>
  <c r="E2033" i="14"/>
  <c r="D2033" i="14"/>
  <c r="C2033" i="14"/>
  <c r="B2033" i="14"/>
  <c r="A2033" i="14"/>
  <c r="G2032" i="14"/>
  <c r="F2032" i="14"/>
  <c r="E2032" i="14"/>
  <c r="D2032" i="14"/>
  <c r="C2032" i="14"/>
  <c r="B2032" i="14"/>
  <c r="A2032" i="14"/>
  <c r="G2031" i="14"/>
  <c r="F2031" i="14"/>
  <c r="E2031" i="14"/>
  <c r="D2031" i="14"/>
  <c r="C2031" i="14"/>
  <c r="B2031" i="14"/>
  <c r="A2031" i="14"/>
  <c r="G2030" i="14"/>
  <c r="F2030" i="14"/>
  <c r="E2030" i="14"/>
  <c r="D2030" i="14"/>
  <c r="C2030" i="14"/>
  <c r="B2030" i="14"/>
  <c r="A2030" i="14"/>
  <c r="G2029" i="14"/>
  <c r="F2029" i="14"/>
  <c r="E2029" i="14"/>
  <c r="D2029" i="14"/>
  <c r="C2029" i="14"/>
  <c r="B2029" i="14"/>
  <c r="A2029" i="14"/>
  <c r="G2028" i="14"/>
  <c r="F2028" i="14"/>
  <c r="E2028" i="14"/>
  <c r="D2028" i="14"/>
  <c r="C2028" i="14"/>
  <c r="B2028" i="14"/>
  <c r="A2028" i="14"/>
  <c r="G2027" i="14"/>
  <c r="F2027" i="14"/>
  <c r="E2027" i="14"/>
  <c r="D2027" i="14"/>
  <c r="C2027" i="14"/>
  <c r="B2027" i="14"/>
  <c r="A2027" i="14"/>
  <c r="G2026" i="14"/>
  <c r="F2026" i="14"/>
  <c r="E2026" i="14"/>
  <c r="D2026" i="14"/>
  <c r="C2026" i="14"/>
  <c r="B2026" i="14"/>
  <c r="A2026" i="14"/>
  <c r="G2025" i="14"/>
  <c r="F2025" i="14"/>
  <c r="E2025" i="14"/>
  <c r="D2025" i="14"/>
  <c r="C2025" i="14"/>
  <c r="B2025" i="14"/>
  <c r="A2025" i="14"/>
  <c r="G2024" i="14"/>
  <c r="F2024" i="14"/>
  <c r="E2024" i="14"/>
  <c r="D2024" i="14"/>
  <c r="C2024" i="14"/>
  <c r="B2024" i="14"/>
  <c r="A2024" i="14"/>
  <c r="G2023" i="14"/>
  <c r="F2023" i="14"/>
  <c r="E2023" i="14"/>
  <c r="D2023" i="14"/>
  <c r="C2023" i="14"/>
  <c r="B2023" i="14"/>
  <c r="A2023" i="14"/>
  <c r="G2022" i="14"/>
  <c r="F2022" i="14"/>
  <c r="E2022" i="14"/>
  <c r="D2022" i="14"/>
  <c r="C2022" i="14"/>
  <c r="B2022" i="14"/>
  <c r="A2022" i="14"/>
  <c r="G2021" i="14"/>
  <c r="F2021" i="14"/>
  <c r="E2021" i="14"/>
  <c r="D2021" i="14"/>
  <c r="C2021" i="14"/>
  <c r="B2021" i="14"/>
  <c r="A2021" i="14"/>
  <c r="G2020" i="14"/>
  <c r="F2020" i="14"/>
  <c r="E2020" i="14"/>
  <c r="D2020" i="14"/>
  <c r="C2020" i="14"/>
  <c r="B2020" i="14"/>
  <c r="A2020" i="14"/>
  <c r="G2019" i="14"/>
  <c r="F2019" i="14"/>
  <c r="E2019" i="14"/>
  <c r="D2019" i="14"/>
  <c r="C2019" i="14"/>
  <c r="B2019" i="14"/>
  <c r="A2019" i="14"/>
  <c r="G2018" i="14"/>
  <c r="F2018" i="14"/>
  <c r="E2018" i="14"/>
  <c r="D2018" i="14"/>
  <c r="C2018" i="14"/>
  <c r="B2018" i="14"/>
  <c r="A2018" i="14"/>
  <c r="G2017" i="14"/>
  <c r="F2017" i="14"/>
  <c r="E2017" i="14"/>
  <c r="D2017" i="14"/>
  <c r="C2017" i="14"/>
  <c r="B2017" i="14"/>
  <c r="A2017" i="14"/>
  <c r="G2016" i="14"/>
  <c r="F2016" i="14"/>
  <c r="E2016" i="14"/>
  <c r="D2016" i="14"/>
  <c r="C2016" i="14"/>
  <c r="B2016" i="14"/>
  <c r="A2016" i="14"/>
  <c r="G2015" i="14"/>
  <c r="F2015" i="14"/>
  <c r="E2015" i="14"/>
  <c r="D2015" i="14"/>
  <c r="C2015" i="14"/>
  <c r="B2015" i="14"/>
  <c r="A2015" i="14"/>
  <c r="G2014" i="14"/>
  <c r="F2014" i="14"/>
  <c r="E2014" i="14"/>
  <c r="D2014" i="14"/>
  <c r="C2014" i="14"/>
  <c r="B2014" i="14"/>
  <c r="A2014" i="14"/>
  <c r="G2013" i="14"/>
  <c r="F2013" i="14"/>
  <c r="E2013" i="14"/>
  <c r="D2013" i="14"/>
  <c r="C2013" i="14"/>
  <c r="B2013" i="14"/>
  <c r="A2013" i="14"/>
  <c r="G2012" i="14"/>
  <c r="F2012" i="14"/>
  <c r="E2012" i="14"/>
  <c r="D2012" i="14"/>
  <c r="C2012" i="14"/>
  <c r="B2012" i="14"/>
  <c r="A2012" i="14"/>
  <c r="G2011" i="14"/>
  <c r="F2011" i="14"/>
  <c r="E2011" i="14"/>
  <c r="D2011" i="14"/>
  <c r="C2011" i="14"/>
  <c r="B2011" i="14"/>
  <c r="A2011" i="14"/>
  <c r="G2010" i="14"/>
  <c r="F2010" i="14"/>
  <c r="E2010" i="14"/>
  <c r="D2010" i="14"/>
  <c r="C2010" i="14"/>
  <c r="B2010" i="14"/>
  <c r="A2010" i="14"/>
  <c r="G2009" i="14"/>
  <c r="F2009" i="14"/>
  <c r="E2009" i="14"/>
  <c r="D2009" i="14"/>
  <c r="C2009" i="14"/>
  <c r="B2009" i="14"/>
  <c r="A2009" i="14"/>
  <c r="G2008" i="14"/>
  <c r="F2008" i="14"/>
  <c r="E2008" i="14"/>
  <c r="D2008" i="14"/>
  <c r="C2008" i="14"/>
  <c r="B2008" i="14"/>
  <c r="A2008" i="14"/>
  <c r="G2007" i="14"/>
  <c r="F2007" i="14"/>
  <c r="E2007" i="14"/>
  <c r="D2007" i="14"/>
  <c r="C2007" i="14"/>
  <c r="B2007" i="14"/>
  <c r="A2007" i="14"/>
  <c r="G2006" i="14"/>
  <c r="F2006" i="14"/>
  <c r="E2006" i="14"/>
  <c r="D2006" i="14"/>
  <c r="C2006" i="14"/>
  <c r="B2006" i="14"/>
  <c r="A2006" i="14"/>
  <c r="G2005" i="14"/>
  <c r="F2005" i="14"/>
  <c r="E2005" i="14"/>
  <c r="D2005" i="14"/>
  <c r="C2005" i="14"/>
  <c r="B2005" i="14"/>
  <c r="A2005" i="14"/>
  <c r="G2004" i="14"/>
  <c r="F2004" i="14"/>
  <c r="E2004" i="14"/>
  <c r="D2004" i="14"/>
  <c r="C2004" i="14"/>
  <c r="B2004" i="14"/>
  <c r="A2004" i="14"/>
  <c r="G2003" i="14"/>
  <c r="F2003" i="14"/>
  <c r="E2003" i="14"/>
  <c r="D2003" i="14"/>
  <c r="C2003" i="14"/>
  <c r="B2003" i="14"/>
  <c r="A2003" i="14"/>
  <c r="G2002" i="14"/>
  <c r="F2002" i="14"/>
  <c r="E2002" i="14"/>
  <c r="D2002" i="14"/>
  <c r="C2002" i="14"/>
  <c r="B2002" i="14"/>
  <c r="A2002" i="14"/>
  <c r="G2001" i="14"/>
  <c r="F2001" i="14"/>
  <c r="E2001" i="14"/>
  <c r="D2001" i="14"/>
  <c r="C2001" i="14"/>
  <c r="B2001" i="14"/>
  <c r="A2001" i="14"/>
  <c r="G2000" i="14"/>
  <c r="F2000" i="14"/>
  <c r="E2000" i="14"/>
  <c r="D2000" i="14"/>
  <c r="C2000" i="14"/>
  <c r="B2000" i="14"/>
  <c r="A2000" i="14"/>
  <c r="G1999" i="14"/>
  <c r="F1999" i="14"/>
  <c r="E1999" i="14"/>
  <c r="D1999" i="14"/>
  <c r="C1999" i="14"/>
  <c r="B1999" i="14"/>
  <c r="A1999" i="14"/>
  <c r="G1998" i="14"/>
  <c r="F1998" i="14"/>
  <c r="E1998" i="14"/>
  <c r="D1998" i="14"/>
  <c r="C1998" i="14"/>
  <c r="B1998" i="14"/>
  <c r="A1998" i="14"/>
  <c r="G1997" i="14"/>
  <c r="F1997" i="14"/>
  <c r="E1997" i="14"/>
  <c r="D1997" i="14"/>
  <c r="C1997" i="14"/>
  <c r="B1997" i="14"/>
  <c r="A1997" i="14"/>
  <c r="G1996" i="14"/>
  <c r="F1996" i="14"/>
  <c r="E1996" i="14"/>
  <c r="D1996" i="14"/>
  <c r="C1996" i="14"/>
  <c r="B1996" i="14"/>
  <c r="A1996" i="14"/>
  <c r="G1995" i="14"/>
  <c r="F1995" i="14"/>
  <c r="E1995" i="14"/>
  <c r="D1995" i="14"/>
  <c r="C1995" i="14"/>
  <c r="B1995" i="14"/>
  <c r="A1995" i="14"/>
  <c r="G1994" i="14"/>
  <c r="F1994" i="14"/>
  <c r="E1994" i="14"/>
  <c r="D1994" i="14"/>
  <c r="C1994" i="14"/>
  <c r="B1994" i="14"/>
  <c r="A1994" i="14"/>
  <c r="G1993" i="14"/>
  <c r="F1993" i="14"/>
  <c r="E1993" i="14"/>
  <c r="D1993" i="14"/>
  <c r="C1993" i="14"/>
  <c r="B1993" i="14"/>
  <c r="A1993" i="14"/>
  <c r="G1992" i="14"/>
  <c r="F1992" i="14"/>
  <c r="E1992" i="14"/>
  <c r="D1992" i="14"/>
  <c r="C1992" i="14"/>
  <c r="B1992" i="14"/>
  <c r="A1992" i="14"/>
  <c r="G1991" i="14"/>
  <c r="F1991" i="14"/>
  <c r="E1991" i="14"/>
  <c r="D1991" i="14"/>
  <c r="C1991" i="14"/>
  <c r="B1991" i="14"/>
  <c r="A1991" i="14"/>
  <c r="G1990" i="14"/>
  <c r="F1990" i="14"/>
  <c r="E1990" i="14"/>
  <c r="D1990" i="14"/>
  <c r="C1990" i="14"/>
  <c r="B1990" i="14"/>
  <c r="A1990" i="14"/>
  <c r="G1989" i="14"/>
  <c r="F1989" i="14"/>
  <c r="E1989" i="14"/>
  <c r="D1989" i="14"/>
  <c r="C1989" i="14"/>
  <c r="B1989" i="14"/>
  <c r="A1989" i="14"/>
  <c r="G1988" i="14"/>
  <c r="F1988" i="14"/>
  <c r="E1988" i="14"/>
  <c r="D1988" i="14"/>
  <c r="C1988" i="14"/>
  <c r="B1988" i="14"/>
  <c r="A1988" i="14"/>
  <c r="G1987" i="14"/>
  <c r="F1987" i="14"/>
  <c r="E1987" i="14"/>
  <c r="D1987" i="14"/>
  <c r="C1987" i="14"/>
  <c r="B1987" i="14"/>
  <c r="A1987" i="14"/>
  <c r="G1986" i="14"/>
  <c r="F1986" i="14"/>
  <c r="E1986" i="14"/>
  <c r="D1986" i="14"/>
  <c r="C1986" i="14"/>
  <c r="B1986" i="14"/>
  <c r="A1986" i="14"/>
  <c r="G1985" i="14"/>
  <c r="F1985" i="14"/>
  <c r="E1985" i="14"/>
  <c r="D1985" i="14"/>
  <c r="C1985" i="14"/>
  <c r="B1985" i="14"/>
  <c r="A1985" i="14"/>
  <c r="G1984" i="14"/>
  <c r="F1984" i="14"/>
  <c r="E1984" i="14"/>
  <c r="D1984" i="14"/>
  <c r="C1984" i="14"/>
  <c r="B1984" i="14"/>
  <c r="A1984" i="14"/>
  <c r="G1983" i="14"/>
  <c r="F1983" i="14"/>
  <c r="E1983" i="14"/>
  <c r="D1983" i="14"/>
  <c r="C1983" i="14"/>
  <c r="B1983" i="14"/>
  <c r="A1983" i="14"/>
  <c r="G1982" i="14"/>
  <c r="F1982" i="14"/>
  <c r="E1982" i="14"/>
  <c r="D1982" i="14"/>
  <c r="C1982" i="14"/>
  <c r="B1982" i="14"/>
  <c r="A1982" i="14"/>
  <c r="G1981" i="14"/>
  <c r="F1981" i="14"/>
  <c r="E1981" i="14"/>
  <c r="D1981" i="14"/>
  <c r="C1981" i="14"/>
  <c r="B1981" i="14"/>
  <c r="A1981" i="14"/>
  <c r="G1980" i="14"/>
  <c r="F1980" i="14"/>
  <c r="E1980" i="14"/>
  <c r="D1980" i="14"/>
  <c r="C1980" i="14"/>
  <c r="B1980" i="14"/>
  <c r="A1980" i="14"/>
  <c r="G1979" i="14"/>
  <c r="F1979" i="14"/>
  <c r="E1979" i="14"/>
  <c r="D1979" i="14"/>
  <c r="C1979" i="14"/>
  <c r="B1979" i="14"/>
  <c r="A1979" i="14"/>
  <c r="G1978" i="14"/>
  <c r="F1978" i="14"/>
  <c r="E1978" i="14"/>
  <c r="D1978" i="14"/>
  <c r="C1978" i="14"/>
  <c r="B1978" i="14"/>
  <c r="A1978" i="14"/>
  <c r="G1977" i="14"/>
  <c r="F1977" i="14"/>
  <c r="E1977" i="14"/>
  <c r="D1977" i="14"/>
  <c r="C1977" i="14"/>
  <c r="B1977" i="14"/>
  <c r="A1977" i="14"/>
  <c r="G1976" i="14"/>
  <c r="F1976" i="14"/>
  <c r="E1976" i="14"/>
  <c r="D1976" i="14"/>
  <c r="C1976" i="14"/>
  <c r="B1976" i="14"/>
  <c r="A1976" i="14"/>
  <c r="G1975" i="14"/>
  <c r="F1975" i="14"/>
  <c r="E1975" i="14"/>
  <c r="D1975" i="14"/>
  <c r="C1975" i="14"/>
  <c r="B1975" i="14"/>
  <c r="A1975" i="14"/>
  <c r="G1974" i="14"/>
  <c r="F1974" i="14"/>
  <c r="E1974" i="14"/>
  <c r="D1974" i="14"/>
  <c r="C1974" i="14"/>
  <c r="B1974" i="14"/>
  <c r="A1974" i="14"/>
  <c r="G1973" i="14"/>
  <c r="F1973" i="14"/>
  <c r="E1973" i="14"/>
  <c r="D1973" i="14"/>
  <c r="C1973" i="14"/>
  <c r="B1973" i="14"/>
  <c r="A1973" i="14"/>
  <c r="G1972" i="14"/>
  <c r="F1972" i="14"/>
  <c r="E1972" i="14"/>
  <c r="D1972" i="14"/>
  <c r="C1972" i="14"/>
  <c r="B1972" i="14"/>
  <c r="A1972" i="14"/>
  <c r="G1971" i="14"/>
  <c r="F1971" i="14"/>
  <c r="E1971" i="14"/>
  <c r="D1971" i="14"/>
  <c r="C1971" i="14"/>
  <c r="B1971" i="14"/>
  <c r="A1971" i="14"/>
  <c r="G1970" i="14"/>
  <c r="F1970" i="14"/>
  <c r="E1970" i="14"/>
  <c r="D1970" i="14"/>
  <c r="C1970" i="14"/>
  <c r="B1970" i="14"/>
  <c r="A1970" i="14"/>
  <c r="G1969" i="14"/>
  <c r="F1969" i="14"/>
  <c r="E1969" i="14"/>
  <c r="D1969" i="14"/>
  <c r="C1969" i="14"/>
  <c r="B1969" i="14"/>
  <c r="A1969" i="14"/>
  <c r="G1968" i="14"/>
  <c r="F1968" i="14"/>
  <c r="E1968" i="14"/>
  <c r="D1968" i="14"/>
  <c r="C1968" i="14"/>
  <c r="B1968" i="14"/>
  <c r="A1968" i="14"/>
  <c r="G1967" i="14"/>
  <c r="F1967" i="14"/>
  <c r="E1967" i="14"/>
  <c r="D1967" i="14"/>
  <c r="C1967" i="14"/>
  <c r="B1967" i="14"/>
  <c r="A1967" i="14"/>
  <c r="G1966" i="14"/>
  <c r="F1966" i="14"/>
  <c r="E1966" i="14"/>
  <c r="D1966" i="14"/>
  <c r="C1966" i="14"/>
  <c r="B1966" i="14"/>
  <c r="A1966" i="14"/>
  <c r="G1965" i="14"/>
  <c r="F1965" i="14"/>
  <c r="E1965" i="14"/>
  <c r="D1965" i="14"/>
  <c r="C1965" i="14"/>
  <c r="B1965" i="14"/>
  <c r="A1965" i="14"/>
  <c r="G1964" i="14"/>
  <c r="F1964" i="14"/>
  <c r="E1964" i="14"/>
  <c r="D1964" i="14"/>
  <c r="C1964" i="14"/>
  <c r="B1964" i="14"/>
  <c r="A1964" i="14"/>
  <c r="G1963" i="14"/>
  <c r="F1963" i="14"/>
  <c r="E1963" i="14"/>
  <c r="D1963" i="14"/>
  <c r="C1963" i="14"/>
  <c r="B1963" i="14"/>
  <c r="A1963" i="14"/>
  <c r="G1962" i="14"/>
  <c r="F1962" i="14"/>
  <c r="E1962" i="14"/>
  <c r="D1962" i="14"/>
  <c r="C1962" i="14"/>
  <c r="B1962" i="14"/>
  <c r="A1962" i="14"/>
  <c r="G1961" i="14"/>
  <c r="F1961" i="14"/>
  <c r="E1961" i="14"/>
  <c r="D1961" i="14"/>
  <c r="C1961" i="14"/>
  <c r="B1961" i="14"/>
  <c r="A1961" i="14"/>
  <c r="G1960" i="14"/>
  <c r="F1960" i="14"/>
  <c r="E1960" i="14"/>
  <c r="D1960" i="14"/>
  <c r="C1960" i="14"/>
  <c r="B1960" i="14"/>
  <c r="A1960" i="14"/>
  <c r="G1959" i="14"/>
  <c r="F1959" i="14"/>
  <c r="E1959" i="14"/>
  <c r="D1959" i="14"/>
  <c r="C1959" i="14"/>
  <c r="B1959" i="14"/>
  <c r="A1959" i="14"/>
  <c r="G1958" i="14"/>
  <c r="F1958" i="14"/>
  <c r="E1958" i="14"/>
  <c r="D1958" i="14"/>
  <c r="C1958" i="14"/>
  <c r="B1958" i="14"/>
  <c r="A1958" i="14"/>
  <c r="G1957" i="14"/>
  <c r="F1957" i="14"/>
  <c r="E1957" i="14"/>
  <c r="D1957" i="14"/>
  <c r="C1957" i="14"/>
  <c r="B1957" i="14"/>
  <c r="A1957" i="14"/>
  <c r="G1956" i="14"/>
  <c r="F1956" i="14"/>
  <c r="E1956" i="14"/>
  <c r="D1956" i="14"/>
  <c r="C1956" i="14"/>
  <c r="B1956" i="14"/>
  <c r="A1956" i="14"/>
  <c r="G1955" i="14"/>
  <c r="F1955" i="14"/>
  <c r="E1955" i="14"/>
  <c r="D1955" i="14"/>
  <c r="C1955" i="14"/>
  <c r="B1955" i="14"/>
  <c r="A1955" i="14"/>
  <c r="G1954" i="14"/>
  <c r="F1954" i="14"/>
  <c r="E1954" i="14"/>
  <c r="D1954" i="14"/>
  <c r="C1954" i="14"/>
  <c r="B1954" i="14"/>
  <c r="A1954" i="14"/>
  <c r="G1953" i="14"/>
  <c r="F1953" i="14"/>
  <c r="E1953" i="14"/>
  <c r="D1953" i="14"/>
  <c r="C1953" i="14"/>
  <c r="B1953" i="14"/>
  <c r="A1953" i="14"/>
  <c r="G1952" i="14"/>
  <c r="F1952" i="14"/>
  <c r="E1952" i="14"/>
  <c r="D1952" i="14"/>
  <c r="C1952" i="14"/>
  <c r="B1952" i="14"/>
  <c r="A1952" i="14"/>
  <c r="G1951" i="14"/>
  <c r="F1951" i="14"/>
  <c r="E1951" i="14"/>
  <c r="D1951" i="14"/>
  <c r="C1951" i="14"/>
  <c r="B1951" i="14"/>
  <c r="A1951" i="14"/>
  <c r="G1950" i="14"/>
  <c r="F1950" i="14"/>
  <c r="E1950" i="14"/>
  <c r="D1950" i="14"/>
  <c r="C1950" i="14"/>
  <c r="B1950" i="14"/>
  <c r="A1950" i="14"/>
  <c r="G1949" i="14"/>
  <c r="F1949" i="14"/>
  <c r="E1949" i="14"/>
  <c r="D1949" i="14"/>
  <c r="C1949" i="14"/>
  <c r="B1949" i="14"/>
  <c r="A1949" i="14"/>
  <c r="G1948" i="14"/>
  <c r="F1948" i="14"/>
  <c r="E1948" i="14"/>
  <c r="D1948" i="14"/>
  <c r="C1948" i="14"/>
  <c r="B1948" i="14"/>
  <c r="A1948" i="14"/>
  <c r="G1947" i="14"/>
  <c r="F1947" i="14"/>
  <c r="E1947" i="14"/>
  <c r="D1947" i="14"/>
  <c r="C1947" i="14"/>
  <c r="B1947" i="14"/>
  <c r="A1947" i="14"/>
  <c r="G1946" i="14"/>
  <c r="F1946" i="14"/>
  <c r="E1946" i="14"/>
  <c r="D1946" i="14"/>
  <c r="C1946" i="14"/>
  <c r="B1946" i="14"/>
  <c r="A1946" i="14"/>
  <c r="G1945" i="14"/>
  <c r="F1945" i="14"/>
  <c r="E1945" i="14"/>
  <c r="D1945" i="14"/>
  <c r="C1945" i="14"/>
  <c r="B1945" i="14"/>
  <c r="A1945" i="14"/>
  <c r="G1944" i="14"/>
  <c r="F1944" i="14"/>
  <c r="E1944" i="14"/>
  <c r="D1944" i="14"/>
  <c r="C1944" i="14"/>
  <c r="B1944" i="14"/>
  <c r="A1944" i="14"/>
  <c r="G1943" i="14"/>
  <c r="F1943" i="14"/>
  <c r="E1943" i="14"/>
  <c r="D1943" i="14"/>
  <c r="C1943" i="14"/>
  <c r="B1943" i="14"/>
  <c r="A1943" i="14"/>
  <c r="G1942" i="14"/>
  <c r="F1942" i="14"/>
  <c r="E1942" i="14"/>
  <c r="D1942" i="14"/>
  <c r="C1942" i="14"/>
  <c r="B1942" i="14"/>
  <c r="A1942" i="14"/>
  <c r="G1941" i="14"/>
  <c r="F1941" i="14"/>
  <c r="E1941" i="14"/>
  <c r="D1941" i="14"/>
  <c r="C1941" i="14"/>
  <c r="B1941" i="14"/>
  <c r="A1941" i="14"/>
  <c r="G1940" i="14"/>
  <c r="F1940" i="14"/>
  <c r="E1940" i="14"/>
  <c r="D1940" i="14"/>
  <c r="C1940" i="14"/>
  <c r="B1940" i="14"/>
  <c r="A1940" i="14"/>
  <c r="G1939" i="14"/>
  <c r="F1939" i="14"/>
  <c r="E1939" i="14"/>
  <c r="D1939" i="14"/>
  <c r="C1939" i="14"/>
  <c r="B1939" i="14"/>
  <c r="A1939" i="14"/>
  <c r="G1938" i="14"/>
  <c r="F1938" i="14"/>
  <c r="E1938" i="14"/>
  <c r="D1938" i="14"/>
  <c r="C1938" i="14"/>
  <c r="B1938" i="14"/>
  <c r="A1938" i="14"/>
  <c r="G1937" i="14"/>
  <c r="F1937" i="14"/>
  <c r="E1937" i="14"/>
  <c r="D1937" i="14"/>
  <c r="C1937" i="14"/>
  <c r="B1937" i="14"/>
  <c r="A1937" i="14"/>
  <c r="G1936" i="14"/>
  <c r="F1936" i="14"/>
  <c r="E1936" i="14"/>
  <c r="D1936" i="14"/>
  <c r="C1936" i="14"/>
  <c r="B1936" i="14"/>
  <c r="A1936" i="14"/>
  <c r="G1935" i="14"/>
  <c r="F1935" i="14"/>
  <c r="E1935" i="14"/>
  <c r="D1935" i="14"/>
  <c r="C1935" i="14"/>
  <c r="B1935" i="14"/>
  <c r="A1935" i="14"/>
  <c r="G1934" i="14"/>
  <c r="F1934" i="14"/>
  <c r="E1934" i="14"/>
  <c r="D1934" i="14"/>
  <c r="C1934" i="14"/>
  <c r="B1934" i="14"/>
  <c r="A1934" i="14"/>
  <c r="G1933" i="14"/>
  <c r="F1933" i="14"/>
  <c r="E1933" i="14"/>
  <c r="D1933" i="14"/>
  <c r="C1933" i="14"/>
  <c r="B1933" i="14"/>
  <c r="A1933" i="14"/>
  <c r="G1932" i="14"/>
  <c r="F1932" i="14"/>
  <c r="E1932" i="14"/>
  <c r="D1932" i="14"/>
  <c r="C1932" i="14"/>
  <c r="B1932" i="14"/>
  <c r="A1932" i="14"/>
  <c r="G1931" i="14"/>
  <c r="F1931" i="14"/>
  <c r="E1931" i="14"/>
  <c r="D1931" i="14"/>
  <c r="C1931" i="14"/>
  <c r="B1931" i="14"/>
  <c r="A1931" i="14"/>
  <c r="G1930" i="14"/>
  <c r="F1930" i="14"/>
  <c r="E1930" i="14"/>
  <c r="D1930" i="14"/>
  <c r="C1930" i="14"/>
  <c r="B1930" i="14"/>
  <c r="A1930" i="14"/>
  <c r="G1929" i="14"/>
  <c r="F1929" i="14"/>
  <c r="E1929" i="14"/>
  <c r="D1929" i="14"/>
  <c r="C1929" i="14"/>
  <c r="B1929" i="14"/>
  <c r="A1929" i="14"/>
  <c r="G1928" i="14"/>
  <c r="F1928" i="14"/>
  <c r="E1928" i="14"/>
  <c r="D1928" i="14"/>
  <c r="C1928" i="14"/>
  <c r="B1928" i="14"/>
  <c r="A1928" i="14"/>
  <c r="G1927" i="14"/>
  <c r="F1927" i="14"/>
  <c r="E1927" i="14"/>
  <c r="D1927" i="14"/>
  <c r="C1927" i="14"/>
  <c r="B1927" i="14"/>
  <c r="A1927" i="14"/>
  <c r="G1926" i="14"/>
  <c r="F1926" i="14"/>
  <c r="E1926" i="14"/>
  <c r="D1926" i="14"/>
  <c r="C1926" i="14"/>
  <c r="B1926" i="14"/>
  <c r="A1926" i="14"/>
  <c r="G1925" i="14"/>
  <c r="F1925" i="14"/>
  <c r="E1925" i="14"/>
  <c r="D1925" i="14"/>
  <c r="C1925" i="14"/>
  <c r="B1925" i="14"/>
  <c r="A1925" i="14"/>
  <c r="G1924" i="14"/>
  <c r="F1924" i="14"/>
  <c r="E1924" i="14"/>
  <c r="D1924" i="14"/>
  <c r="C1924" i="14"/>
  <c r="B1924" i="14"/>
  <c r="A1924" i="14"/>
  <c r="G1923" i="14"/>
  <c r="F1923" i="14"/>
  <c r="E1923" i="14"/>
  <c r="D1923" i="14"/>
  <c r="C1923" i="14"/>
  <c r="B1923" i="14"/>
  <c r="A1923" i="14"/>
  <c r="G1922" i="14"/>
  <c r="F1922" i="14"/>
  <c r="E1922" i="14"/>
  <c r="D1922" i="14"/>
  <c r="C1922" i="14"/>
  <c r="B1922" i="14"/>
  <c r="A1922" i="14"/>
  <c r="G1921" i="14"/>
  <c r="F1921" i="14"/>
  <c r="E1921" i="14"/>
  <c r="D1921" i="14"/>
  <c r="C1921" i="14"/>
  <c r="B1921" i="14"/>
  <c r="A1921" i="14"/>
  <c r="G1920" i="14"/>
  <c r="F1920" i="14"/>
  <c r="E1920" i="14"/>
  <c r="D1920" i="14"/>
  <c r="C1920" i="14"/>
  <c r="B1920" i="14"/>
  <c r="A1920" i="14"/>
  <c r="G1919" i="14"/>
  <c r="F1919" i="14"/>
  <c r="E1919" i="14"/>
  <c r="D1919" i="14"/>
  <c r="C1919" i="14"/>
  <c r="B1919" i="14"/>
  <c r="A1919" i="14"/>
  <c r="G1918" i="14"/>
  <c r="F1918" i="14"/>
  <c r="E1918" i="14"/>
  <c r="D1918" i="14"/>
  <c r="C1918" i="14"/>
  <c r="B1918" i="14"/>
  <c r="A1918" i="14"/>
  <c r="G1917" i="14"/>
  <c r="F1917" i="14"/>
  <c r="E1917" i="14"/>
  <c r="D1917" i="14"/>
  <c r="C1917" i="14"/>
  <c r="B1917" i="14"/>
  <c r="A1917" i="14"/>
  <c r="G1916" i="14"/>
  <c r="F1916" i="14"/>
  <c r="E1916" i="14"/>
  <c r="D1916" i="14"/>
  <c r="C1916" i="14"/>
  <c r="B1916" i="14"/>
  <c r="A1916" i="14"/>
  <c r="G1915" i="14"/>
  <c r="F1915" i="14"/>
  <c r="E1915" i="14"/>
  <c r="D1915" i="14"/>
  <c r="C1915" i="14"/>
  <c r="B1915" i="14"/>
  <c r="A1915" i="14"/>
  <c r="G1914" i="14"/>
  <c r="F1914" i="14"/>
  <c r="E1914" i="14"/>
  <c r="D1914" i="14"/>
  <c r="C1914" i="14"/>
  <c r="B1914" i="14"/>
  <c r="A1914" i="14"/>
  <c r="G1913" i="14"/>
  <c r="F1913" i="14"/>
  <c r="E1913" i="14"/>
  <c r="D1913" i="14"/>
  <c r="C1913" i="14"/>
  <c r="B1913" i="14"/>
  <c r="A1913" i="14"/>
  <c r="G1912" i="14"/>
  <c r="F1912" i="14"/>
  <c r="E1912" i="14"/>
  <c r="D1912" i="14"/>
  <c r="C1912" i="14"/>
  <c r="B1912" i="14"/>
  <c r="A1912" i="14"/>
  <c r="G1911" i="14"/>
  <c r="F1911" i="14"/>
  <c r="E1911" i="14"/>
  <c r="D1911" i="14"/>
  <c r="C1911" i="14"/>
  <c r="B1911" i="14"/>
  <c r="A1911" i="14"/>
  <c r="G1910" i="14"/>
  <c r="F1910" i="14"/>
  <c r="E1910" i="14"/>
  <c r="D1910" i="14"/>
  <c r="C1910" i="14"/>
  <c r="B1910" i="14"/>
  <c r="A1910" i="14"/>
  <c r="G1909" i="14"/>
  <c r="F1909" i="14"/>
  <c r="E1909" i="14"/>
  <c r="D1909" i="14"/>
  <c r="C1909" i="14"/>
  <c r="B1909" i="14"/>
  <c r="A1909" i="14"/>
  <c r="G1908" i="14"/>
  <c r="F1908" i="14"/>
  <c r="E1908" i="14"/>
  <c r="D1908" i="14"/>
  <c r="C1908" i="14"/>
  <c r="B1908" i="14"/>
  <c r="A1908" i="14"/>
  <c r="G1907" i="14"/>
  <c r="F1907" i="14"/>
  <c r="E1907" i="14"/>
  <c r="D1907" i="14"/>
  <c r="C1907" i="14"/>
  <c r="B1907" i="14"/>
  <c r="A1907" i="14"/>
  <c r="G1906" i="14"/>
  <c r="F1906" i="14"/>
  <c r="E1906" i="14"/>
  <c r="D1906" i="14"/>
  <c r="C1906" i="14"/>
  <c r="B1906" i="14"/>
  <c r="A1906" i="14"/>
  <c r="G1905" i="14"/>
  <c r="F1905" i="14"/>
  <c r="E1905" i="14"/>
  <c r="D1905" i="14"/>
  <c r="C1905" i="14"/>
  <c r="B1905" i="14"/>
  <c r="A1905" i="14"/>
  <c r="G1904" i="14"/>
  <c r="F1904" i="14"/>
  <c r="E1904" i="14"/>
  <c r="D1904" i="14"/>
  <c r="C1904" i="14"/>
  <c r="B1904" i="14"/>
  <c r="A1904" i="14"/>
  <c r="G1903" i="14"/>
  <c r="F1903" i="14"/>
  <c r="E1903" i="14"/>
  <c r="D1903" i="14"/>
  <c r="C1903" i="14"/>
  <c r="B1903" i="14"/>
  <c r="A1903" i="14"/>
  <c r="G1902" i="14"/>
  <c r="F1902" i="14"/>
  <c r="E1902" i="14"/>
  <c r="D1902" i="14"/>
  <c r="C1902" i="14"/>
  <c r="B1902" i="14"/>
  <c r="A1902" i="14"/>
  <c r="G1901" i="14"/>
  <c r="F1901" i="14"/>
  <c r="E1901" i="14"/>
  <c r="D1901" i="14"/>
  <c r="C1901" i="14"/>
  <c r="B1901" i="14"/>
  <c r="A1901" i="14"/>
  <c r="G1900" i="14"/>
  <c r="F1900" i="14"/>
  <c r="E1900" i="14"/>
  <c r="D1900" i="14"/>
  <c r="C1900" i="14"/>
  <c r="B1900" i="14"/>
  <c r="A1900" i="14"/>
  <c r="G1899" i="14"/>
  <c r="F1899" i="14"/>
  <c r="E1899" i="14"/>
  <c r="D1899" i="14"/>
  <c r="C1899" i="14"/>
  <c r="B1899" i="14"/>
  <c r="A1899" i="14"/>
  <c r="G1898" i="14"/>
  <c r="F1898" i="14"/>
  <c r="E1898" i="14"/>
  <c r="D1898" i="14"/>
  <c r="C1898" i="14"/>
  <c r="B1898" i="14"/>
  <c r="A1898" i="14"/>
  <c r="G1897" i="14"/>
  <c r="F1897" i="14"/>
  <c r="E1897" i="14"/>
  <c r="D1897" i="14"/>
  <c r="C1897" i="14"/>
  <c r="B1897" i="14"/>
  <c r="A1897" i="14"/>
  <c r="G1896" i="14"/>
  <c r="F1896" i="14"/>
  <c r="E1896" i="14"/>
  <c r="D1896" i="14"/>
  <c r="C1896" i="14"/>
  <c r="B1896" i="14"/>
  <c r="A1896" i="14"/>
  <c r="G1895" i="14"/>
  <c r="F1895" i="14"/>
  <c r="E1895" i="14"/>
  <c r="D1895" i="14"/>
  <c r="C1895" i="14"/>
  <c r="B1895" i="14"/>
  <c r="A1895" i="14"/>
  <c r="G1894" i="14"/>
  <c r="F1894" i="14"/>
  <c r="E1894" i="14"/>
  <c r="D1894" i="14"/>
  <c r="C1894" i="14"/>
  <c r="B1894" i="14"/>
  <c r="A1894" i="14"/>
  <c r="G1893" i="14"/>
  <c r="F1893" i="14"/>
  <c r="E1893" i="14"/>
  <c r="D1893" i="14"/>
  <c r="C1893" i="14"/>
  <c r="B1893" i="14"/>
  <c r="A1893" i="14"/>
  <c r="G1892" i="14"/>
  <c r="F1892" i="14"/>
  <c r="E1892" i="14"/>
  <c r="D1892" i="14"/>
  <c r="C1892" i="14"/>
  <c r="B1892" i="14"/>
  <c r="A1892" i="14"/>
  <c r="G1891" i="14"/>
  <c r="F1891" i="14"/>
  <c r="E1891" i="14"/>
  <c r="D1891" i="14"/>
  <c r="C1891" i="14"/>
  <c r="B1891" i="14"/>
  <c r="A1891" i="14"/>
  <c r="G1890" i="14"/>
  <c r="F1890" i="14"/>
  <c r="E1890" i="14"/>
  <c r="D1890" i="14"/>
  <c r="C1890" i="14"/>
  <c r="B1890" i="14"/>
  <c r="A1890" i="14"/>
  <c r="G1889" i="14"/>
  <c r="F1889" i="14"/>
  <c r="E1889" i="14"/>
  <c r="D1889" i="14"/>
  <c r="C1889" i="14"/>
  <c r="B1889" i="14"/>
  <c r="A1889" i="14"/>
  <c r="G1888" i="14"/>
  <c r="F1888" i="14"/>
  <c r="E1888" i="14"/>
  <c r="D1888" i="14"/>
  <c r="C1888" i="14"/>
  <c r="B1888" i="14"/>
  <c r="A1888" i="14"/>
  <c r="G1887" i="14"/>
  <c r="F1887" i="14"/>
  <c r="E1887" i="14"/>
  <c r="D1887" i="14"/>
  <c r="C1887" i="14"/>
  <c r="B1887" i="14"/>
  <c r="A1887" i="14"/>
  <c r="G1886" i="14"/>
  <c r="F1886" i="14"/>
  <c r="E1886" i="14"/>
  <c r="D1886" i="14"/>
  <c r="C1886" i="14"/>
  <c r="B1886" i="14"/>
  <c r="A1886" i="14"/>
  <c r="G1885" i="14"/>
  <c r="F1885" i="14"/>
  <c r="E1885" i="14"/>
  <c r="D1885" i="14"/>
  <c r="C1885" i="14"/>
  <c r="B1885" i="14"/>
  <c r="A1885" i="14"/>
  <c r="G1884" i="14"/>
  <c r="F1884" i="14"/>
  <c r="E1884" i="14"/>
  <c r="D1884" i="14"/>
  <c r="C1884" i="14"/>
  <c r="B1884" i="14"/>
  <c r="A1884" i="14"/>
  <c r="G1883" i="14"/>
  <c r="F1883" i="14"/>
  <c r="E1883" i="14"/>
  <c r="D1883" i="14"/>
  <c r="C1883" i="14"/>
  <c r="B1883" i="14"/>
  <c r="A1883" i="14"/>
  <c r="G1882" i="14"/>
  <c r="F1882" i="14"/>
  <c r="E1882" i="14"/>
  <c r="D1882" i="14"/>
  <c r="C1882" i="14"/>
  <c r="B1882" i="14"/>
  <c r="A1882" i="14"/>
  <c r="G1881" i="14"/>
  <c r="F1881" i="14"/>
  <c r="E1881" i="14"/>
  <c r="D1881" i="14"/>
  <c r="C1881" i="14"/>
  <c r="B1881" i="14"/>
  <c r="A1881" i="14"/>
  <c r="G1880" i="14"/>
  <c r="F1880" i="14"/>
  <c r="E1880" i="14"/>
  <c r="D1880" i="14"/>
  <c r="C1880" i="14"/>
  <c r="B1880" i="14"/>
  <c r="A1880" i="14"/>
  <c r="G1879" i="14"/>
  <c r="F1879" i="14"/>
  <c r="E1879" i="14"/>
  <c r="D1879" i="14"/>
  <c r="C1879" i="14"/>
  <c r="B1879" i="14"/>
  <c r="A1879" i="14"/>
  <c r="G1878" i="14"/>
  <c r="F1878" i="14"/>
  <c r="E1878" i="14"/>
  <c r="D1878" i="14"/>
  <c r="C1878" i="14"/>
  <c r="B1878" i="14"/>
  <c r="A1878" i="14"/>
  <c r="G1877" i="14"/>
  <c r="F1877" i="14"/>
  <c r="E1877" i="14"/>
  <c r="D1877" i="14"/>
  <c r="C1877" i="14"/>
  <c r="B1877" i="14"/>
  <c r="A1877" i="14"/>
  <c r="G1876" i="14"/>
  <c r="F1876" i="14"/>
  <c r="E1876" i="14"/>
  <c r="D1876" i="14"/>
  <c r="C1876" i="14"/>
  <c r="B1876" i="14"/>
  <c r="A1876" i="14"/>
  <c r="G1875" i="14"/>
  <c r="F1875" i="14"/>
  <c r="E1875" i="14"/>
  <c r="D1875" i="14"/>
  <c r="C1875" i="14"/>
  <c r="B1875" i="14"/>
  <c r="A1875" i="14"/>
  <c r="G1874" i="14"/>
  <c r="F1874" i="14"/>
  <c r="E1874" i="14"/>
  <c r="D1874" i="14"/>
  <c r="C1874" i="14"/>
  <c r="B1874" i="14"/>
  <c r="A1874" i="14"/>
  <c r="G1873" i="14"/>
  <c r="F1873" i="14"/>
  <c r="E1873" i="14"/>
  <c r="D1873" i="14"/>
  <c r="C1873" i="14"/>
  <c r="B1873" i="14"/>
  <c r="A1873" i="14"/>
  <c r="G1872" i="14"/>
  <c r="F1872" i="14"/>
  <c r="E1872" i="14"/>
  <c r="D1872" i="14"/>
  <c r="C1872" i="14"/>
  <c r="B1872" i="14"/>
  <c r="A1872" i="14"/>
  <c r="G1871" i="14"/>
  <c r="F1871" i="14"/>
  <c r="E1871" i="14"/>
  <c r="D1871" i="14"/>
  <c r="C1871" i="14"/>
  <c r="B1871" i="14"/>
  <c r="A1871" i="14"/>
  <c r="G1870" i="14"/>
  <c r="F1870" i="14"/>
  <c r="E1870" i="14"/>
  <c r="D1870" i="14"/>
  <c r="C1870" i="14"/>
  <c r="B1870" i="14"/>
  <c r="A1870" i="14"/>
  <c r="G1869" i="14"/>
  <c r="F1869" i="14"/>
  <c r="E1869" i="14"/>
  <c r="D1869" i="14"/>
  <c r="C1869" i="14"/>
  <c r="B1869" i="14"/>
  <c r="A1869" i="14"/>
  <c r="G1868" i="14"/>
  <c r="F1868" i="14"/>
  <c r="E1868" i="14"/>
  <c r="D1868" i="14"/>
  <c r="C1868" i="14"/>
  <c r="B1868" i="14"/>
  <c r="A1868" i="14"/>
  <c r="G1867" i="14"/>
  <c r="F1867" i="14"/>
  <c r="E1867" i="14"/>
  <c r="D1867" i="14"/>
  <c r="C1867" i="14"/>
  <c r="B1867" i="14"/>
  <c r="A1867" i="14"/>
  <c r="G1866" i="14"/>
  <c r="F1866" i="14"/>
  <c r="E1866" i="14"/>
  <c r="D1866" i="14"/>
  <c r="C1866" i="14"/>
  <c r="B1866" i="14"/>
  <c r="A1866" i="14"/>
  <c r="G1865" i="14"/>
  <c r="F1865" i="14"/>
  <c r="E1865" i="14"/>
  <c r="D1865" i="14"/>
  <c r="C1865" i="14"/>
  <c r="B1865" i="14"/>
  <c r="A1865" i="14"/>
  <c r="G1864" i="14"/>
  <c r="F1864" i="14"/>
  <c r="E1864" i="14"/>
  <c r="D1864" i="14"/>
  <c r="C1864" i="14"/>
  <c r="B1864" i="14"/>
  <c r="A1864" i="14"/>
  <c r="G1863" i="14"/>
  <c r="F1863" i="14"/>
  <c r="E1863" i="14"/>
  <c r="D1863" i="14"/>
  <c r="C1863" i="14"/>
  <c r="B1863" i="14"/>
  <c r="A1863" i="14"/>
  <c r="G1862" i="14"/>
  <c r="F1862" i="14"/>
  <c r="E1862" i="14"/>
  <c r="D1862" i="14"/>
  <c r="C1862" i="14"/>
  <c r="B1862" i="14"/>
  <c r="A1862" i="14"/>
  <c r="G1861" i="14"/>
  <c r="F1861" i="14"/>
  <c r="E1861" i="14"/>
  <c r="D1861" i="14"/>
  <c r="C1861" i="14"/>
  <c r="B1861" i="14"/>
  <c r="A1861" i="14"/>
  <c r="G1860" i="14"/>
  <c r="F1860" i="14"/>
  <c r="E1860" i="14"/>
  <c r="D1860" i="14"/>
  <c r="C1860" i="14"/>
  <c r="B1860" i="14"/>
  <c r="A1860" i="14"/>
  <c r="G1859" i="14"/>
  <c r="F1859" i="14"/>
  <c r="E1859" i="14"/>
  <c r="D1859" i="14"/>
  <c r="C1859" i="14"/>
  <c r="B1859" i="14"/>
  <c r="A1859" i="14"/>
  <c r="G1858" i="14"/>
  <c r="F1858" i="14"/>
  <c r="E1858" i="14"/>
  <c r="D1858" i="14"/>
  <c r="C1858" i="14"/>
  <c r="B1858" i="14"/>
  <c r="A1858" i="14"/>
  <c r="G1857" i="14"/>
  <c r="F1857" i="14"/>
  <c r="E1857" i="14"/>
  <c r="D1857" i="14"/>
  <c r="C1857" i="14"/>
  <c r="B1857" i="14"/>
  <c r="A1857" i="14"/>
  <c r="G1856" i="14"/>
  <c r="F1856" i="14"/>
  <c r="E1856" i="14"/>
  <c r="D1856" i="14"/>
  <c r="C1856" i="14"/>
  <c r="B1856" i="14"/>
  <c r="A1856" i="14"/>
  <c r="G1855" i="14"/>
  <c r="F1855" i="14"/>
  <c r="E1855" i="14"/>
  <c r="D1855" i="14"/>
  <c r="C1855" i="14"/>
  <c r="B1855" i="14"/>
  <c r="A1855" i="14"/>
  <c r="G1854" i="14"/>
  <c r="F1854" i="14"/>
  <c r="E1854" i="14"/>
  <c r="D1854" i="14"/>
  <c r="C1854" i="14"/>
  <c r="B1854" i="14"/>
  <c r="A1854" i="14"/>
  <c r="G1853" i="14"/>
  <c r="F1853" i="14"/>
  <c r="E1853" i="14"/>
  <c r="D1853" i="14"/>
  <c r="C1853" i="14"/>
  <c r="B1853" i="14"/>
  <c r="A1853" i="14"/>
  <c r="G1852" i="14"/>
  <c r="F1852" i="14"/>
  <c r="E1852" i="14"/>
  <c r="D1852" i="14"/>
  <c r="C1852" i="14"/>
  <c r="B1852" i="14"/>
  <c r="A1852" i="14"/>
  <c r="G1851" i="14"/>
  <c r="F1851" i="14"/>
  <c r="E1851" i="14"/>
  <c r="D1851" i="14"/>
  <c r="C1851" i="14"/>
  <c r="B1851" i="14"/>
  <c r="A1851" i="14"/>
  <c r="G1850" i="14"/>
  <c r="F1850" i="14"/>
  <c r="E1850" i="14"/>
  <c r="D1850" i="14"/>
  <c r="C1850" i="14"/>
  <c r="B1850" i="14"/>
  <c r="A1850" i="14"/>
  <c r="G1849" i="14"/>
  <c r="F1849" i="14"/>
  <c r="E1849" i="14"/>
  <c r="D1849" i="14"/>
  <c r="C1849" i="14"/>
  <c r="B1849" i="14"/>
  <c r="A1849" i="14"/>
  <c r="G1848" i="14"/>
  <c r="F1848" i="14"/>
  <c r="E1848" i="14"/>
  <c r="D1848" i="14"/>
  <c r="C1848" i="14"/>
  <c r="B1848" i="14"/>
  <c r="A1848" i="14"/>
  <c r="G1847" i="14"/>
  <c r="F1847" i="14"/>
  <c r="E1847" i="14"/>
  <c r="D1847" i="14"/>
  <c r="C1847" i="14"/>
  <c r="B1847" i="14"/>
  <c r="A1847" i="14"/>
  <c r="G1846" i="14"/>
  <c r="F1846" i="14"/>
  <c r="E1846" i="14"/>
  <c r="D1846" i="14"/>
  <c r="C1846" i="14"/>
  <c r="B1846" i="14"/>
  <c r="A1846" i="14"/>
  <c r="G1845" i="14"/>
  <c r="F1845" i="14"/>
  <c r="E1845" i="14"/>
  <c r="D1845" i="14"/>
  <c r="C1845" i="14"/>
  <c r="B1845" i="14"/>
  <c r="A1845" i="14"/>
  <c r="G1844" i="14"/>
  <c r="F1844" i="14"/>
  <c r="E1844" i="14"/>
  <c r="D1844" i="14"/>
  <c r="C1844" i="14"/>
  <c r="B1844" i="14"/>
  <c r="A1844" i="14"/>
  <c r="G1843" i="14"/>
  <c r="F1843" i="14"/>
  <c r="E1843" i="14"/>
  <c r="D1843" i="14"/>
  <c r="C1843" i="14"/>
  <c r="B1843" i="14"/>
  <c r="A1843" i="14"/>
  <c r="G1842" i="14"/>
  <c r="F1842" i="14"/>
  <c r="E1842" i="14"/>
  <c r="D1842" i="14"/>
  <c r="C1842" i="14"/>
  <c r="B1842" i="14"/>
  <c r="A1842" i="14"/>
  <c r="G1841" i="14"/>
  <c r="F1841" i="14"/>
  <c r="E1841" i="14"/>
  <c r="D1841" i="14"/>
  <c r="C1841" i="14"/>
  <c r="B1841" i="14"/>
  <c r="A1841" i="14"/>
  <c r="G1840" i="14"/>
  <c r="F1840" i="14"/>
  <c r="E1840" i="14"/>
  <c r="D1840" i="14"/>
  <c r="C1840" i="14"/>
  <c r="B1840" i="14"/>
  <c r="A1840" i="14"/>
  <c r="G1839" i="14"/>
  <c r="F1839" i="14"/>
  <c r="E1839" i="14"/>
  <c r="D1839" i="14"/>
  <c r="C1839" i="14"/>
  <c r="B1839" i="14"/>
  <c r="A1839" i="14"/>
  <c r="G1838" i="14"/>
  <c r="F1838" i="14"/>
  <c r="E1838" i="14"/>
  <c r="D1838" i="14"/>
  <c r="C1838" i="14"/>
  <c r="B1838" i="14"/>
  <c r="A1838" i="14"/>
  <c r="G1837" i="14"/>
  <c r="F1837" i="14"/>
  <c r="E1837" i="14"/>
  <c r="D1837" i="14"/>
  <c r="C1837" i="14"/>
  <c r="B1837" i="14"/>
  <c r="A1837" i="14"/>
  <c r="G1836" i="14"/>
  <c r="F1836" i="14"/>
  <c r="E1836" i="14"/>
  <c r="D1836" i="14"/>
  <c r="C1836" i="14"/>
  <c r="B1836" i="14"/>
  <c r="A1836" i="14"/>
  <c r="G1835" i="14"/>
  <c r="F1835" i="14"/>
  <c r="E1835" i="14"/>
  <c r="D1835" i="14"/>
  <c r="C1835" i="14"/>
  <c r="B1835" i="14"/>
  <c r="A1835" i="14"/>
  <c r="G1834" i="14"/>
  <c r="F1834" i="14"/>
  <c r="E1834" i="14"/>
  <c r="D1834" i="14"/>
  <c r="C1834" i="14"/>
  <c r="B1834" i="14"/>
  <c r="A1834" i="14"/>
  <c r="G1833" i="14"/>
  <c r="F1833" i="14"/>
  <c r="E1833" i="14"/>
  <c r="D1833" i="14"/>
  <c r="C1833" i="14"/>
  <c r="B1833" i="14"/>
  <c r="A1833" i="14"/>
  <c r="G1832" i="14"/>
  <c r="F1832" i="14"/>
  <c r="E1832" i="14"/>
  <c r="D1832" i="14"/>
  <c r="C1832" i="14"/>
  <c r="B1832" i="14"/>
  <c r="A1832" i="14"/>
  <c r="G1831" i="14"/>
  <c r="F1831" i="14"/>
  <c r="E1831" i="14"/>
  <c r="D1831" i="14"/>
  <c r="C1831" i="14"/>
  <c r="B1831" i="14"/>
  <c r="A1831" i="14"/>
  <c r="G1830" i="14"/>
  <c r="F1830" i="14"/>
  <c r="E1830" i="14"/>
  <c r="D1830" i="14"/>
  <c r="C1830" i="14"/>
  <c r="B1830" i="14"/>
  <c r="A1830" i="14"/>
  <c r="G1829" i="14"/>
  <c r="F1829" i="14"/>
  <c r="E1829" i="14"/>
  <c r="D1829" i="14"/>
  <c r="C1829" i="14"/>
  <c r="B1829" i="14"/>
  <c r="A1829" i="14"/>
  <c r="G1828" i="14"/>
  <c r="F1828" i="14"/>
  <c r="E1828" i="14"/>
  <c r="D1828" i="14"/>
  <c r="C1828" i="14"/>
  <c r="B1828" i="14"/>
  <c r="A1828" i="14"/>
  <c r="G1827" i="14"/>
  <c r="F1827" i="14"/>
  <c r="E1827" i="14"/>
  <c r="D1827" i="14"/>
  <c r="C1827" i="14"/>
  <c r="B1827" i="14"/>
  <c r="A1827" i="14"/>
  <c r="G1826" i="14"/>
  <c r="F1826" i="14"/>
  <c r="E1826" i="14"/>
  <c r="D1826" i="14"/>
  <c r="C1826" i="14"/>
  <c r="B1826" i="14"/>
  <c r="A1826" i="14"/>
  <c r="G1825" i="14"/>
  <c r="F1825" i="14"/>
  <c r="E1825" i="14"/>
  <c r="D1825" i="14"/>
  <c r="C1825" i="14"/>
  <c r="B1825" i="14"/>
  <c r="A1825" i="14"/>
  <c r="G1824" i="14"/>
  <c r="F1824" i="14"/>
  <c r="E1824" i="14"/>
  <c r="D1824" i="14"/>
  <c r="C1824" i="14"/>
  <c r="B1824" i="14"/>
  <c r="A1824" i="14"/>
  <c r="G1823" i="14"/>
  <c r="F1823" i="14"/>
  <c r="E1823" i="14"/>
  <c r="D1823" i="14"/>
  <c r="C1823" i="14"/>
  <c r="B1823" i="14"/>
  <c r="A1823" i="14"/>
  <c r="G1822" i="14"/>
  <c r="F1822" i="14"/>
  <c r="E1822" i="14"/>
  <c r="D1822" i="14"/>
  <c r="C1822" i="14"/>
  <c r="B1822" i="14"/>
  <c r="A1822" i="14"/>
  <c r="G1821" i="14"/>
  <c r="F1821" i="14"/>
  <c r="E1821" i="14"/>
  <c r="D1821" i="14"/>
  <c r="C1821" i="14"/>
  <c r="B1821" i="14"/>
  <c r="A1821" i="14"/>
  <c r="G1820" i="14"/>
  <c r="F1820" i="14"/>
  <c r="E1820" i="14"/>
  <c r="D1820" i="14"/>
  <c r="C1820" i="14"/>
  <c r="B1820" i="14"/>
  <c r="A1820" i="14"/>
  <c r="G1819" i="14"/>
  <c r="F1819" i="14"/>
  <c r="E1819" i="14"/>
  <c r="D1819" i="14"/>
  <c r="C1819" i="14"/>
  <c r="B1819" i="14"/>
  <c r="A1819" i="14"/>
  <c r="G1818" i="14"/>
  <c r="F1818" i="14"/>
  <c r="E1818" i="14"/>
  <c r="D1818" i="14"/>
  <c r="C1818" i="14"/>
  <c r="B1818" i="14"/>
  <c r="A1818" i="14"/>
  <c r="G1817" i="14"/>
  <c r="F1817" i="14"/>
  <c r="E1817" i="14"/>
  <c r="D1817" i="14"/>
  <c r="C1817" i="14"/>
  <c r="B1817" i="14"/>
  <c r="A1817" i="14"/>
  <c r="G1816" i="14"/>
  <c r="F1816" i="14"/>
  <c r="E1816" i="14"/>
  <c r="D1816" i="14"/>
  <c r="C1816" i="14"/>
  <c r="B1816" i="14"/>
  <c r="A1816" i="14"/>
  <c r="G1815" i="14"/>
  <c r="F1815" i="14"/>
  <c r="E1815" i="14"/>
  <c r="D1815" i="14"/>
  <c r="C1815" i="14"/>
  <c r="B1815" i="14"/>
  <c r="A1815" i="14"/>
  <c r="G1814" i="14"/>
  <c r="F1814" i="14"/>
  <c r="E1814" i="14"/>
  <c r="D1814" i="14"/>
  <c r="C1814" i="14"/>
  <c r="B1814" i="14"/>
  <c r="A1814" i="14"/>
  <c r="G1813" i="14"/>
  <c r="F1813" i="14"/>
  <c r="E1813" i="14"/>
  <c r="D1813" i="14"/>
  <c r="C1813" i="14"/>
  <c r="B1813" i="14"/>
  <c r="A1813" i="14"/>
  <c r="G1812" i="14"/>
  <c r="F1812" i="14"/>
  <c r="E1812" i="14"/>
  <c r="D1812" i="14"/>
  <c r="C1812" i="14"/>
  <c r="B1812" i="14"/>
  <c r="A1812" i="14"/>
  <c r="G1811" i="14"/>
  <c r="F1811" i="14"/>
  <c r="E1811" i="14"/>
  <c r="D1811" i="14"/>
  <c r="C1811" i="14"/>
  <c r="B1811" i="14"/>
  <c r="A1811" i="14"/>
  <c r="G1810" i="14"/>
  <c r="F1810" i="14"/>
  <c r="E1810" i="14"/>
  <c r="D1810" i="14"/>
  <c r="C1810" i="14"/>
  <c r="B1810" i="14"/>
  <c r="A1810" i="14"/>
  <c r="G1809" i="14"/>
  <c r="F1809" i="14"/>
  <c r="E1809" i="14"/>
  <c r="D1809" i="14"/>
  <c r="C1809" i="14"/>
  <c r="B1809" i="14"/>
  <c r="A1809" i="14"/>
  <c r="G1808" i="14"/>
  <c r="F1808" i="14"/>
  <c r="E1808" i="14"/>
  <c r="D1808" i="14"/>
  <c r="C1808" i="14"/>
  <c r="B1808" i="14"/>
  <c r="A1808" i="14"/>
  <c r="G1807" i="14"/>
  <c r="F1807" i="14"/>
  <c r="E1807" i="14"/>
  <c r="D1807" i="14"/>
  <c r="C1807" i="14"/>
  <c r="B1807" i="14"/>
  <c r="A1807" i="14"/>
  <c r="G1806" i="14"/>
  <c r="F1806" i="14"/>
  <c r="E1806" i="14"/>
  <c r="D1806" i="14"/>
  <c r="C1806" i="14"/>
  <c r="B1806" i="14"/>
  <c r="A1806" i="14"/>
  <c r="G1805" i="14"/>
  <c r="F1805" i="14"/>
  <c r="E1805" i="14"/>
  <c r="D1805" i="14"/>
  <c r="C1805" i="14"/>
  <c r="B1805" i="14"/>
  <c r="A1805" i="14"/>
  <c r="G1804" i="14"/>
  <c r="F1804" i="14"/>
  <c r="E1804" i="14"/>
  <c r="D1804" i="14"/>
  <c r="C1804" i="14"/>
  <c r="B1804" i="14"/>
  <c r="A1804" i="14"/>
  <c r="G1803" i="14"/>
  <c r="F1803" i="14"/>
  <c r="E1803" i="14"/>
  <c r="D1803" i="14"/>
  <c r="C1803" i="14"/>
  <c r="B1803" i="14"/>
  <c r="A1803" i="14"/>
  <c r="G1802" i="14"/>
  <c r="F1802" i="14"/>
  <c r="E1802" i="14"/>
  <c r="D1802" i="14"/>
  <c r="C1802" i="14"/>
  <c r="B1802" i="14"/>
  <c r="A1802" i="14"/>
  <c r="G1801" i="14"/>
  <c r="F1801" i="14"/>
  <c r="E1801" i="14"/>
  <c r="D1801" i="14"/>
  <c r="C1801" i="14"/>
  <c r="B1801" i="14"/>
  <c r="A1801" i="14"/>
  <c r="G1800" i="14"/>
  <c r="F1800" i="14"/>
  <c r="E1800" i="14"/>
  <c r="D1800" i="14"/>
  <c r="C1800" i="14"/>
  <c r="B1800" i="14"/>
  <c r="A1800" i="14"/>
  <c r="G1799" i="14"/>
  <c r="F1799" i="14"/>
  <c r="E1799" i="14"/>
  <c r="D1799" i="14"/>
  <c r="C1799" i="14"/>
  <c r="B1799" i="14"/>
  <c r="A1799" i="14"/>
  <c r="G1798" i="14"/>
  <c r="F1798" i="14"/>
  <c r="E1798" i="14"/>
  <c r="D1798" i="14"/>
  <c r="C1798" i="14"/>
  <c r="B1798" i="14"/>
  <c r="A1798" i="14"/>
  <c r="G1797" i="14"/>
  <c r="F1797" i="14"/>
  <c r="E1797" i="14"/>
  <c r="D1797" i="14"/>
  <c r="C1797" i="14"/>
  <c r="B1797" i="14"/>
  <c r="A1797" i="14"/>
  <c r="G1796" i="14"/>
  <c r="F1796" i="14"/>
  <c r="E1796" i="14"/>
  <c r="D1796" i="14"/>
  <c r="C1796" i="14"/>
  <c r="B1796" i="14"/>
  <c r="A1796" i="14"/>
  <c r="G1795" i="14"/>
  <c r="F1795" i="14"/>
  <c r="E1795" i="14"/>
  <c r="D1795" i="14"/>
  <c r="C1795" i="14"/>
  <c r="B1795" i="14"/>
  <c r="A1795" i="14"/>
  <c r="G1794" i="14"/>
  <c r="F1794" i="14"/>
  <c r="E1794" i="14"/>
  <c r="D1794" i="14"/>
  <c r="C1794" i="14"/>
  <c r="B1794" i="14"/>
  <c r="A1794" i="14"/>
  <c r="G1793" i="14"/>
  <c r="F1793" i="14"/>
  <c r="E1793" i="14"/>
  <c r="D1793" i="14"/>
  <c r="C1793" i="14"/>
  <c r="B1793" i="14"/>
  <c r="A1793" i="14"/>
  <c r="G1792" i="14"/>
  <c r="F1792" i="14"/>
  <c r="E1792" i="14"/>
  <c r="D1792" i="14"/>
  <c r="C1792" i="14"/>
  <c r="B1792" i="14"/>
  <c r="A1792" i="14"/>
  <c r="G1791" i="14"/>
  <c r="F1791" i="14"/>
  <c r="E1791" i="14"/>
  <c r="D1791" i="14"/>
  <c r="C1791" i="14"/>
  <c r="B1791" i="14"/>
  <c r="A1791" i="14"/>
  <c r="G1790" i="14"/>
  <c r="F1790" i="14"/>
  <c r="E1790" i="14"/>
  <c r="D1790" i="14"/>
  <c r="C1790" i="14"/>
  <c r="B1790" i="14"/>
  <c r="A1790" i="14"/>
  <c r="G1789" i="14"/>
  <c r="F1789" i="14"/>
  <c r="E1789" i="14"/>
  <c r="D1789" i="14"/>
  <c r="C1789" i="14"/>
  <c r="B1789" i="14"/>
  <c r="A1789" i="14"/>
  <c r="G1788" i="14"/>
  <c r="F1788" i="14"/>
  <c r="E1788" i="14"/>
  <c r="D1788" i="14"/>
  <c r="C1788" i="14"/>
  <c r="B1788" i="14"/>
  <c r="A1788" i="14"/>
  <c r="G1787" i="14"/>
  <c r="F1787" i="14"/>
  <c r="E1787" i="14"/>
  <c r="D1787" i="14"/>
  <c r="C1787" i="14"/>
  <c r="B1787" i="14"/>
  <c r="A1787" i="14"/>
  <c r="G1786" i="14"/>
  <c r="F1786" i="14"/>
  <c r="E1786" i="14"/>
  <c r="D1786" i="14"/>
  <c r="C1786" i="14"/>
  <c r="B1786" i="14"/>
  <c r="A1786" i="14"/>
  <c r="G1785" i="14"/>
  <c r="F1785" i="14"/>
  <c r="E1785" i="14"/>
  <c r="D1785" i="14"/>
  <c r="C1785" i="14"/>
  <c r="B1785" i="14"/>
  <c r="A1785" i="14"/>
  <c r="G1784" i="14"/>
  <c r="F1784" i="14"/>
  <c r="E1784" i="14"/>
  <c r="D1784" i="14"/>
  <c r="C1784" i="14"/>
  <c r="B1784" i="14"/>
  <c r="A1784" i="14"/>
  <c r="G1783" i="14"/>
  <c r="F1783" i="14"/>
  <c r="E1783" i="14"/>
  <c r="D1783" i="14"/>
  <c r="C1783" i="14"/>
  <c r="B1783" i="14"/>
  <c r="A1783" i="14"/>
  <c r="G1782" i="14"/>
  <c r="F1782" i="14"/>
  <c r="E1782" i="14"/>
  <c r="D1782" i="14"/>
  <c r="C1782" i="14"/>
  <c r="B1782" i="14"/>
  <c r="A1782" i="14"/>
  <c r="G1781" i="14"/>
  <c r="F1781" i="14"/>
  <c r="E1781" i="14"/>
  <c r="D1781" i="14"/>
  <c r="C1781" i="14"/>
  <c r="B1781" i="14"/>
  <c r="A1781" i="14"/>
  <c r="G1780" i="14"/>
  <c r="F1780" i="14"/>
  <c r="E1780" i="14"/>
  <c r="D1780" i="14"/>
  <c r="C1780" i="14"/>
  <c r="B1780" i="14"/>
  <c r="A1780" i="14"/>
  <c r="G1779" i="14"/>
  <c r="F1779" i="14"/>
  <c r="E1779" i="14"/>
  <c r="D1779" i="14"/>
  <c r="C1779" i="14"/>
  <c r="B1779" i="14"/>
  <c r="A1779" i="14"/>
  <c r="G1778" i="14"/>
  <c r="F1778" i="14"/>
  <c r="E1778" i="14"/>
  <c r="D1778" i="14"/>
  <c r="C1778" i="14"/>
  <c r="B1778" i="14"/>
  <c r="A1778" i="14"/>
  <c r="G1777" i="14"/>
  <c r="F1777" i="14"/>
  <c r="E1777" i="14"/>
  <c r="D1777" i="14"/>
  <c r="C1777" i="14"/>
  <c r="B1777" i="14"/>
  <c r="A1777" i="14"/>
  <c r="G1776" i="14"/>
  <c r="F1776" i="14"/>
  <c r="E1776" i="14"/>
  <c r="D1776" i="14"/>
  <c r="C1776" i="14"/>
  <c r="B1776" i="14"/>
  <c r="A1776" i="14"/>
  <c r="G1775" i="14"/>
  <c r="F1775" i="14"/>
  <c r="E1775" i="14"/>
  <c r="D1775" i="14"/>
  <c r="C1775" i="14"/>
  <c r="B1775" i="14"/>
  <c r="A1775" i="14"/>
  <c r="G1774" i="14"/>
  <c r="F1774" i="14"/>
  <c r="E1774" i="14"/>
  <c r="D1774" i="14"/>
  <c r="C1774" i="14"/>
  <c r="B1774" i="14"/>
  <c r="A1774" i="14"/>
  <c r="G1773" i="14"/>
  <c r="F1773" i="14"/>
  <c r="E1773" i="14"/>
  <c r="D1773" i="14"/>
  <c r="C1773" i="14"/>
  <c r="B1773" i="14"/>
  <c r="A1773" i="14"/>
  <c r="G1772" i="14"/>
  <c r="F1772" i="14"/>
  <c r="E1772" i="14"/>
  <c r="D1772" i="14"/>
  <c r="C1772" i="14"/>
  <c r="B1772" i="14"/>
  <c r="A1772" i="14"/>
  <c r="G1771" i="14"/>
  <c r="F1771" i="14"/>
  <c r="E1771" i="14"/>
  <c r="D1771" i="14"/>
  <c r="C1771" i="14"/>
  <c r="B1771" i="14"/>
  <c r="A1771" i="14"/>
  <c r="G1770" i="14"/>
  <c r="F1770" i="14"/>
  <c r="E1770" i="14"/>
  <c r="D1770" i="14"/>
  <c r="C1770" i="14"/>
  <c r="B1770" i="14"/>
  <c r="A1770" i="14"/>
  <c r="G1769" i="14"/>
  <c r="F1769" i="14"/>
  <c r="E1769" i="14"/>
  <c r="D1769" i="14"/>
  <c r="C1769" i="14"/>
  <c r="B1769" i="14"/>
  <c r="A1769" i="14"/>
  <c r="G1768" i="14"/>
  <c r="F1768" i="14"/>
  <c r="E1768" i="14"/>
  <c r="D1768" i="14"/>
  <c r="C1768" i="14"/>
  <c r="B1768" i="14"/>
  <c r="A1768" i="14"/>
  <c r="G1767" i="14"/>
  <c r="F1767" i="14"/>
  <c r="E1767" i="14"/>
  <c r="D1767" i="14"/>
  <c r="C1767" i="14"/>
  <c r="B1767" i="14"/>
  <c r="A1767" i="14"/>
  <c r="G1766" i="14"/>
  <c r="F1766" i="14"/>
  <c r="E1766" i="14"/>
  <c r="D1766" i="14"/>
  <c r="C1766" i="14"/>
  <c r="B1766" i="14"/>
  <c r="A1766" i="14"/>
  <c r="G1765" i="14"/>
  <c r="F1765" i="14"/>
  <c r="E1765" i="14"/>
  <c r="D1765" i="14"/>
  <c r="C1765" i="14"/>
  <c r="B1765" i="14"/>
  <c r="A1765" i="14"/>
  <c r="G1764" i="14"/>
  <c r="F1764" i="14"/>
  <c r="E1764" i="14"/>
  <c r="D1764" i="14"/>
  <c r="C1764" i="14"/>
  <c r="B1764" i="14"/>
  <c r="A1764" i="14"/>
  <c r="G1763" i="14"/>
  <c r="F1763" i="14"/>
  <c r="E1763" i="14"/>
  <c r="D1763" i="14"/>
  <c r="C1763" i="14"/>
  <c r="B1763" i="14"/>
  <c r="A1763" i="14"/>
  <c r="G1762" i="14"/>
  <c r="F1762" i="14"/>
  <c r="E1762" i="14"/>
  <c r="D1762" i="14"/>
  <c r="C1762" i="14"/>
  <c r="B1762" i="14"/>
  <c r="A1762" i="14"/>
  <c r="G1761" i="14"/>
  <c r="F1761" i="14"/>
  <c r="E1761" i="14"/>
  <c r="D1761" i="14"/>
  <c r="C1761" i="14"/>
  <c r="B1761" i="14"/>
  <c r="A1761" i="14"/>
  <c r="G1760" i="14"/>
  <c r="F1760" i="14"/>
  <c r="E1760" i="14"/>
  <c r="D1760" i="14"/>
  <c r="C1760" i="14"/>
  <c r="B1760" i="14"/>
  <c r="A1760" i="14"/>
  <c r="G1759" i="14"/>
  <c r="F1759" i="14"/>
  <c r="E1759" i="14"/>
  <c r="D1759" i="14"/>
  <c r="C1759" i="14"/>
  <c r="B1759" i="14"/>
  <c r="A1759" i="14"/>
  <c r="G1758" i="14"/>
  <c r="F1758" i="14"/>
  <c r="E1758" i="14"/>
  <c r="D1758" i="14"/>
  <c r="C1758" i="14"/>
  <c r="B1758" i="14"/>
  <c r="A1758" i="14"/>
  <c r="G1757" i="14"/>
  <c r="F1757" i="14"/>
  <c r="E1757" i="14"/>
  <c r="D1757" i="14"/>
  <c r="C1757" i="14"/>
  <c r="B1757" i="14"/>
  <c r="A1757" i="14"/>
  <c r="G1756" i="14"/>
  <c r="F1756" i="14"/>
  <c r="E1756" i="14"/>
  <c r="D1756" i="14"/>
  <c r="C1756" i="14"/>
  <c r="B1756" i="14"/>
  <c r="A1756" i="14"/>
  <c r="G1755" i="14"/>
  <c r="F1755" i="14"/>
  <c r="E1755" i="14"/>
  <c r="D1755" i="14"/>
  <c r="C1755" i="14"/>
  <c r="B1755" i="14"/>
  <c r="A1755" i="14"/>
  <c r="G1754" i="14"/>
  <c r="F1754" i="14"/>
  <c r="E1754" i="14"/>
  <c r="D1754" i="14"/>
  <c r="C1754" i="14"/>
  <c r="B1754" i="14"/>
  <c r="A1754" i="14"/>
  <c r="G1753" i="14"/>
  <c r="F1753" i="14"/>
  <c r="E1753" i="14"/>
  <c r="D1753" i="14"/>
  <c r="C1753" i="14"/>
  <c r="B1753" i="14"/>
  <c r="A1753" i="14"/>
  <c r="G1752" i="14"/>
  <c r="F1752" i="14"/>
  <c r="E1752" i="14"/>
  <c r="D1752" i="14"/>
  <c r="C1752" i="14"/>
  <c r="B1752" i="14"/>
  <c r="A1752" i="14"/>
  <c r="G1751" i="14"/>
  <c r="F1751" i="14"/>
  <c r="E1751" i="14"/>
  <c r="D1751" i="14"/>
  <c r="C1751" i="14"/>
  <c r="B1751" i="14"/>
  <c r="A1751" i="14"/>
  <c r="G1750" i="14"/>
  <c r="F1750" i="14"/>
  <c r="E1750" i="14"/>
  <c r="D1750" i="14"/>
  <c r="C1750" i="14"/>
  <c r="B1750" i="14"/>
  <c r="A1750" i="14"/>
  <c r="G1749" i="14"/>
  <c r="F1749" i="14"/>
  <c r="E1749" i="14"/>
  <c r="D1749" i="14"/>
  <c r="C1749" i="14"/>
  <c r="B1749" i="14"/>
  <c r="A1749" i="14"/>
  <c r="G1748" i="14"/>
  <c r="F1748" i="14"/>
  <c r="E1748" i="14"/>
  <c r="D1748" i="14"/>
  <c r="C1748" i="14"/>
  <c r="B1748" i="14"/>
  <c r="A1748" i="14"/>
  <c r="G1747" i="14"/>
  <c r="F1747" i="14"/>
  <c r="E1747" i="14"/>
  <c r="D1747" i="14"/>
  <c r="C1747" i="14"/>
  <c r="B1747" i="14"/>
  <c r="A1747" i="14"/>
  <c r="G1746" i="14"/>
  <c r="F1746" i="14"/>
  <c r="E1746" i="14"/>
  <c r="D1746" i="14"/>
  <c r="C1746" i="14"/>
  <c r="B1746" i="14"/>
  <c r="A1746" i="14"/>
  <c r="G1745" i="14"/>
  <c r="F1745" i="14"/>
  <c r="E1745" i="14"/>
  <c r="D1745" i="14"/>
  <c r="C1745" i="14"/>
  <c r="B1745" i="14"/>
  <c r="A1745" i="14"/>
  <c r="G1744" i="14"/>
  <c r="F1744" i="14"/>
  <c r="E1744" i="14"/>
  <c r="D1744" i="14"/>
  <c r="C1744" i="14"/>
  <c r="B1744" i="14"/>
  <c r="A1744" i="14"/>
  <c r="G1743" i="14"/>
  <c r="F1743" i="14"/>
  <c r="E1743" i="14"/>
  <c r="D1743" i="14"/>
  <c r="C1743" i="14"/>
  <c r="B1743" i="14"/>
  <c r="A1743" i="14"/>
  <c r="G1742" i="14"/>
  <c r="F1742" i="14"/>
  <c r="E1742" i="14"/>
  <c r="D1742" i="14"/>
  <c r="C1742" i="14"/>
  <c r="B1742" i="14"/>
  <c r="A1742" i="14"/>
  <c r="G1741" i="14"/>
  <c r="F1741" i="14"/>
  <c r="E1741" i="14"/>
  <c r="D1741" i="14"/>
  <c r="C1741" i="14"/>
  <c r="B1741" i="14"/>
  <c r="A1741" i="14"/>
  <c r="G1740" i="14"/>
  <c r="F1740" i="14"/>
  <c r="E1740" i="14"/>
  <c r="D1740" i="14"/>
  <c r="C1740" i="14"/>
  <c r="B1740" i="14"/>
  <c r="A1740" i="14"/>
  <c r="G1739" i="14"/>
  <c r="F1739" i="14"/>
  <c r="E1739" i="14"/>
  <c r="D1739" i="14"/>
  <c r="C1739" i="14"/>
  <c r="B1739" i="14"/>
  <c r="A1739" i="14"/>
  <c r="G1738" i="14"/>
  <c r="F1738" i="14"/>
  <c r="E1738" i="14"/>
  <c r="D1738" i="14"/>
  <c r="C1738" i="14"/>
  <c r="B1738" i="14"/>
  <c r="A1738" i="14"/>
  <c r="G1737" i="14"/>
  <c r="F1737" i="14"/>
  <c r="E1737" i="14"/>
  <c r="D1737" i="14"/>
  <c r="C1737" i="14"/>
  <c r="B1737" i="14"/>
  <c r="A1737" i="14"/>
  <c r="G1736" i="14"/>
  <c r="F1736" i="14"/>
  <c r="E1736" i="14"/>
  <c r="D1736" i="14"/>
  <c r="C1736" i="14"/>
  <c r="B1736" i="14"/>
  <c r="A1736" i="14"/>
  <c r="G1735" i="14"/>
  <c r="F1735" i="14"/>
  <c r="E1735" i="14"/>
  <c r="D1735" i="14"/>
  <c r="C1735" i="14"/>
  <c r="B1735" i="14"/>
  <c r="A1735" i="14"/>
  <c r="G1734" i="14"/>
  <c r="F1734" i="14"/>
  <c r="E1734" i="14"/>
  <c r="D1734" i="14"/>
  <c r="C1734" i="14"/>
  <c r="B1734" i="14"/>
  <c r="A1734" i="14"/>
  <c r="G1733" i="14"/>
  <c r="F1733" i="14"/>
  <c r="E1733" i="14"/>
  <c r="D1733" i="14"/>
  <c r="C1733" i="14"/>
  <c r="B1733" i="14"/>
  <c r="A1733" i="14"/>
  <c r="G1732" i="14"/>
  <c r="F1732" i="14"/>
  <c r="E1732" i="14"/>
  <c r="D1732" i="14"/>
  <c r="C1732" i="14"/>
  <c r="B1732" i="14"/>
  <c r="A1732" i="14"/>
  <c r="G1731" i="14"/>
  <c r="F1731" i="14"/>
  <c r="E1731" i="14"/>
  <c r="D1731" i="14"/>
  <c r="C1731" i="14"/>
  <c r="B1731" i="14"/>
  <c r="A1731" i="14"/>
  <c r="G1730" i="14"/>
  <c r="F1730" i="14"/>
  <c r="E1730" i="14"/>
  <c r="D1730" i="14"/>
  <c r="C1730" i="14"/>
  <c r="B1730" i="14"/>
  <c r="A1730" i="14"/>
  <c r="G1729" i="14"/>
  <c r="F1729" i="14"/>
  <c r="E1729" i="14"/>
  <c r="D1729" i="14"/>
  <c r="C1729" i="14"/>
  <c r="B1729" i="14"/>
  <c r="A1729" i="14"/>
  <c r="G1728" i="14"/>
  <c r="F1728" i="14"/>
  <c r="E1728" i="14"/>
  <c r="D1728" i="14"/>
  <c r="C1728" i="14"/>
  <c r="B1728" i="14"/>
  <c r="A1728" i="14"/>
  <c r="G1727" i="14"/>
  <c r="F1727" i="14"/>
  <c r="E1727" i="14"/>
  <c r="D1727" i="14"/>
  <c r="C1727" i="14"/>
  <c r="B1727" i="14"/>
  <c r="A1727" i="14"/>
  <c r="G1726" i="14"/>
  <c r="F1726" i="14"/>
  <c r="E1726" i="14"/>
  <c r="D1726" i="14"/>
  <c r="C1726" i="14"/>
  <c r="B1726" i="14"/>
  <c r="A1726" i="14"/>
  <c r="G1725" i="14"/>
  <c r="F1725" i="14"/>
  <c r="E1725" i="14"/>
  <c r="D1725" i="14"/>
  <c r="C1725" i="14"/>
  <c r="B1725" i="14"/>
  <c r="A1725" i="14"/>
  <c r="G1724" i="14"/>
  <c r="F1724" i="14"/>
  <c r="E1724" i="14"/>
  <c r="D1724" i="14"/>
  <c r="C1724" i="14"/>
  <c r="B1724" i="14"/>
  <c r="A1724" i="14"/>
  <c r="G1723" i="14"/>
  <c r="F1723" i="14"/>
  <c r="E1723" i="14"/>
  <c r="D1723" i="14"/>
  <c r="C1723" i="14"/>
  <c r="B1723" i="14"/>
  <c r="A1723" i="14"/>
  <c r="G1722" i="14"/>
  <c r="F1722" i="14"/>
  <c r="E1722" i="14"/>
  <c r="D1722" i="14"/>
  <c r="C1722" i="14"/>
  <c r="B1722" i="14"/>
  <c r="A1722" i="14"/>
  <c r="G1721" i="14"/>
  <c r="F1721" i="14"/>
  <c r="E1721" i="14"/>
  <c r="D1721" i="14"/>
  <c r="C1721" i="14"/>
  <c r="B1721" i="14"/>
  <c r="A1721" i="14"/>
  <c r="G1720" i="14"/>
  <c r="F1720" i="14"/>
  <c r="E1720" i="14"/>
  <c r="D1720" i="14"/>
  <c r="C1720" i="14"/>
  <c r="B1720" i="14"/>
  <c r="A1720" i="14"/>
  <c r="G1719" i="14"/>
  <c r="F1719" i="14"/>
  <c r="E1719" i="14"/>
  <c r="D1719" i="14"/>
  <c r="C1719" i="14"/>
  <c r="B1719" i="14"/>
  <c r="A1719" i="14"/>
  <c r="G1718" i="14"/>
  <c r="F1718" i="14"/>
  <c r="E1718" i="14"/>
  <c r="D1718" i="14"/>
  <c r="C1718" i="14"/>
  <c r="B1718" i="14"/>
  <c r="A1718" i="14"/>
  <c r="G1717" i="14"/>
  <c r="F1717" i="14"/>
  <c r="E1717" i="14"/>
  <c r="D1717" i="14"/>
  <c r="C1717" i="14"/>
  <c r="B1717" i="14"/>
  <c r="A1717" i="14"/>
  <c r="G1716" i="14"/>
  <c r="F1716" i="14"/>
  <c r="E1716" i="14"/>
  <c r="D1716" i="14"/>
  <c r="C1716" i="14"/>
  <c r="B1716" i="14"/>
  <c r="A1716" i="14"/>
  <c r="G1715" i="14"/>
  <c r="F1715" i="14"/>
  <c r="E1715" i="14"/>
  <c r="D1715" i="14"/>
  <c r="C1715" i="14"/>
  <c r="B1715" i="14"/>
  <c r="A1715" i="14"/>
  <c r="G1714" i="14"/>
  <c r="F1714" i="14"/>
  <c r="E1714" i="14"/>
  <c r="D1714" i="14"/>
  <c r="C1714" i="14"/>
  <c r="B1714" i="14"/>
  <c r="A1714" i="14"/>
  <c r="G1713" i="14"/>
  <c r="F1713" i="14"/>
  <c r="E1713" i="14"/>
  <c r="D1713" i="14"/>
  <c r="C1713" i="14"/>
  <c r="B1713" i="14"/>
  <c r="A1713" i="14"/>
  <c r="G1712" i="14"/>
  <c r="F1712" i="14"/>
  <c r="E1712" i="14"/>
  <c r="D1712" i="14"/>
  <c r="C1712" i="14"/>
  <c r="B1712" i="14"/>
  <c r="A1712" i="14"/>
  <c r="G1711" i="14"/>
  <c r="F1711" i="14"/>
  <c r="E1711" i="14"/>
  <c r="D1711" i="14"/>
  <c r="C1711" i="14"/>
  <c r="B1711" i="14"/>
  <c r="A1711" i="14"/>
  <c r="G1710" i="14"/>
  <c r="F1710" i="14"/>
  <c r="E1710" i="14"/>
  <c r="D1710" i="14"/>
  <c r="C1710" i="14"/>
  <c r="B1710" i="14"/>
  <c r="A1710" i="14"/>
  <c r="G1709" i="14"/>
  <c r="F1709" i="14"/>
  <c r="E1709" i="14"/>
  <c r="D1709" i="14"/>
  <c r="C1709" i="14"/>
  <c r="B1709" i="14"/>
  <c r="A1709" i="14"/>
  <c r="G1708" i="14"/>
  <c r="F1708" i="14"/>
  <c r="E1708" i="14"/>
  <c r="D1708" i="14"/>
  <c r="C1708" i="14"/>
  <c r="B1708" i="14"/>
  <c r="A1708" i="14"/>
  <c r="G1707" i="14"/>
  <c r="F1707" i="14"/>
  <c r="E1707" i="14"/>
  <c r="D1707" i="14"/>
  <c r="C1707" i="14"/>
  <c r="B1707" i="14"/>
  <c r="A1707" i="14"/>
  <c r="G1706" i="14"/>
  <c r="F1706" i="14"/>
  <c r="E1706" i="14"/>
  <c r="D1706" i="14"/>
  <c r="C1706" i="14"/>
  <c r="B1706" i="14"/>
  <c r="A1706" i="14"/>
  <c r="G1705" i="14"/>
  <c r="F1705" i="14"/>
  <c r="E1705" i="14"/>
  <c r="D1705" i="14"/>
  <c r="C1705" i="14"/>
  <c r="B1705" i="14"/>
  <c r="A1705" i="14"/>
  <c r="G1704" i="14"/>
  <c r="F1704" i="14"/>
  <c r="E1704" i="14"/>
  <c r="D1704" i="14"/>
  <c r="C1704" i="14"/>
  <c r="B1704" i="14"/>
  <c r="A1704" i="14"/>
  <c r="G1703" i="14"/>
  <c r="F1703" i="14"/>
  <c r="E1703" i="14"/>
  <c r="D1703" i="14"/>
  <c r="C1703" i="14"/>
  <c r="B1703" i="14"/>
  <c r="A1703" i="14"/>
  <c r="G1702" i="14"/>
  <c r="F1702" i="14"/>
  <c r="E1702" i="14"/>
  <c r="D1702" i="14"/>
  <c r="C1702" i="14"/>
  <c r="B1702" i="14"/>
  <c r="A1702" i="14"/>
  <c r="G1701" i="14"/>
  <c r="F1701" i="14"/>
  <c r="E1701" i="14"/>
  <c r="D1701" i="14"/>
  <c r="C1701" i="14"/>
  <c r="B1701" i="14"/>
  <c r="A1701" i="14"/>
  <c r="G1700" i="14"/>
  <c r="F1700" i="14"/>
  <c r="E1700" i="14"/>
  <c r="D1700" i="14"/>
  <c r="C1700" i="14"/>
  <c r="B1700" i="14"/>
  <c r="A1700" i="14"/>
  <c r="G1699" i="14"/>
  <c r="F1699" i="14"/>
  <c r="E1699" i="14"/>
  <c r="D1699" i="14"/>
  <c r="C1699" i="14"/>
  <c r="B1699" i="14"/>
  <c r="A1699" i="14"/>
  <c r="G1698" i="14"/>
  <c r="F1698" i="14"/>
  <c r="E1698" i="14"/>
  <c r="D1698" i="14"/>
  <c r="C1698" i="14"/>
  <c r="B1698" i="14"/>
  <c r="A1698" i="14"/>
  <c r="G1697" i="14"/>
  <c r="F1697" i="14"/>
  <c r="E1697" i="14"/>
  <c r="D1697" i="14"/>
  <c r="C1697" i="14"/>
  <c r="B1697" i="14"/>
  <c r="A1697" i="14"/>
  <c r="G1696" i="14"/>
  <c r="F1696" i="14"/>
  <c r="E1696" i="14"/>
  <c r="D1696" i="14"/>
  <c r="C1696" i="14"/>
  <c r="B1696" i="14"/>
  <c r="A1696" i="14"/>
  <c r="G1695" i="14"/>
  <c r="F1695" i="14"/>
  <c r="E1695" i="14"/>
  <c r="D1695" i="14"/>
  <c r="C1695" i="14"/>
  <c r="B1695" i="14"/>
  <c r="A1695" i="14"/>
  <c r="G1694" i="14"/>
  <c r="F1694" i="14"/>
  <c r="E1694" i="14"/>
  <c r="D1694" i="14"/>
  <c r="C1694" i="14"/>
  <c r="B1694" i="14"/>
  <c r="A1694" i="14"/>
  <c r="G1693" i="14"/>
  <c r="F1693" i="14"/>
  <c r="E1693" i="14"/>
  <c r="D1693" i="14"/>
  <c r="C1693" i="14"/>
  <c r="B1693" i="14"/>
  <c r="A1693" i="14"/>
  <c r="G1692" i="14"/>
  <c r="F1692" i="14"/>
  <c r="E1692" i="14"/>
  <c r="D1692" i="14"/>
  <c r="C1692" i="14"/>
  <c r="B1692" i="14"/>
  <c r="A1692" i="14"/>
  <c r="G1691" i="14"/>
  <c r="F1691" i="14"/>
  <c r="E1691" i="14"/>
  <c r="D1691" i="14"/>
  <c r="C1691" i="14"/>
  <c r="B1691" i="14"/>
  <c r="A1691" i="14"/>
  <c r="G1690" i="14"/>
  <c r="F1690" i="14"/>
  <c r="E1690" i="14"/>
  <c r="D1690" i="14"/>
  <c r="C1690" i="14"/>
  <c r="B1690" i="14"/>
  <c r="A1690" i="14"/>
  <c r="G1689" i="14"/>
  <c r="F1689" i="14"/>
  <c r="E1689" i="14"/>
  <c r="D1689" i="14"/>
  <c r="C1689" i="14"/>
  <c r="B1689" i="14"/>
  <c r="A1689" i="14"/>
  <c r="G1688" i="14"/>
  <c r="F1688" i="14"/>
  <c r="E1688" i="14"/>
  <c r="D1688" i="14"/>
  <c r="C1688" i="14"/>
  <c r="B1688" i="14"/>
  <c r="A1688" i="14"/>
  <c r="G1687" i="14"/>
  <c r="F1687" i="14"/>
  <c r="E1687" i="14"/>
  <c r="D1687" i="14"/>
  <c r="C1687" i="14"/>
  <c r="B1687" i="14"/>
  <c r="A1687" i="14"/>
  <c r="G1686" i="14"/>
  <c r="F1686" i="14"/>
  <c r="E1686" i="14"/>
  <c r="D1686" i="14"/>
  <c r="C1686" i="14"/>
  <c r="B1686" i="14"/>
  <c r="A1686" i="14"/>
  <c r="G1685" i="14"/>
  <c r="F1685" i="14"/>
  <c r="E1685" i="14"/>
  <c r="D1685" i="14"/>
  <c r="C1685" i="14"/>
  <c r="B1685" i="14"/>
  <c r="A1685" i="14"/>
  <c r="G1684" i="14"/>
  <c r="F1684" i="14"/>
  <c r="E1684" i="14"/>
  <c r="D1684" i="14"/>
  <c r="C1684" i="14"/>
  <c r="B1684" i="14"/>
  <c r="A1684" i="14"/>
  <c r="G1683" i="14"/>
  <c r="F1683" i="14"/>
  <c r="E1683" i="14"/>
  <c r="D1683" i="14"/>
  <c r="C1683" i="14"/>
  <c r="B1683" i="14"/>
  <c r="A1683" i="14"/>
  <c r="G1682" i="14"/>
  <c r="F1682" i="14"/>
  <c r="E1682" i="14"/>
  <c r="D1682" i="14"/>
  <c r="C1682" i="14"/>
  <c r="B1682" i="14"/>
  <c r="A1682" i="14"/>
  <c r="G1681" i="14"/>
  <c r="F1681" i="14"/>
  <c r="E1681" i="14"/>
  <c r="D1681" i="14"/>
  <c r="C1681" i="14"/>
  <c r="B1681" i="14"/>
  <c r="A1681" i="14"/>
  <c r="G1680" i="14"/>
  <c r="F1680" i="14"/>
  <c r="E1680" i="14"/>
  <c r="D1680" i="14"/>
  <c r="C1680" i="14"/>
  <c r="B1680" i="14"/>
  <c r="A1680" i="14"/>
  <c r="G1679" i="14"/>
  <c r="F1679" i="14"/>
  <c r="E1679" i="14"/>
  <c r="D1679" i="14"/>
  <c r="C1679" i="14"/>
  <c r="B1679" i="14"/>
  <c r="A1679" i="14"/>
  <c r="G1678" i="14"/>
  <c r="F1678" i="14"/>
  <c r="E1678" i="14"/>
  <c r="D1678" i="14"/>
  <c r="C1678" i="14"/>
  <c r="B1678" i="14"/>
  <c r="A1678" i="14"/>
  <c r="G1677" i="14"/>
  <c r="F1677" i="14"/>
  <c r="E1677" i="14"/>
  <c r="D1677" i="14"/>
  <c r="C1677" i="14"/>
  <c r="B1677" i="14"/>
  <c r="A1677" i="14"/>
  <c r="G1676" i="14"/>
  <c r="F1676" i="14"/>
  <c r="E1676" i="14"/>
  <c r="D1676" i="14"/>
  <c r="C1676" i="14"/>
  <c r="B1676" i="14"/>
  <c r="A1676" i="14"/>
  <c r="G1675" i="14"/>
  <c r="F1675" i="14"/>
  <c r="E1675" i="14"/>
  <c r="D1675" i="14"/>
  <c r="C1675" i="14"/>
  <c r="B1675" i="14"/>
  <c r="A1675" i="14"/>
  <c r="G1674" i="14"/>
  <c r="F1674" i="14"/>
  <c r="E1674" i="14"/>
  <c r="D1674" i="14"/>
  <c r="C1674" i="14"/>
  <c r="B1674" i="14"/>
  <c r="A1674" i="14"/>
  <c r="G1673" i="14"/>
  <c r="F1673" i="14"/>
  <c r="E1673" i="14"/>
  <c r="D1673" i="14"/>
  <c r="C1673" i="14"/>
  <c r="B1673" i="14"/>
  <c r="A1673" i="14"/>
  <c r="G1672" i="14"/>
  <c r="F1672" i="14"/>
  <c r="E1672" i="14"/>
  <c r="D1672" i="14"/>
  <c r="C1672" i="14"/>
  <c r="B1672" i="14"/>
  <c r="A1672" i="14"/>
  <c r="G1671" i="14"/>
  <c r="F1671" i="14"/>
  <c r="E1671" i="14"/>
  <c r="D1671" i="14"/>
  <c r="C1671" i="14"/>
  <c r="B1671" i="14"/>
  <c r="A1671" i="14"/>
  <c r="G1670" i="14"/>
  <c r="F1670" i="14"/>
  <c r="E1670" i="14"/>
  <c r="D1670" i="14"/>
  <c r="C1670" i="14"/>
  <c r="B1670" i="14"/>
  <c r="A1670" i="14"/>
  <c r="G1669" i="14"/>
  <c r="F1669" i="14"/>
  <c r="E1669" i="14"/>
  <c r="D1669" i="14"/>
  <c r="C1669" i="14"/>
  <c r="B1669" i="14"/>
  <c r="A1669" i="14"/>
  <c r="G1668" i="14"/>
  <c r="F1668" i="14"/>
  <c r="E1668" i="14"/>
  <c r="D1668" i="14"/>
  <c r="C1668" i="14"/>
  <c r="B1668" i="14"/>
  <c r="A1668" i="14"/>
  <c r="G1667" i="14"/>
  <c r="F1667" i="14"/>
  <c r="E1667" i="14"/>
  <c r="D1667" i="14"/>
  <c r="C1667" i="14"/>
  <c r="B1667" i="14"/>
  <c r="A1667" i="14"/>
  <c r="G1666" i="14"/>
  <c r="F1666" i="14"/>
  <c r="E1666" i="14"/>
  <c r="D1666" i="14"/>
  <c r="C1666" i="14"/>
  <c r="B1666" i="14"/>
  <c r="A1666" i="14"/>
  <c r="G1665" i="14"/>
  <c r="F1665" i="14"/>
  <c r="E1665" i="14"/>
  <c r="D1665" i="14"/>
  <c r="C1665" i="14"/>
  <c r="B1665" i="14"/>
  <c r="A1665" i="14"/>
  <c r="G1664" i="14"/>
  <c r="F1664" i="14"/>
  <c r="E1664" i="14"/>
  <c r="D1664" i="14"/>
  <c r="C1664" i="14"/>
  <c r="B1664" i="14"/>
  <c r="A1664" i="14"/>
  <c r="G1663" i="14"/>
  <c r="F1663" i="14"/>
  <c r="E1663" i="14"/>
  <c r="D1663" i="14"/>
  <c r="C1663" i="14"/>
  <c r="B1663" i="14"/>
  <c r="A1663" i="14"/>
  <c r="G1662" i="14"/>
  <c r="F1662" i="14"/>
  <c r="E1662" i="14"/>
  <c r="D1662" i="14"/>
  <c r="C1662" i="14"/>
  <c r="B1662" i="14"/>
  <c r="A1662" i="14"/>
  <c r="G1661" i="14"/>
  <c r="F1661" i="14"/>
  <c r="E1661" i="14"/>
  <c r="D1661" i="14"/>
  <c r="C1661" i="14"/>
  <c r="B1661" i="14"/>
  <c r="A1661" i="14"/>
  <c r="G1660" i="14"/>
  <c r="F1660" i="14"/>
  <c r="E1660" i="14"/>
  <c r="D1660" i="14"/>
  <c r="C1660" i="14"/>
  <c r="B1660" i="14"/>
  <c r="A1660" i="14"/>
  <c r="G1659" i="14"/>
  <c r="F1659" i="14"/>
  <c r="E1659" i="14"/>
  <c r="D1659" i="14"/>
  <c r="C1659" i="14"/>
  <c r="B1659" i="14"/>
  <c r="A1659" i="14"/>
  <c r="G1658" i="14"/>
  <c r="F1658" i="14"/>
  <c r="E1658" i="14"/>
  <c r="D1658" i="14"/>
  <c r="C1658" i="14"/>
  <c r="B1658" i="14"/>
  <c r="A1658" i="14"/>
  <c r="G1657" i="14"/>
  <c r="F1657" i="14"/>
  <c r="E1657" i="14"/>
  <c r="D1657" i="14"/>
  <c r="C1657" i="14"/>
  <c r="B1657" i="14"/>
  <c r="A1657" i="14"/>
  <c r="G1656" i="14"/>
  <c r="F1656" i="14"/>
  <c r="E1656" i="14"/>
  <c r="D1656" i="14"/>
  <c r="C1656" i="14"/>
  <c r="B1656" i="14"/>
  <c r="A1656" i="14"/>
  <c r="G1655" i="14"/>
  <c r="F1655" i="14"/>
  <c r="E1655" i="14"/>
  <c r="D1655" i="14"/>
  <c r="C1655" i="14"/>
  <c r="B1655" i="14"/>
  <c r="A1655" i="14"/>
  <c r="G1654" i="14"/>
  <c r="F1654" i="14"/>
  <c r="E1654" i="14"/>
  <c r="D1654" i="14"/>
  <c r="C1654" i="14"/>
  <c r="B1654" i="14"/>
  <c r="A1654" i="14"/>
  <c r="G1653" i="14"/>
  <c r="F1653" i="14"/>
  <c r="E1653" i="14"/>
  <c r="D1653" i="14"/>
  <c r="C1653" i="14"/>
  <c r="B1653" i="14"/>
  <c r="A1653" i="14"/>
  <c r="G1652" i="14"/>
  <c r="F1652" i="14"/>
  <c r="E1652" i="14"/>
  <c r="D1652" i="14"/>
  <c r="C1652" i="14"/>
  <c r="B1652" i="14"/>
  <c r="A1652" i="14"/>
  <c r="G1651" i="14"/>
  <c r="F1651" i="14"/>
  <c r="E1651" i="14"/>
  <c r="D1651" i="14"/>
  <c r="C1651" i="14"/>
  <c r="B1651" i="14"/>
  <c r="A1651" i="14"/>
  <c r="G1650" i="14"/>
  <c r="F1650" i="14"/>
  <c r="E1650" i="14"/>
  <c r="D1650" i="14"/>
  <c r="C1650" i="14"/>
  <c r="B1650" i="14"/>
  <c r="A1650" i="14"/>
  <c r="G1649" i="14"/>
  <c r="F1649" i="14"/>
  <c r="E1649" i="14"/>
  <c r="D1649" i="14"/>
  <c r="C1649" i="14"/>
  <c r="B1649" i="14"/>
  <c r="A1649" i="14"/>
  <c r="G1648" i="14"/>
  <c r="F1648" i="14"/>
  <c r="E1648" i="14"/>
  <c r="D1648" i="14"/>
  <c r="C1648" i="14"/>
  <c r="B1648" i="14"/>
  <c r="A1648" i="14"/>
  <c r="G1647" i="14"/>
  <c r="F1647" i="14"/>
  <c r="E1647" i="14"/>
  <c r="D1647" i="14"/>
  <c r="C1647" i="14"/>
  <c r="B1647" i="14"/>
  <c r="A1647" i="14"/>
  <c r="G1646" i="14"/>
  <c r="F1646" i="14"/>
  <c r="E1646" i="14"/>
  <c r="D1646" i="14"/>
  <c r="C1646" i="14"/>
  <c r="B1646" i="14"/>
  <c r="A1646" i="14"/>
  <c r="G1645" i="14"/>
  <c r="F1645" i="14"/>
  <c r="E1645" i="14"/>
  <c r="D1645" i="14"/>
  <c r="C1645" i="14"/>
  <c r="B1645" i="14"/>
  <c r="A1645" i="14"/>
  <c r="G1644" i="14"/>
  <c r="F1644" i="14"/>
  <c r="E1644" i="14"/>
  <c r="D1644" i="14"/>
  <c r="C1644" i="14"/>
  <c r="B1644" i="14"/>
  <c r="A1644" i="14"/>
  <c r="G1643" i="14"/>
  <c r="F1643" i="14"/>
  <c r="E1643" i="14"/>
  <c r="D1643" i="14"/>
  <c r="C1643" i="14"/>
  <c r="B1643" i="14"/>
  <c r="A1643" i="14"/>
  <c r="G1642" i="14"/>
  <c r="F1642" i="14"/>
  <c r="E1642" i="14"/>
  <c r="D1642" i="14"/>
  <c r="C1642" i="14"/>
  <c r="B1642" i="14"/>
  <c r="A1642" i="14"/>
  <c r="G1641" i="14"/>
  <c r="F1641" i="14"/>
  <c r="E1641" i="14"/>
  <c r="D1641" i="14"/>
  <c r="C1641" i="14"/>
  <c r="B1641" i="14"/>
  <c r="A1641" i="14"/>
  <c r="G1640" i="14"/>
  <c r="F1640" i="14"/>
  <c r="E1640" i="14"/>
  <c r="D1640" i="14"/>
  <c r="C1640" i="14"/>
  <c r="B1640" i="14"/>
  <c r="A1640" i="14"/>
  <c r="G1639" i="14"/>
  <c r="F1639" i="14"/>
  <c r="E1639" i="14"/>
  <c r="D1639" i="14"/>
  <c r="C1639" i="14"/>
  <c r="B1639" i="14"/>
  <c r="A1639" i="14"/>
  <c r="G1638" i="14"/>
  <c r="F1638" i="14"/>
  <c r="E1638" i="14"/>
  <c r="D1638" i="14"/>
  <c r="C1638" i="14"/>
  <c r="B1638" i="14"/>
  <c r="A1638" i="14"/>
  <c r="G1637" i="14"/>
  <c r="F1637" i="14"/>
  <c r="E1637" i="14"/>
  <c r="D1637" i="14"/>
  <c r="C1637" i="14"/>
  <c r="B1637" i="14"/>
  <c r="A1637" i="14"/>
  <c r="G1636" i="14"/>
  <c r="F1636" i="14"/>
  <c r="E1636" i="14"/>
  <c r="D1636" i="14"/>
  <c r="C1636" i="14"/>
  <c r="B1636" i="14"/>
  <c r="A1636" i="14"/>
  <c r="G1635" i="14"/>
  <c r="F1635" i="14"/>
  <c r="E1635" i="14"/>
  <c r="D1635" i="14"/>
  <c r="C1635" i="14"/>
  <c r="B1635" i="14"/>
  <c r="A1635" i="14"/>
  <c r="G1634" i="14"/>
  <c r="F1634" i="14"/>
  <c r="E1634" i="14"/>
  <c r="D1634" i="14"/>
  <c r="C1634" i="14"/>
  <c r="B1634" i="14"/>
  <c r="A1634" i="14"/>
  <c r="G1633" i="14"/>
  <c r="F1633" i="14"/>
  <c r="E1633" i="14"/>
  <c r="D1633" i="14"/>
  <c r="C1633" i="14"/>
  <c r="B1633" i="14"/>
  <c r="A1633" i="14"/>
  <c r="G1632" i="14"/>
  <c r="F1632" i="14"/>
  <c r="E1632" i="14"/>
  <c r="D1632" i="14"/>
  <c r="C1632" i="14"/>
  <c r="B1632" i="14"/>
  <c r="A1632" i="14"/>
  <c r="G1631" i="14"/>
  <c r="F1631" i="14"/>
  <c r="E1631" i="14"/>
  <c r="D1631" i="14"/>
  <c r="C1631" i="14"/>
  <c r="B1631" i="14"/>
  <c r="A1631" i="14"/>
  <c r="G1630" i="14"/>
  <c r="F1630" i="14"/>
  <c r="E1630" i="14"/>
  <c r="D1630" i="14"/>
  <c r="C1630" i="14"/>
  <c r="B1630" i="14"/>
  <c r="A1630" i="14"/>
  <c r="G1629" i="14"/>
  <c r="F1629" i="14"/>
  <c r="E1629" i="14"/>
  <c r="D1629" i="14"/>
  <c r="C1629" i="14"/>
  <c r="B1629" i="14"/>
  <c r="A1629" i="14"/>
  <c r="G1628" i="14"/>
  <c r="F1628" i="14"/>
  <c r="E1628" i="14"/>
  <c r="D1628" i="14"/>
  <c r="C1628" i="14"/>
  <c r="B1628" i="14"/>
  <c r="A1628" i="14"/>
  <c r="G1627" i="14"/>
  <c r="F1627" i="14"/>
  <c r="E1627" i="14"/>
  <c r="D1627" i="14"/>
  <c r="C1627" i="14"/>
  <c r="B1627" i="14"/>
  <c r="A1627" i="14"/>
  <c r="G1626" i="14"/>
  <c r="F1626" i="14"/>
  <c r="E1626" i="14"/>
  <c r="D1626" i="14"/>
  <c r="C1626" i="14"/>
  <c r="B1626" i="14"/>
  <c r="A1626" i="14"/>
  <c r="G1625" i="14"/>
  <c r="F1625" i="14"/>
  <c r="E1625" i="14"/>
  <c r="D1625" i="14"/>
  <c r="C1625" i="14"/>
  <c r="B1625" i="14"/>
  <c r="A1625" i="14"/>
  <c r="G1624" i="14"/>
  <c r="F1624" i="14"/>
  <c r="E1624" i="14"/>
  <c r="D1624" i="14"/>
  <c r="C1624" i="14"/>
  <c r="B1624" i="14"/>
  <c r="A1624" i="14"/>
  <c r="G1623" i="14"/>
  <c r="F1623" i="14"/>
  <c r="E1623" i="14"/>
  <c r="D1623" i="14"/>
  <c r="C1623" i="14"/>
  <c r="B1623" i="14"/>
  <c r="A1623" i="14"/>
  <c r="G1622" i="14"/>
  <c r="F1622" i="14"/>
  <c r="E1622" i="14"/>
  <c r="D1622" i="14"/>
  <c r="C1622" i="14"/>
  <c r="B1622" i="14"/>
  <c r="A1622" i="14"/>
  <c r="G1621" i="14"/>
  <c r="F1621" i="14"/>
  <c r="E1621" i="14"/>
  <c r="D1621" i="14"/>
  <c r="C1621" i="14"/>
  <c r="B1621" i="14"/>
  <c r="A1621" i="14"/>
  <c r="G1620" i="14"/>
  <c r="F1620" i="14"/>
  <c r="E1620" i="14"/>
  <c r="D1620" i="14"/>
  <c r="C1620" i="14"/>
  <c r="B1620" i="14"/>
  <c r="A1620" i="14"/>
  <c r="G1619" i="14"/>
  <c r="F1619" i="14"/>
  <c r="E1619" i="14"/>
  <c r="D1619" i="14"/>
  <c r="C1619" i="14"/>
  <c r="B1619" i="14"/>
  <c r="A1619" i="14"/>
  <c r="G1618" i="14"/>
  <c r="F1618" i="14"/>
  <c r="E1618" i="14"/>
  <c r="D1618" i="14"/>
  <c r="C1618" i="14"/>
  <c r="B1618" i="14"/>
  <c r="A1618" i="14"/>
  <c r="G1617" i="14"/>
  <c r="F1617" i="14"/>
  <c r="E1617" i="14"/>
  <c r="D1617" i="14"/>
  <c r="C1617" i="14"/>
  <c r="B1617" i="14"/>
  <c r="A1617" i="14"/>
  <c r="G1616" i="14"/>
  <c r="F1616" i="14"/>
  <c r="E1616" i="14"/>
  <c r="D1616" i="14"/>
  <c r="C1616" i="14"/>
  <c r="B1616" i="14"/>
  <c r="A1616" i="14"/>
  <c r="G1615" i="14"/>
  <c r="F1615" i="14"/>
  <c r="E1615" i="14"/>
  <c r="D1615" i="14"/>
  <c r="C1615" i="14"/>
  <c r="B1615" i="14"/>
  <c r="A1615" i="14"/>
  <c r="G1614" i="14"/>
  <c r="F1614" i="14"/>
  <c r="E1614" i="14"/>
  <c r="D1614" i="14"/>
  <c r="C1614" i="14"/>
  <c r="B1614" i="14"/>
  <c r="A1614" i="14"/>
  <c r="G1613" i="14"/>
  <c r="F1613" i="14"/>
  <c r="E1613" i="14"/>
  <c r="D1613" i="14"/>
  <c r="C1613" i="14"/>
  <c r="B1613" i="14"/>
  <c r="A1613" i="14"/>
  <c r="G1612" i="14"/>
  <c r="F1612" i="14"/>
  <c r="E1612" i="14"/>
  <c r="D1612" i="14"/>
  <c r="C1612" i="14"/>
  <c r="B1612" i="14"/>
  <c r="A1612" i="14"/>
  <c r="G1611" i="14"/>
  <c r="F1611" i="14"/>
  <c r="E1611" i="14"/>
  <c r="D1611" i="14"/>
  <c r="C1611" i="14"/>
  <c r="B1611" i="14"/>
  <c r="A1611" i="14"/>
  <c r="G1610" i="14"/>
  <c r="F1610" i="14"/>
  <c r="E1610" i="14"/>
  <c r="D1610" i="14"/>
  <c r="C1610" i="14"/>
  <c r="B1610" i="14"/>
  <c r="A1610" i="14"/>
  <c r="G1609" i="14"/>
  <c r="F1609" i="14"/>
  <c r="E1609" i="14"/>
  <c r="D1609" i="14"/>
  <c r="C1609" i="14"/>
  <c r="B1609" i="14"/>
  <c r="A1609" i="14"/>
  <c r="G1608" i="14"/>
  <c r="F1608" i="14"/>
  <c r="E1608" i="14"/>
  <c r="D1608" i="14"/>
  <c r="C1608" i="14"/>
  <c r="B1608" i="14"/>
  <c r="A1608" i="14"/>
  <c r="G1607" i="14"/>
  <c r="F1607" i="14"/>
  <c r="E1607" i="14"/>
  <c r="D1607" i="14"/>
  <c r="C1607" i="14"/>
  <c r="B1607" i="14"/>
  <c r="A1607" i="14"/>
  <c r="G1606" i="14"/>
  <c r="F1606" i="14"/>
  <c r="E1606" i="14"/>
  <c r="D1606" i="14"/>
  <c r="C1606" i="14"/>
  <c r="B1606" i="14"/>
  <c r="A1606" i="14"/>
  <c r="G1605" i="14"/>
  <c r="F1605" i="14"/>
  <c r="E1605" i="14"/>
  <c r="D1605" i="14"/>
  <c r="C1605" i="14"/>
  <c r="B1605" i="14"/>
  <c r="A1605" i="14"/>
  <c r="G1604" i="14"/>
  <c r="F1604" i="14"/>
  <c r="E1604" i="14"/>
  <c r="D1604" i="14"/>
  <c r="C1604" i="14"/>
  <c r="B1604" i="14"/>
  <c r="A1604" i="14"/>
  <c r="G1603" i="14"/>
  <c r="F1603" i="14"/>
  <c r="E1603" i="14"/>
  <c r="D1603" i="14"/>
  <c r="C1603" i="14"/>
  <c r="B1603" i="14"/>
  <c r="A1603" i="14"/>
  <c r="G1602" i="14"/>
  <c r="F1602" i="14"/>
  <c r="E1602" i="14"/>
  <c r="D1602" i="14"/>
  <c r="C1602" i="14"/>
  <c r="B1602" i="14"/>
  <c r="A1602" i="14"/>
  <c r="G1601" i="14"/>
  <c r="F1601" i="14"/>
  <c r="E1601" i="14"/>
  <c r="D1601" i="14"/>
  <c r="C1601" i="14"/>
  <c r="B1601" i="14"/>
  <c r="A1601" i="14"/>
  <c r="G1600" i="14"/>
  <c r="F1600" i="14"/>
  <c r="E1600" i="14"/>
  <c r="D1600" i="14"/>
  <c r="C1600" i="14"/>
  <c r="B1600" i="14"/>
  <c r="A1600" i="14"/>
  <c r="G1599" i="14"/>
  <c r="F1599" i="14"/>
  <c r="E1599" i="14"/>
  <c r="D1599" i="14"/>
  <c r="C1599" i="14"/>
  <c r="B1599" i="14"/>
  <c r="A1599" i="14"/>
  <c r="G1598" i="14"/>
  <c r="F1598" i="14"/>
  <c r="E1598" i="14"/>
  <c r="D1598" i="14"/>
  <c r="C1598" i="14"/>
  <c r="B1598" i="14"/>
  <c r="A1598" i="14"/>
  <c r="G1597" i="14"/>
  <c r="F1597" i="14"/>
  <c r="E1597" i="14"/>
  <c r="D1597" i="14"/>
  <c r="C1597" i="14"/>
  <c r="B1597" i="14"/>
  <c r="A1597" i="14"/>
  <c r="G1596" i="14"/>
  <c r="F1596" i="14"/>
  <c r="E1596" i="14"/>
  <c r="D1596" i="14"/>
  <c r="C1596" i="14"/>
  <c r="B1596" i="14"/>
  <c r="A1596" i="14"/>
  <c r="G1595" i="14"/>
  <c r="F1595" i="14"/>
  <c r="E1595" i="14"/>
  <c r="D1595" i="14"/>
  <c r="C1595" i="14"/>
  <c r="B1595" i="14"/>
  <c r="A1595" i="14"/>
  <c r="G1594" i="14"/>
  <c r="F1594" i="14"/>
  <c r="E1594" i="14"/>
  <c r="D1594" i="14"/>
  <c r="C1594" i="14"/>
  <c r="B1594" i="14"/>
  <c r="A1594" i="14"/>
  <c r="G1593" i="14"/>
  <c r="F1593" i="14"/>
  <c r="E1593" i="14"/>
  <c r="D1593" i="14"/>
  <c r="C1593" i="14"/>
  <c r="B1593" i="14"/>
  <c r="A1593" i="14"/>
  <c r="G1592" i="14"/>
  <c r="F1592" i="14"/>
  <c r="E1592" i="14"/>
  <c r="D1592" i="14"/>
  <c r="C1592" i="14"/>
  <c r="B1592" i="14"/>
  <c r="A1592" i="14"/>
  <c r="G1591" i="14"/>
  <c r="F1591" i="14"/>
  <c r="E1591" i="14"/>
  <c r="D1591" i="14"/>
  <c r="C1591" i="14"/>
  <c r="B1591" i="14"/>
  <c r="A1591" i="14"/>
  <c r="G1590" i="14"/>
  <c r="F1590" i="14"/>
  <c r="E1590" i="14"/>
  <c r="D1590" i="14"/>
  <c r="C1590" i="14"/>
  <c r="B1590" i="14"/>
  <c r="A1590" i="14"/>
  <c r="G1589" i="14"/>
  <c r="F1589" i="14"/>
  <c r="E1589" i="14"/>
  <c r="D1589" i="14"/>
  <c r="C1589" i="14"/>
  <c r="B1589" i="14"/>
  <c r="A1589" i="14"/>
  <c r="G1588" i="14"/>
  <c r="F1588" i="14"/>
  <c r="E1588" i="14"/>
  <c r="D1588" i="14"/>
  <c r="C1588" i="14"/>
  <c r="B1588" i="14"/>
  <c r="A1588" i="14"/>
  <c r="G1587" i="14"/>
  <c r="F1587" i="14"/>
  <c r="E1587" i="14"/>
  <c r="D1587" i="14"/>
  <c r="C1587" i="14"/>
  <c r="B1587" i="14"/>
  <c r="A1587" i="14"/>
  <c r="G1586" i="14"/>
  <c r="F1586" i="14"/>
  <c r="E1586" i="14"/>
  <c r="D1586" i="14"/>
  <c r="C1586" i="14"/>
  <c r="B1586" i="14"/>
  <c r="A1586" i="14"/>
  <c r="G1585" i="14"/>
  <c r="F1585" i="14"/>
  <c r="E1585" i="14"/>
  <c r="D1585" i="14"/>
  <c r="C1585" i="14"/>
  <c r="B1585" i="14"/>
  <c r="A1585" i="14"/>
  <c r="G1584" i="14"/>
  <c r="F1584" i="14"/>
  <c r="E1584" i="14"/>
  <c r="D1584" i="14"/>
  <c r="C1584" i="14"/>
  <c r="B1584" i="14"/>
  <c r="A1584" i="14"/>
  <c r="G1583" i="14"/>
  <c r="F1583" i="14"/>
  <c r="E1583" i="14"/>
  <c r="D1583" i="14"/>
  <c r="C1583" i="14"/>
  <c r="B1583" i="14"/>
  <c r="A1583" i="14"/>
  <c r="G1582" i="14"/>
  <c r="F1582" i="14"/>
  <c r="E1582" i="14"/>
  <c r="D1582" i="14"/>
  <c r="C1582" i="14"/>
  <c r="B1582" i="14"/>
  <c r="A1582" i="14"/>
  <c r="G1581" i="14"/>
  <c r="F1581" i="14"/>
  <c r="E1581" i="14"/>
  <c r="D1581" i="14"/>
  <c r="C1581" i="14"/>
  <c r="B1581" i="14"/>
  <c r="A1581" i="14"/>
  <c r="G1580" i="14"/>
  <c r="F1580" i="14"/>
  <c r="E1580" i="14"/>
  <c r="D1580" i="14"/>
  <c r="C1580" i="14"/>
  <c r="B1580" i="14"/>
  <c r="A1580" i="14"/>
  <c r="G1579" i="14"/>
  <c r="F1579" i="14"/>
  <c r="E1579" i="14"/>
  <c r="D1579" i="14"/>
  <c r="C1579" i="14"/>
  <c r="B1579" i="14"/>
  <c r="A1579" i="14"/>
  <c r="G1578" i="14"/>
  <c r="F1578" i="14"/>
  <c r="E1578" i="14"/>
  <c r="D1578" i="14"/>
  <c r="C1578" i="14"/>
  <c r="B1578" i="14"/>
  <c r="A1578" i="14"/>
  <c r="G1577" i="14"/>
  <c r="F1577" i="14"/>
  <c r="E1577" i="14"/>
  <c r="D1577" i="14"/>
  <c r="C1577" i="14"/>
  <c r="B1577" i="14"/>
  <c r="A1577" i="14"/>
  <c r="G1576" i="14"/>
  <c r="F1576" i="14"/>
  <c r="E1576" i="14"/>
  <c r="D1576" i="14"/>
  <c r="C1576" i="14"/>
  <c r="B1576" i="14"/>
  <c r="A1576" i="14"/>
  <c r="G1575" i="14"/>
  <c r="F1575" i="14"/>
  <c r="E1575" i="14"/>
  <c r="D1575" i="14"/>
  <c r="C1575" i="14"/>
  <c r="B1575" i="14"/>
  <c r="A1575" i="14"/>
  <c r="G1574" i="14"/>
  <c r="F1574" i="14"/>
  <c r="E1574" i="14"/>
  <c r="D1574" i="14"/>
  <c r="C1574" i="14"/>
  <c r="B1574" i="14"/>
  <c r="A1574" i="14"/>
  <c r="G1573" i="14"/>
  <c r="F1573" i="14"/>
  <c r="E1573" i="14"/>
  <c r="D1573" i="14"/>
  <c r="C1573" i="14"/>
  <c r="B1573" i="14"/>
  <c r="A1573" i="14"/>
  <c r="G1572" i="14"/>
  <c r="F1572" i="14"/>
  <c r="E1572" i="14"/>
  <c r="D1572" i="14"/>
  <c r="C1572" i="14"/>
  <c r="B1572" i="14"/>
  <c r="A1572" i="14"/>
  <c r="G1571" i="14"/>
  <c r="F1571" i="14"/>
  <c r="E1571" i="14"/>
  <c r="D1571" i="14"/>
  <c r="C1571" i="14"/>
  <c r="B1571" i="14"/>
  <c r="A1571" i="14"/>
  <c r="G1570" i="14"/>
  <c r="F1570" i="14"/>
  <c r="E1570" i="14"/>
  <c r="D1570" i="14"/>
  <c r="C1570" i="14"/>
  <c r="B1570" i="14"/>
  <c r="A1570" i="14"/>
  <c r="G1569" i="14"/>
  <c r="F1569" i="14"/>
  <c r="E1569" i="14"/>
  <c r="D1569" i="14"/>
  <c r="C1569" i="14"/>
  <c r="B1569" i="14"/>
  <c r="A1569" i="14"/>
  <c r="G1568" i="14"/>
  <c r="F1568" i="14"/>
  <c r="E1568" i="14"/>
  <c r="D1568" i="14"/>
  <c r="C1568" i="14"/>
  <c r="B1568" i="14"/>
  <c r="A1568" i="14"/>
  <c r="G1567" i="14"/>
  <c r="F1567" i="14"/>
  <c r="E1567" i="14"/>
  <c r="D1567" i="14"/>
  <c r="C1567" i="14"/>
  <c r="B1567" i="14"/>
  <c r="A1567" i="14"/>
  <c r="G1566" i="14"/>
  <c r="F1566" i="14"/>
  <c r="E1566" i="14"/>
  <c r="D1566" i="14"/>
  <c r="C1566" i="14"/>
  <c r="B1566" i="14"/>
  <c r="A1566" i="14"/>
  <c r="G1565" i="14"/>
  <c r="F1565" i="14"/>
  <c r="E1565" i="14"/>
  <c r="D1565" i="14"/>
  <c r="C1565" i="14"/>
  <c r="B1565" i="14"/>
  <c r="A1565" i="14"/>
  <c r="G1564" i="14"/>
  <c r="F1564" i="14"/>
  <c r="E1564" i="14"/>
  <c r="D1564" i="14"/>
  <c r="C1564" i="14"/>
  <c r="B1564" i="14"/>
  <c r="A1564" i="14"/>
  <c r="G1563" i="14"/>
  <c r="F1563" i="14"/>
  <c r="E1563" i="14"/>
  <c r="D1563" i="14"/>
  <c r="C1563" i="14"/>
  <c r="B1563" i="14"/>
  <c r="A1563" i="14"/>
  <c r="G1562" i="14"/>
  <c r="F1562" i="14"/>
  <c r="E1562" i="14"/>
  <c r="D1562" i="14"/>
  <c r="C1562" i="14"/>
  <c r="B1562" i="14"/>
  <c r="A1562" i="14"/>
  <c r="G1561" i="14"/>
  <c r="F1561" i="14"/>
  <c r="E1561" i="14"/>
  <c r="D1561" i="14"/>
  <c r="C1561" i="14"/>
  <c r="B1561" i="14"/>
  <c r="A1561" i="14"/>
  <c r="G1560" i="14"/>
  <c r="F1560" i="14"/>
  <c r="E1560" i="14"/>
  <c r="D1560" i="14"/>
  <c r="C1560" i="14"/>
  <c r="B1560" i="14"/>
  <c r="A1560" i="14"/>
  <c r="G1559" i="14"/>
  <c r="F1559" i="14"/>
  <c r="E1559" i="14"/>
  <c r="D1559" i="14"/>
  <c r="C1559" i="14"/>
  <c r="B1559" i="14"/>
  <c r="A1559" i="14"/>
  <c r="G1558" i="14"/>
  <c r="F1558" i="14"/>
  <c r="E1558" i="14"/>
  <c r="D1558" i="14"/>
  <c r="C1558" i="14"/>
  <c r="B1558" i="14"/>
  <c r="A1558" i="14"/>
  <c r="G1557" i="14"/>
  <c r="F1557" i="14"/>
  <c r="E1557" i="14"/>
  <c r="D1557" i="14"/>
  <c r="C1557" i="14"/>
  <c r="B1557" i="14"/>
  <c r="A1557" i="14"/>
  <c r="G1556" i="14"/>
  <c r="F1556" i="14"/>
  <c r="E1556" i="14"/>
  <c r="D1556" i="14"/>
  <c r="C1556" i="14"/>
  <c r="B1556" i="14"/>
  <c r="A1556" i="14"/>
  <c r="G1555" i="14"/>
  <c r="F1555" i="14"/>
  <c r="E1555" i="14"/>
  <c r="D1555" i="14"/>
  <c r="C1555" i="14"/>
  <c r="B1555" i="14"/>
  <c r="A1555" i="14"/>
  <c r="G1554" i="14"/>
  <c r="F1554" i="14"/>
  <c r="E1554" i="14"/>
  <c r="D1554" i="14"/>
  <c r="C1554" i="14"/>
  <c r="B1554" i="14"/>
  <c r="A1554" i="14"/>
  <c r="G1553" i="14"/>
  <c r="F1553" i="14"/>
  <c r="E1553" i="14"/>
  <c r="D1553" i="14"/>
  <c r="C1553" i="14"/>
  <c r="B1553" i="14"/>
  <c r="A1553" i="14"/>
  <c r="G1552" i="14"/>
  <c r="F1552" i="14"/>
  <c r="E1552" i="14"/>
  <c r="D1552" i="14"/>
  <c r="C1552" i="14"/>
  <c r="B1552" i="14"/>
  <c r="A1552" i="14"/>
  <c r="G1551" i="14"/>
  <c r="F1551" i="14"/>
  <c r="E1551" i="14"/>
  <c r="D1551" i="14"/>
  <c r="C1551" i="14"/>
  <c r="B1551" i="14"/>
  <c r="A1551" i="14"/>
  <c r="G1550" i="14"/>
  <c r="F1550" i="14"/>
  <c r="E1550" i="14"/>
  <c r="D1550" i="14"/>
  <c r="C1550" i="14"/>
  <c r="B1550" i="14"/>
  <c r="A1550" i="14"/>
  <c r="G1549" i="14"/>
  <c r="F1549" i="14"/>
  <c r="E1549" i="14"/>
  <c r="D1549" i="14"/>
  <c r="C1549" i="14"/>
  <c r="B1549" i="14"/>
  <c r="A1549" i="14"/>
  <c r="G1548" i="14"/>
  <c r="F1548" i="14"/>
  <c r="E1548" i="14"/>
  <c r="D1548" i="14"/>
  <c r="C1548" i="14"/>
  <c r="B1548" i="14"/>
  <c r="A1548" i="14"/>
  <c r="G1547" i="14"/>
  <c r="F1547" i="14"/>
  <c r="E1547" i="14"/>
  <c r="D1547" i="14"/>
  <c r="C1547" i="14"/>
  <c r="B1547" i="14"/>
  <c r="A1547" i="14"/>
  <c r="G1546" i="14"/>
  <c r="F1546" i="14"/>
  <c r="E1546" i="14"/>
  <c r="D1546" i="14"/>
  <c r="C1546" i="14"/>
  <c r="B1546" i="14"/>
  <c r="A1546" i="14"/>
  <c r="G1545" i="14"/>
  <c r="F1545" i="14"/>
  <c r="E1545" i="14"/>
  <c r="D1545" i="14"/>
  <c r="C1545" i="14"/>
  <c r="B1545" i="14"/>
  <c r="A1545" i="14"/>
  <c r="G1544" i="14"/>
  <c r="F1544" i="14"/>
  <c r="E1544" i="14"/>
  <c r="D1544" i="14"/>
  <c r="C1544" i="14"/>
  <c r="B1544" i="14"/>
  <c r="A1544" i="14"/>
  <c r="G1543" i="14"/>
  <c r="F1543" i="14"/>
  <c r="E1543" i="14"/>
  <c r="D1543" i="14"/>
  <c r="C1543" i="14"/>
  <c r="B1543" i="14"/>
  <c r="A1543" i="14"/>
  <c r="G1542" i="14"/>
  <c r="F1542" i="14"/>
  <c r="E1542" i="14"/>
  <c r="D1542" i="14"/>
  <c r="C1542" i="14"/>
  <c r="B1542" i="14"/>
  <c r="A1542" i="14"/>
  <c r="G1541" i="14"/>
  <c r="F1541" i="14"/>
  <c r="E1541" i="14"/>
  <c r="D1541" i="14"/>
  <c r="C1541" i="14"/>
  <c r="B1541" i="14"/>
  <c r="A1541" i="14"/>
  <c r="G1540" i="14"/>
  <c r="F1540" i="14"/>
  <c r="E1540" i="14"/>
  <c r="D1540" i="14"/>
  <c r="C1540" i="14"/>
  <c r="B1540" i="14"/>
  <c r="A1540" i="14"/>
  <c r="G1539" i="14"/>
  <c r="F1539" i="14"/>
  <c r="E1539" i="14"/>
  <c r="D1539" i="14"/>
  <c r="C1539" i="14"/>
  <c r="B1539" i="14"/>
  <c r="A1539" i="14"/>
  <c r="G1538" i="14"/>
  <c r="F1538" i="14"/>
  <c r="E1538" i="14"/>
  <c r="D1538" i="14"/>
  <c r="C1538" i="14"/>
  <c r="B1538" i="14"/>
  <c r="A1538" i="14"/>
  <c r="G1537" i="14"/>
  <c r="F1537" i="14"/>
  <c r="E1537" i="14"/>
  <c r="D1537" i="14"/>
  <c r="C1537" i="14"/>
  <c r="B1537" i="14"/>
  <c r="A1537" i="14"/>
  <c r="G1536" i="14"/>
  <c r="F1536" i="14"/>
  <c r="E1536" i="14"/>
  <c r="D1536" i="14"/>
  <c r="C1536" i="14"/>
  <c r="B1536" i="14"/>
  <c r="A1536" i="14"/>
  <c r="G1535" i="14"/>
  <c r="F1535" i="14"/>
  <c r="E1535" i="14"/>
  <c r="D1535" i="14"/>
  <c r="C1535" i="14"/>
  <c r="B1535" i="14"/>
  <c r="A1535" i="14"/>
  <c r="G1534" i="14"/>
  <c r="F1534" i="14"/>
  <c r="E1534" i="14"/>
  <c r="D1534" i="14"/>
  <c r="C1534" i="14"/>
  <c r="B1534" i="14"/>
  <c r="A1534" i="14"/>
  <c r="G1533" i="14"/>
  <c r="F1533" i="14"/>
  <c r="E1533" i="14"/>
  <c r="D1533" i="14"/>
  <c r="C1533" i="14"/>
  <c r="B1533" i="14"/>
  <c r="A1533" i="14"/>
  <c r="G1532" i="14"/>
  <c r="F1532" i="14"/>
  <c r="E1532" i="14"/>
  <c r="D1532" i="14"/>
  <c r="C1532" i="14"/>
  <c r="B1532" i="14"/>
  <c r="A1532" i="14"/>
  <c r="G1531" i="14"/>
  <c r="F1531" i="14"/>
  <c r="E1531" i="14"/>
  <c r="D1531" i="14"/>
  <c r="C1531" i="14"/>
  <c r="B1531" i="14"/>
  <c r="A1531" i="14"/>
  <c r="G1530" i="14"/>
  <c r="F1530" i="14"/>
  <c r="E1530" i="14"/>
  <c r="D1530" i="14"/>
  <c r="C1530" i="14"/>
  <c r="B1530" i="14"/>
  <c r="A1530" i="14"/>
  <c r="G1529" i="14"/>
  <c r="F1529" i="14"/>
  <c r="E1529" i="14"/>
  <c r="D1529" i="14"/>
  <c r="C1529" i="14"/>
  <c r="B1529" i="14"/>
  <c r="A1529" i="14"/>
  <c r="G1528" i="14"/>
  <c r="F1528" i="14"/>
  <c r="E1528" i="14"/>
  <c r="D1528" i="14"/>
  <c r="C1528" i="14"/>
  <c r="B1528" i="14"/>
  <c r="A1528" i="14"/>
  <c r="G1527" i="14"/>
  <c r="F1527" i="14"/>
  <c r="E1527" i="14"/>
  <c r="D1527" i="14"/>
  <c r="C1527" i="14"/>
  <c r="B1527" i="14"/>
  <c r="A1527" i="14"/>
  <c r="G1526" i="14"/>
  <c r="F1526" i="14"/>
  <c r="E1526" i="14"/>
  <c r="D1526" i="14"/>
  <c r="C1526" i="14"/>
  <c r="B1526" i="14"/>
  <c r="A1526" i="14"/>
  <c r="G1525" i="14"/>
  <c r="F1525" i="14"/>
  <c r="E1525" i="14"/>
  <c r="D1525" i="14"/>
  <c r="C1525" i="14"/>
  <c r="B1525" i="14"/>
  <c r="A1525" i="14"/>
  <c r="G1524" i="14"/>
  <c r="F1524" i="14"/>
  <c r="E1524" i="14"/>
  <c r="D1524" i="14"/>
  <c r="C1524" i="14"/>
  <c r="B1524" i="14"/>
  <c r="A1524" i="14"/>
  <c r="G1523" i="14"/>
  <c r="F1523" i="14"/>
  <c r="E1523" i="14"/>
  <c r="D1523" i="14"/>
  <c r="C1523" i="14"/>
  <c r="B1523" i="14"/>
  <c r="A1523" i="14"/>
  <c r="G1522" i="14"/>
  <c r="F1522" i="14"/>
  <c r="E1522" i="14"/>
  <c r="D1522" i="14"/>
  <c r="C1522" i="14"/>
  <c r="B1522" i="14"/>
  <c r="A1522" i="14"/>
  <c r="G1521" i="14"/>
  <c r="F1521" i="14"/>
  <c r="E1521" i="14"/>
  <c r="D1521" i="14"/>
  <c r="C1521" i="14"/>
  <c r="B1521" i="14"/>
  <c r="A1521" i="14"/>
  <c r="G1520" i="14"/>
  <c r="F1520" i="14"/>
  <c r="E1520" i="14"/>
  <c r="D1520" i="14"/>
  <c r="C1520" i="14"/>
  <c r="B1520" i="14"/>
  <c r="A1520" i="14"/>
  <c r="G1519" i="14"/>
  <c r="F1519" i="14"/>
  <c r="E1519" i="14"/>
  <c r="D1519" i="14"/>
  <c r="C1519" i="14"/>
  <c r="B1519" i="14"/>
  <c r="A1519" i="14"/>
  <c r="G1518" i="14"/>
  <c r="F1518" i="14"/>
  <c r="E1518" i="14"/>
  <c r="D1518" i="14"/>
  <c r="C1518" i="14"/>
  <c r="B1518" i="14"/>
  <c r="A1518" i="14"/>
  <c r="G1517" i="14"/>
  <c r="F1517" i="14"/>
  <c r="E1517" i="14"/>
  <c r="D1517" i="14"/>
  <c r="C1517" i="14"/>
  <c r="B1517" i="14"/>
  <c r="A1517" i="14"/>
  <c r="G1516" i="14"/>
  <c r="F1516" i="14"/>
  <c r="E1516" i="14"/>
  <c r="D1516" i="14"/>
  <c r="C1516" i="14"/>
  <c r="B1516" i="14"/>
  <c r="A1516" i="14"/>
  <c r="G1515" i="14"/>
  <c r="F1515" i="14"/>
  <c r="E1515" i="14"/>
  <c r="D1515" i="14"/>
  <c r="C1515" i="14"/>
  <c r="B1515" i="14"/>
  <c r="A1515" i="14"/>
  <c r="G1514" i="14"/>
  <c r="F1514" i="14"/>
  <c r="E1514" i="14"/>
  <c r="D1514" i="14"/>
  <c r="C1514" i="14"/>
  <c r="B1514" i="14"/>
  <c r="A1514" i="14"/>
  <c r="G1513" i="14"/>
  <c r="F1513" i="14"/>
  <c r="E1513" i="14"/>
  <c r="D1513" i="14"/>
  <c r="C1513" i="14"/>
  <c r="B1513" i="14"/>
  <c r="A1513" i="14"/>
  <c r="G1512" i="14"/>
  <c r="F1512" i="14"/>
  <c r="E1512" i="14"/>
  <c r="D1512" i="14"/>
  <c r="C1512" i="14"/>
  <c r="B1512" i="14"/>
  <c r="A1512" i="14"/>
  <c r="G1511" i="14"/>
  <c r="F1511" i="14"/>
  <c r="E1511" i="14"/>
  <c r="D1511" i="14"/>
  <c r="C1511" i="14"/>
  <c r="B1511" i="14"/>
  <c r="A1511" i="14"/>
  <c r="G1510" i="14"/>
  <c r="F1510" i="14"/>
  <c r="E1510" i="14"/>
  <c r="D1510" i="14"/>
  <c r="C1510" i="14"/>
  <c r="B1510" i="14"/>
  <c r="A1510" i="14"/>
  <c r="G1509" i="14"/>
  <c r="F1509" i="14"/>
  <c r="E1509" i="14"/>
  <c r="D1509" i="14"/>
  <c r="C1509" i="14"/>
  <c r="B1509" i="14"/>
  <c r="A1509" i="14"/>
  <c r="G1508" i="14"/>
  <c r="F1508" i="14"/>
  <c r="E1508" i="14"/>
  <c r="D1508" i="14"/>
  <c r="C1508" i="14"/>
  <c r="B1508" i="14"/>
  <c r="A1508" i="14"/>
  <c r="G1507" i="14"/>
  <c r="F1507" i="14"/>
  <c r="E1507" i="14"/>
  <c r="D1507" i="14"/>
  <c r="C1507" i="14"/>
  <c r="B1507" i="14"/>
  <c r="A1507" i="14"/>
  <c r="G1506" i="14"/>
  <c r="F1506" i="14"/>
  <c r="E1506" i="14"/>
  <c r="D1506" i="14"/>
  <c r="C1506" i="14"/>
  <c r="B1506" i="14"/>
  <c r="A1506" i="14"/>
  <c r="G1505" i="14"/>
  <c r="F1505" i="14"/>
  <c r="E1505" i="14"/>
  <c r="D1505" i="14"/>
  <c r="C1505" i="14"/>
  <c r="B1505" i="14"/>
  <c r="A1505" i="14"/>
  <c r="G1504" i="14"/>
  <c r="F1504" i="14"/>
  <c r="E1504" i="14"/>
  <c r="D1504" i="14"/>
  <c r="C1504" i="14"/>
  <c r="B1504" i="14"/>
  <c r="A1504" i="14"/>
  <c r="G1503" i="14"/>
  <c r="F1503" i="14"/>
  <c r="E1503" i="14"/>
  <c r="D1503" i="14"/>
  <c r="C1503" i="14"/>
  <c r="B1503" i="14"/>
  <c r="A1503" i="14"/>
  <c r="G1502" i="14"/>
  <c r="F1502" i="14"/>
  <c r="E1502" i="14"/>
  <c r="D1502" i="14"/>
  <c r="C1502" i="14"/>
  <c r="B1502" i="14"/>
  <c r="A1502" i="14"/>
  <c r="G1501" i="14"/>
  <c r="F1501" i="14"/>
  <c r="E1501" i="14"/>
  <c r="D1501" i="14"/>
  <c r="C1501" i="14"/>
  <c r="B1501" i="14"/>
  <c r="A1501" i="14"/>
  <c r="G1500" i="14"/>
  <c r="F1500" i="14"/>
  <c r="E1500" i="14"/>
  <c r="D1500" i="14"/>
  <c r="C1500" i="14"/>
  <c r="B1500" i="14"/>
  <c r="A1500" i="14"/>
  <c r="G1499" i="14"/>
  <c r="F1499" i="14"/>
  <c r="E1499" i="14"/>
  <c r="D1499" i="14"/>
  <c r="C1499" i="14"/>
  <c r="B1499" i="14"/>
  <c r="A1499" i="14"/>
  <c r="G1498" i="14"/>
  <c r="F1498" i="14"/>
  <c r="E1498" i="14"/>
  <c r="D1498" i="14"/>
  <c r="C1498" i="14"/>
  <c r="B1498" i="14"/>
  <c r="A1498" i="14"/>
  <c r="G1497" i="14"/>
  <c r="F1497" i="14"/>
  <c r="E1497" i="14"/>
  <c r="D1497" i="14"/>
  <c r="C1497" i="14"/>
  <c r="B1497" i="14"/>
  <c r="A1497" i="14"/>
  <c r="G1496" i="14"/>
  <c r="F1496" i="14"/>
  <c r="E1496" i="14"/>
  <c r="D1496" i="14"/>
  <c r="C1496" i="14"/>
  <c r="B1496" i="14"/>
  <c r="A1496" i="14"/>
  <c r="G1495" i="14"/>
  <c r="F1495" i="14"/>
  <c r="E1495" i="14"/>
  <c r="D1495" i="14"/>
  <c r="C1495" i="14"/>
  <c r="B1495" i="14"/>
  <c r="A1495" i="14"/>
  <c r="G1494" i="14"/>
  <c r="F1494" i="14"/>
  <c r="E1494" i="14"/>
  <c r="D1494" i="14"/>
  <c r="C1494" i="14"/>
  <c r="B1494" i="14"/>
  <c r="A1494" i="14"/>
  <c r="G1493" i="14"/>
  <c r="F1493" i="14"/>
  <c r="E1493" i="14"/>
  <c r="D1493" i="14"/>
  <c r="C1493" i="14"/>
  <c r="B1493" i="14"/>
  <c r="A1493" i="14"/>
  <c r="G1492" i="14"/>
  <c r="F1492" i="14"/>
  <c r="E1492" i="14"/>
  <c r="D1492" i="14"/>
  <c r="C1492" i="14"/>
  <c r="B1492" i="14"/>
  <c r="A1492" i="14"/>
  <c r="G1491" i="14"/>
  <c r="F1491" i="14"/>
  <c r="E1491" i="14"/>
  <c r="D1491" i="14"/>
  <c r="C1491" i="14"/>
  <c r="B1491" i="14"/>
  <c r="A1491" i="14"/>
  <c r="G1490" i="14"/>
  <c r="F1490" i="14"/>
  <c r="E1490" i="14"/>
  <c r="D1490" i="14"/>
  <c r="C1490" i="14"/>
  <c r="B1490" i="14"/>
  <c r="A1490" i="14"/>
  <c r="G1489" i="14"/>
  <c r="F1489" i="14"/>
  <c r="E1489" i="14"/>
  <c r="D1489" i="14"/>
  <c r="C1489" i="14"/>
  <c r="B1489" i="14"/>
  <c r="A1489" i="14"/>
  <c r="G1488" i="14"/>
  <c r="F1488" i="14"/>
  <c r="E1488" i="14"/>
  <c r="D1488" i="14"/>
  <c r="C1488" i="14"/>
  <c r="B1488" i="14"/>
  <c r="A1488" i="14"/>
  <c r="G1487" i="14"/>
  <c r="F1487" i="14"/>
  <c r="E1487" i="14"/>
  <c r="D1487" i="14"/>
  <c r="C1487" i="14"/>
  <c r="B1487" i="14"/>
  <c r="A1487" i="14"/>
  <c r="G1486" i="14"/>
  <c r="F1486" i="14"/>
  <c r="E1486" i="14"/>
  <c r="D1486" i="14"/>
  <c r="C1486" i="14"/>
  <c r="B1486" i="14"/>
  <c r="A1486" i="14"/>
  <c r="G1485" i="14"/>
  <c r="F1485" i="14"/>
  <c r="E1485" i="14"/>
  <c r="D1485" i="14"/>
  <c r="C1485" i="14"/>
  <c r="B1485" i="14"/>
  <c r="A1485" i="14"/>
  <c r="G1484" i="14"/>
  <c r="F1484" i="14"/>
  <c r="E1484" i="14"/>
  <c r="D1484" i="14"/>
  <c r="C1484" i="14"/>
  <c r="B1484" i="14"/>
  <c r="A1484" i="14"/>
  <c r="G1483" i="14"/>
  <c r="F1483" i="14"/>
  <c r="E1483" i="14"/>
  <c r="D1483" i="14"/>
  <c r="C1483" i="14"/>
  <c r="B1483" i="14"/>
  <c r="A1483" i="14"/>
  <c r="G1482" i="14"/>
  <c r="F1482" i="14"/>
  <c r="E1482" i="14"/>
  <c r="D1482" i="14"/>
  <c r="C1482" i="14"/>
  <c r="B1482" i="14"/>
  <c r="A1482" i="14"/>
  <c r="G1481" i="14"/>
  <c r="F1481" i="14"/>
  <c r="E1481" i="14"/>
  <c r="D1481" i="14"/>
  <c r="C1481" i="14"/>
  <c r="B1481" i="14"/>
  <c r="A1481" i="14"/>
  <c r="G1480" i="14"/>
  <c r="F1480" i="14"/>
  <c r="E1480" i="14"/>
  <c r="D1480" i="14"/>
  <c r="C1480" i="14"/>
  <c r="B1480" i="14"/>
  <c r="A1480" i="14"/>
  <c r="G1479" i="14"/>
  <c r="F1479" i="14"/>
  <c r="E1479" i="14"/>
  <c r="D1479" i="14"/>
  <c r="C1479" i="14"/>
  <c r="B1479" i="14"/>
  <c r="A1479" i="14"/>
  <c r="G1478" i="14"/>
  <c r="F1478" i="14"/>
  <c r="E1478" i="14"/>
  <c r="D1478" i="14"/>
  <c r="C1478" i="14"/>
  <c r="B1478" i="14"/>
  <c r="A1478" i="14"/>
  <c r="G1477" i="14"/>
  <c r="F1477" i="14"/>
  <c r="E1477" i="14"/>
  <c r="D1477" i="14"/>
  <c r="C1477" i="14"/>
  <c r="B1477" i="14"/>
  <c r="A1477" i="14"/>
  <c r="G1476" i="14"/>
  <c r="F1476" i="14"/>
  <c r="E1476" i="14"/>
  <c r="D1476" i="14"/>
  <c r="C1476" i="14"/>
  <c r="B1476" i="14"/>
  <c r="A1476" i="14"/>
  <c r="G1475" i="14"/>
  <c r="F1475" i="14"/>
  <c r="E1475" i="14"/>
  <c r="D1475" i="14"/>
  <c r="C1475" i="14"/>
  <c r="B1475" i="14"/>
  <c r="A1475" i="14"/>
  <c r="G1474" i="14"/>
  <c r="F1474" i="14"/>
  <c r="E1474" i="14"/>
  <c r="D1474" i="14"/>
  <c r="C1474" i="14"/>
  <c r="B1474" i="14"/>
  <c r="A1474" i="14"/>
  <c r="G1473" i="14"/>
  <c r="F1473" i="14"/>
  <c r="E1473" i="14"/>
  <c r="D1473" i="14"/>
  <c r="C1473" i="14"/>
  <c r="B1473" i="14"/>
  <c r="A1473" i="14"/>
  <c r="G1472" i="14"/>
  <c r="F1472" i="14"/>
  <c r="E1472" i="14"/>
  <c r="D1472" i="14"/>
  <c r="C1472" i="14"/>
  <c r="B1472" i="14"/>
  <c r="A1472" i="14"/>
  <c r="G1471" i="14"/>
  <c r="F1471" i="14"/>
  <c r="E1471" i="14"/>
  <c r="D1471" i="14"/>
  <c r="C1471" i="14"/>
  <c r="B1471" i="14"/>
  <c r="A1471" i="14"/>
  <c r="G1470" i="14"/>
  <c r="F1470" i="14"/>
  <c r="E1470" i="14"/>
  <c r="D1470" i="14"/>
  <c r="C1470" i="14"/>
  <c r="B1470" i="14"/>
  <c r="A1470" i="14"/>
  <c r="G1469" i="14"/>
  <c r="F1469" i="14"/>
  <c r="E1469" i="14"/>
  <c r="D1469" i="14"/>
  <c r="C1469" i="14"/>
  <c r="B1469" i="14"/>
  <c r="A1469" i="14"/>
  <c r="G1468" i="14"/>
  <c r="F1468" i="14"/>
  <c r="E1468" i="14"/>
  <c r="D1468" i="14"/>
  <c r="C1468" i="14"/>
  <c r="B1468" i="14"/>
  <c r="A1468" i="14"/>
  <c r="G1467" i="14"/>
  <c r="F1467" i="14"/>
  <c r="E1467" i="14"/>
  <c r="D1467" i="14"/>
  <c r="C1467" i="14"/>
  <c r="B1467" i="14"/>
  <c r="A1467" i="14"/>
  <c r="G1466" i="14"/>
  <c r="F1466" i="14"/>
  <c r="E1466" i="14"/>
  <c r="D1466" i="14"/>
  <c r="C1466" i="14"/>
  <c r="B1466" i="14"/>
  <c r="A1466" i="14"/>
  <c r="G1465" i="14"/>
  <c r="F1465" i="14"/>
  <c r="E1465" i="14"/>
  <c r="D1465" i="14"/>
  <c r="C1465" i="14"/>
  <c r="B1465" i="14"/>
  <c r="A1465" i="14"/>
  <c r="G1464" i="14"/>
  <c r="F1464" i="14"/>
  <c r="E1464" i="14"/>
  <c r="D1464" i="14"/>
  <c r="C1464" i="14"/>
  <c r="B1464" i="14"/>
  <c r="A1464" i="14"/>
  <c r="G1463" i="14"/>
  <c r="F1463" i="14"/>
  <c r="E1463" i="14"/>
  <c r="D1463" i="14"/>
  <c r="C1463" i="14"/>
  <c r="B1463" i="14"/>
  <c r="A1463" i="14"/>
  <c r="G1462" i="14"/>
  <c r="F1462" i="14"/>
  <c r="E1462" i="14"/>
  <c r="D1462" i="14"/>
  <c r="C1462" i="14"/>
  <c r="B1462" i="14"/>
  <c r="A1462" i="14"/>
  <c r="G1461" i="14"/>
  <c r="F1461" i="14"/>
  <c r="E1461" i="14"/>
  <c r="D1461" i="14"/>
  <c r="C1461" i="14"/>
  <c r="B1461" i="14"/>
  <c r="A1461" i="14"/>
  <c r="G1460" i="14"/>
  <c r="F1460" i="14"/>
  <c r="E1460" i="14"/>
  <c r="D1460" i="14"/>
  <c r="C1460" i="14"/>
  <c r="B1460" i="14"/>
  <c r="A1460" i="14"/>
  <c r="G1459" i="14"/>
  <c r="F1459" i="14"/>
  <c r="E1459" i="14"/>
  <c r="D1459" i="14"/>
  <c r="C1459" i="14"/>
  <c r="B1459" i="14"/>
  <c r="A1459" i="14"/>
  <c r="G1458" i="14"/>
  <c r="F1458" i="14"/>
  <c r="E1458" i="14"/>
  <c r="D1458" i="14"/>
  <c r="C1458" i="14"/>
  <c r="B1458" i="14"/>
  <c r="A1458" i="14"/>
  <c r="G1457" i="14"/>
  <c r="F1457" i="14"/>
  <c r="E1457" i="14"/>
  <c r="D1457" i="14"/>
  <c r="C1457" i="14"/>
  <c r="B1457" i="14"/>
  <c r="A1457" i="14"/>
  <c r="G1456" i="14"/>
  <c r="F1456" i="14"/>
  <c r="E1456" i="14"/>
  <c r="D1456" i="14"/>
  <c r="C1456" i="14"/>
  <c r="B1456" i="14"/>
  <c r="A1456" i="14"/>
  <c r="G1455" i="14"/>
  <c r="F1455" i="14"/>
  <c r="E1455" i="14"/>
  <c r="D1455" i="14"/>
  <c r="C1455" i="14"/>
  <c r="B1455" i="14"/>
  <c r="A1455" i="14"/>
  <c r="G1454" i="14"/>
  <c r="F1454" i="14"/>
  <c r="E1454" i="14"/>
  <c r="D1454" i="14"/>
  <c r="C1454" i="14"/>
  <c r="B1454" i="14"/>
  <c r="A1454" i="14"/>
  <c r="G1453" i="14"/>
  <c r="F1453" i="14"/>
  <c r="E1453" i="14"/>
  <c r="D1453" i="14"/>
  <c r="C1453" i="14"/>
  <c r="B1453" i="14"/>
  <c r="A1453" i="14"/>
  <c r="G1452" i="14"/>
  <c r="F1452" i="14"/>
  <c r="E1452" i="14"/>
  <c r="D1452" i="14"/>
  <c r="C1452" i="14"/>
  <c r="B1452" i="14"/>
  <c r="A1452" i="14"/>
  <c r="G1451" i="14"/>
  <c r="F1451" i="14"/>
  <c r="E1451" i="14"/>
  <c r="D1451" i="14"/>
  <c r="C1451" i="14"/>
  <c r="B1451" i="14"/>
  <c r="A1451" i="14"/>
  <c r="G1450" i="14"/>
  <c r="F1450" i="14"/>
  <c r="E1450" i="14"/>
  <c r="D1450" i="14"/>
  <c r="C1450" i="14"/>
  <c r="B1450" i="14"/>
  <c r="A1450" i="14"/>
  <c r="G1449" i="14"/>
  <c r="F1449" i="14"/>
  <c r="E1449" i="14"/>
  <c r="D1449" i="14"/>
  <c r="C1449" i="14"/>
  <c r="B1449" i="14"/>
  <c r="A1449" i="14"/>
  <c r="G1448" i="14"/>
  <c r="F1448" i="14"/>
  <c r="E1448" i="14"/>
  <c r="D1448" i="14"/>
  <c r="C1448" i="14"/>
  <c r="B1448" i="14"/>
  <c r="A1448" i="14"/>
  <c r="G1447" i="14"/>
  <c r="F1447" i="14"/>
  <c r="E1447" i="14"/>
  <c r="D1447" i="14"/>
  <c r="C1447" i="14"/>
  <c r="B1447" i="14"/>
  <c r="A1447" i="14"/>
  <c r="G1446" i="14"/>
  <c r="F1446" i="14"/>
  <c r="E1446" i="14"/>
  <c r="D1446" i="14"/>
  <c r="C1446" i="14"/>
  <c r="B1446" i="14"/>
  <c r="A1446" i="14"/>
  <c r="G1445" i="14"/>
  <c r="F1445" i="14"/>
  <c r="E1445" i="14"/>
  <c r="D1445" i="14"/>
  <c r="C1445" i="14"/>
  <c r="B1445" i="14"/>
  <c r="A1445" i="14"/>
  <c r="G1444" i="14"/>
  <c r="F1444" i="14"/>
  <c r="E1444" i="14"/>
  <c r="D1444" i="14"/>
  <c r="C1444" i="14"/>
  <c r="B1444" i="14"/>
  <c r="A1444" i="14"/>
  <c r="G1443" i="14"/>
  <c r="F1443" i="14"/>
  <c r="E1443" i="14"/>
  <c r="D1443" i="14"/>
  <c r="C1443" i="14"/>
  <c r="B1443" i="14"/>
  <c r="A1443" i="14"/>
  <c r="G1442" i="14"/>
  <c r="F1442" i="14"/>
  <c r="E1442" i="14"/>
  <c r="D1442" i="14"/>
  <c r="C1442" i="14"/>
  <c r="B1442" i="14"/>
  <c r="A1442" i="14"/>
  <c r="G1441" i="14"/>
  <c r="F1441" i="14"/>
  <c r="E1441" i="14"/>
  <c r="D1441" i="14"/>
  <c r="C1441" i="14"/>
  <c r="B1441" i="14"/>
  <c r="A1441" i="14"/>
  <c r="G1440" i="14"/>
  <c r="F1440" i="14"/>
  <c r="E1440" i="14"/>
  <c r="D1440" i="14"/>
  <c r="C1440" i="14"/>
  <c r="B1440" i="14"/>
  <c r="A1440" i="14"/>
  <c r="G1439" i="14"/>
  <c r="F1439" i="14"/>
  <c r="E1439" i="14"/>
  <c r="D1439" i="14"/>
  <c r="C1439" i="14"/>
  <c r="B1439" i="14"/>
  <c r="A1439" i="14"/>
  <c r="G1438" i="14"/>
  <c r="F1438" i="14"/>
  <c r="E1438" i="14"/>
  <c r="D1438" i="14"/>
  <c r="C1438" i="14"/>
  <c r="B1438" i="14"/>
  <c r="A1438" i="14"/>
  <c r="G1437" i="14"/>
  <c r="F1437" i="14"/>
  <c r="E1437" i="14"/>
  <c r="D1437" i="14"/>
  <c r="C1437" i="14"/>
  <c r="B1437" i="14"/>
  <c r="A1437" i="14"/>
  <c r="G1436" i="14"/>
  <c r="F1436" i="14"/>
  <c r="E1436" i="14"/>
  <c r="D1436" i="14"/>
  <c r="C1436" i="14"/>
  <c r="B1436" i="14"/>
  <c r="A1436" i="14"/>
  <c r="G1435" i="14"/>
  <c r="F1435" i="14"/>
  <c r="E1435" i="14"/>
  <c r="D1435" i="14"/>
  <c r="C1435" i="14"/>
  <c r="B1435" i="14"/>
  <c r="A1435" i="14"/>
  <c r="G1434" i="14"/>
  <c r="F1434" i="14"/>
  <c r="E1434" i="14"/>
  <c r="D1434" i="14"/>
  <c r="C1434" i="14"/>
  <c r="B1434" i="14"/>
  <c r="A1434" i="14"/>
  <c r="G1433" i="14"/>
  <c r="F1433" i="14"/>
  <c r="E1433" i="14"/>
  <c r="D1433" i="14"/>
  <c r="C1433" i="14"/>
  <c r="B1433" i="14"/>
  <c r="A1433" i="14"/>
  <c r="G1432" i="14"/>
  <c r="F1432" i="14"/>
  <c r="E1432" i="14"/>
  <c r="D1432" i="14"/>
  <c r="C1432" i="14"/>
  <c r="B1432" i="14"/>
  <c r="A1432" i="14"/>
  <c r="G1431" i="14"/>
  <c r="F1431" i="14"/>
  <c r="E1431" i="14"/>
  <c r="D1431" i="14"/>
  <c r="C1431" i="14"/>
  <c r="B1431" i="14"/>
  <c r="A1431" i="14"/>
  <c r="G1430" i="14"/>
  <c r="F1430" i="14"/>
  <c r="E1430" i="14"/>
  <c r="D1430" i="14"/>
  <c r="C1430" i="14"/>
  <c r="B1430" i="14"/>
  <c r="A1430" i="14"/>
  <c r="G1429" i="14"/>
  <c r="F1429" i="14"/>
  <c r="E1429" i="14"/>
  <c r="D1429" i="14"/>
  <c r="C1429" i="14"/>
  <c r="B1429" i="14"/>
  <c r="A1429" i="14"/>
  <c r="G1428" i="14"/>
  <c r="F1428" i="14"/>
  <c r="E1428" i="14"/>
  <c r="D1428" i="14"/>
  <c r="C1428" i="14"/>
  <c r="B1428" i="14"/>
  <c r="A1428" i="14"/>
  <c r="G1427" i="14"/>
  <c r="F1427" i="14"/>
  <c r="E1427" i="14"/>
  <c r="D1427" i="14"/>
  <c r="C1427" i="14"/>
  <c r="B1427" i="14"/>
  <c r="A1427" i="14"/>
  <c r="G1426" i="14"/>
  <c r="F1426" i="14"/>
  <c r="E1426" i="14"/>
  <c r="D1426" i="14"/>
  <c r="C1426" i="14"/>
  <c r="B1426" i="14"/>
  <c r="A1426" i="14"/>
  <c r="G1425" i="14"/>
  <c r="F1425" i="14"/>
  <c r="E1425" i="14"/>
  <c r="D1425" i="14"/>
  <c r="C1425" i="14"/>
  <c r="B1425" i="14"/>
  <c r="A1425" i="14"/>
  <c r="G1424" i="14"/>
  <c r="F1424" i="14"/>
  <c r="E1424" i="14"/>
  <c r="D1424" i="14"/>
  <c r="C1424" i="14"/>
  <c r="B1424" i="14"/>
  <c r="A1424" i="14"/>
  <c r="G1423" i="14"/>
  <c r="F1423" i="14"/>
  <c r="E1423" i="14"/>
  <c r="D1423" i="14"/>
  <c r="C1423" i="14"/>
  <c r="B1423" i="14"/>
  <c r="A1423" i="14"/>
  <c r="G1422" i="14"/>
  <c r="F1422" i="14"/>
  <c r="E1422" i="14"/>
  <c r="D1422" i="14"/>
  <c r="C1422" i="14"/>
  <c r="B1422" i="14"/>
  <c r="A1422" i="14"/>
  <c r="G1421" i="14"/>
  <c r="F1421" i="14"/>
  <c r="E1421" i="14"/>
  <c r="D1421" i="14"/>
  <c r="C1421" i="14"/>
  <c r="B1421" i="14"/>
  <c r="A1421" i="14"/>
  <c r="G1420" i="14"/>
  <c r="F1420" i="14"/>
  <c r="E1420" i="14"/>
  <c r="D1420" i="14"/>
  <c r="C1420" i="14"/>
  <c r="B1420" i="14"/>
  <c r="A1420" i="14"/>
  <c r="G1419" i="14"/>
  <c r="F1419" i="14"/>
  <c r="E1419" i="14"/>
  <c r="D1419" i="14"/>
  <c r="C1419" i="14"/>
  <c r="B1419" i="14"/>
  <c r="A1419" i="14"/>
  <c r="G1418" i="14"/>
  <c r="F1418" i="14"/>
  <c r="E1418" i="14"/>
  <c r="D1418" i="14"/>
  <c r="C1418" i="14"/>
  <c r="B1418" i="14"/>
  <c r="A1418" i="14"/>
  <c r="G1417" i="14"/>
  <c r="F1417" i="14"/>
  <c r="E1417" i="14"/>
  <c r="D1417" i="14"/>
  <c r="C1417" i="14"/>
  <c r="B1417" i="14"/>
  <c r="A1417" i="14"/>
  <c r="G1416" i="14"/>
  <c r="F1416" i="14"/>
  <c r="E1416" i="14"/>
  <c r="D1416" i="14"/>
  <c r="C1416" i="14"/>
  <c r="B1416" i="14"/>
  <c r="A1416" i="14"/>
  <c r="G1415" i="14"/>
  <c r="F1415" i="14"/>
  <c r="E1415" i="14"/>
  <c r="D1415" i="14"/>
  <c r="C1415" i="14"/>
  <c r="B1415" i="14"/>
  <c r="A1415" i="14"/>
  <c r="G1414" i="14"/>
  <c r="F1414" i="14"/>
  <c r="E1414" i="14"/>
  <c r="D1414" i="14"/>
  <c r="C1414" i="14"/>
  <c r="B1414" i="14"/>
  <c r="A1414" i="14"/>
  <c r="G1413" i="14"/>
  <c r="F1413" i="14"/>
  <c r="E1413" i="14"/>
  <c r="D1413" i="14"/>
  <c r="C1413" i="14"/>
  <c r="B1413" i="14"/>
  <c r="A1413" i="14"/>
  <c r="G1412" i="14"/>
  <c r="F1412" i="14"/>
  <c r="E1412" i="14"/>
  <c r="D1412" i="14"/>
  <c r="C1412" i="14"/>
  <c r="B1412" i="14"/>
  <c r="A1412" i="14"/>
  <c r="G1411" i="14"/>
  <c r="F1411" i="14"/>
  <c r="E1411" i="14"/>
  <c r="D1411" i="14"/>
  <c r="C1411" i="14"/>
  <c r="B1411" i="14"/>
  <c r="A1411" i="14"/>
  <c r="G1410" i="14"/>
  <c r="F1410" i="14"/>
  <c r="E1410" i="14"/>
  <c r="D1410" i="14"/>
  <c r="C1410" i="14"/>
  <c r="B1410" i="14"/>
  <c r="A1410" i="14"/>
  <c r="G1409" i="14"/>
  <c r="F1409" i="14"/>
  <c r="E1409" i="14"/>
  <c r="D1409" i="14"/>
  <c r="C1409" i="14"/>
  <c r="B1409" i="14"/>
  <c r="A1409" i="14"/>
  <c r="G1408" i="14"/>
  <c r="F1408" i="14"/>
  <c r="E1408" i="14"/>
  <c r="D1408" i="14"/>
  <c r="C1408" i="14"/>
  <c r="B1408" i="14"/>
  <c r="A1408" i="14"/>
  <c r="G1407" i="14"/>
  <c r="F1407" i="14"/>
  <c r="E1407" i="14"/>
  <c r="D1407" i="14"/>
  <c r="C1407" i="14"/>
  <c r="B1407" i="14"/>
  <c r="A1407" i="14"/>
  <c r="G1406" i="14"/>
  <c r="F1406" i="14"/>
  <c r="E1406" i="14"/>
  <c r="D1406" i="14"/>
  <c r="C1406" i="14"/>
  <c r="B1406" i="14"/>
  <c r="A1406" i="14"/>
  <c r="G1405" i="14"/>
  <c r="F1405" i="14"/>
  <c r="E1405" i="14"/>
  <c r="D1405" i="14"/>
  <c r="C1405" i="14"/>
  <c r="B1405" i="14"/>
  <c r="A1405" i="14"/>
  <c r="G1404" i="14"/>
  <c r="F1404" i="14"/>
  <c r="E1404" i="14"/>
  <c r="D1404" i="14"/>
  <c r="C1404" i="14"/>
  <c r="B1404" i="14"/>
  <c r="A1404" i="14"/>
  <c r="G1403" i="14"/>
  <c r="F1403" i="14"/>
  <c r="E1403" i="14"/>
  <c r="D1403" i="14"/>
  <c r="C1403" i="14"/>
  <c r="B1403" i="14"/>
  <c r="A1403" i="14"/>
  <c r="G1402" i="14"/>
  <c r="F1402" i="14"/>
  <c r="E1402" i="14"/>
  <c r="D1402" i="14"/>
  <c r="C1402" i="14"/>
  <c r="B1402" i="14"/>
  <c r="A1402" i="14"/>
  <c r="G1401" i="14"/>
  <c r="F1401" i="14"/>
  <c r="E1401" i="14"/>
  <c r="D1401" i="14"/>
  <c r="C1401" i="14"/>
  <c r="B1401" i="14"/>
  <c r="A1401" i="14"/>
  <c r="G1400" i="14"/>
  <c r="F1400" i="14"/>
  <c r="E1400" i="14"/>
  <c r="D1400" i="14"/>
  <c r="C1400" i="14"/>
  <c r="B1400" i="14"/>
  <c r="A1400" i="14"/>
  <c r="G1399" i="14"/>
  <c r="F1399" i="14"/>
  <c r="E1399" i="14"/>
  <c r="D1399" i="14"/>
  <c r="C1399" i="14"/>
  <c r="B1399" i="14"/>
  <c r="A1399" i="14"/>
  <c r="G1398" i="14"/>
  <c r="F1398" i="14"/>
  <c r="E1398" i="14"/>
  <c r="D1398" i="14"/>
  <c r="C1398" i="14"/>
  <c r="B1398" i="14"/>
  <c r="A1398" i="14"/>
  <c r="G1397" i="14"/>
  <c r="F1397" i="14"/>
  <c r="E1397" i="14"/>
  <c r="D1397" i="14"/>
  <c r="C1397" i="14"/>
  <c r="B1397" i="14"/>
  <c r="A1397" i="14"/>
  <c r="G1396" i="14"/>
  <c r="F1396" i="14"/>
  <c r="E1396" i="14"/>
  <c r="D1396" i="14"/>
  <c r="C1396" i="14"/>
  <c r="B1396" i="14"/>
  <c r="A1396" i="14"/>
  <c r="G1395" i="14"/>
  <c r="F1395" i="14"/>
  <c r="E1395" i="14"/>
  <c r="D1395" i="14"/>
  <c r="C1395" i="14"/>
  <c r="B1395" i="14"/>
  <c r="A1395" i="14"/>
  <c r="G1394" i="14"/>
  <c r="F1394" i="14"/>
  <c r="E1394" i="14"/>
  <c r="D1394" i="14"/>
  <c r="C1394" i="14"/>
  <c r="B1394" i="14"/>
  <c r="A1394" i="14"/>
  <c r="G1393" i="14"/>
  <c r="F1393" i="14"/>
  <c r="E1393" i="14"/>
  <c r="D1393" i="14"/>
  <c r="C1393" i="14"/>
  <c r="B1393" i="14"/>
  <c r="A1393" i="14"/>
  <c r="G1392" i="14"/>
  <c r="F1392" i="14"/>
  <c r="E1392" i="14"/>
  <c r="D1392" i="14"/>
  <c r="C1392" i="14"/>
  <c r="B1392" i="14"/>
  <c r="A1392" i="14"/>
  <c r="G1391" i="14"/>
  <c r="F1391" i="14"/>
  <c r="E1391" i="14"/>
  <c r="D1391" i="14"/>
  <c r="C1391" i="14"/>
  <c r="B1391" i="14"/>
  <c r="A1391" i="14"/>
  <c r="G1390" i="14"/>
  <c r="F1390" i="14"/>
  <c r="E1390" i="14"/>
  <c r="D1390" i="14"/>
  <c r="C1390" i="14"/>
  <c r="B1390" i="14"/>
  <c r="A1390" i="14"/>
  <c r="G1389" i="14"/>
  <c r="F1389" i="14"/>
  <c r="E1389" i="14"/>
  <c r="D1389" i="14"/>
  <c r="C1389" i="14"/>
  <c r="B1389" i="14"/>
  <c r="A1389" i="14"/>
  <c r="G1388" i="14"/>
  <c r="F1388" i="14"/>
  <c r="E1388" i="14"/>
  <c r="D1388" i="14"/>
  <c r="C1388" i="14"/>
  <c r="B1388" i="14"/>
  <c r="A1388" i="14"/>
  <c r="G1387" i="14"/>
  <c r="F1387" i="14"/>
  <c r="E1387" i="14"/>
  <c r="D1387" i="14"/>
  <c r="C1387" i="14"/>
  <c r="B1387" i="14"/>
  <c r="A1387" i="14"/>
  <c r="G1386" i="14"/>
  <c r="F1386" i="14"/>
  <c r="E1386" i="14"/>
  <c r="D1386" i="14"/>
  <c r="C1386" i="14"/>
  <c r="B1386" i="14"/>
  <c r="A1386" i="14"/>
  <c r="G1385" i="14"/>
  <c r="F1385" i="14"/>
  <c r="E1385" i="14"/>
  <c r="D1385" i="14"/>
  <c r="C1385" i="14"/>
  <c r="B1385" i="14"/>
  <c r="A1385" i="14"/>
  <c r="G1384" i="14"/>
  <c r="F1384" i="14"/>
  <c r="E1384" i="14"/>
  <c r="D1384" i="14"/>
  <c r="C1384" i="14"/>
  <c r="B1384" i="14"/>
  <c r="A1384" i="14"/>
  <c r="G1383" i="14"/>
  <c r="F1383" i="14"/>
  <c r="E1383" i="14"/>
  <c r="D1383" i="14"/>
  <c r="C1383" i="14"/>
  <c r="B1383" i="14"/>
  <c r="A1383" i="14"/>
  <c r="G1382" i="14"/>
  <c r="F1382" i="14"/>
  <c r="E1382" i="14"/>
  <c r="D1382" i="14"/>
  <c r="C1382" i="14"/>
  <c r="B1382" i="14"/>
  <c r="A1382" i="14"/>
  <c r="G1381" i="14"/>
  <c r="F1381" i="14"/>
  <c r="E1381" i="14"/>
  <c r="D1381" i="14"/>
  <c r="C1381" i="14"/>
  <c r="B1381" i="14"/>
  <c r="A1381" i="14"/>
  <c r="G1380" i="14"/>
  <c r="F1380" i="14"/>
  <c r="E1380" i="14"/>
  <c r="D1380" i="14"/>
  <c r="C1380" i="14"/>
  <c r="B1380" i="14"/>
  <c r="A1380" i="14"/>
  <c r="G1379" i="14"/>
  <c r="F1379" i="14"/>
  <c r="E1379" i="14"/>
  <c r="D1379" i="14"/>
  <c r="C1379" i="14"/>
  <c r="B1379" i="14"/>
  <c r="A1379" i="14"/>
  <c r="G1378" i="14"/>
  <c r="F1378" i="14"/>
  <c r="E1378" i="14"/>
  <c r="D1378" i="14"/>
  <c r="C1378" i="14"/>
  <c r="B1378" i="14"/>
  <c r="A1378" i="14"/>
  <c r="G1377" i="14"/>
  <c r="F1377" i="14"/>
  <c r="E1377" i="14"/>
  <c r="D1377" i="14"/>
  <c r="C1377" i="14"/>
  <c r="B1377" i="14"/>
  <c r="A1377" i="14"/>
  <c r="G1376" i="14"/>
  <c r="F1376" i="14"/>
  <c r="E1376" i="14"/>
  <c r="D1376" i="14"/>
  <c r="C1376" i="14"/>
  <c r="B1376" i="14"/>
  <c r="A1376" i="14"/>
  <c r="G1375" i="14"/>
  <c r="F1375" i="14"/>
  <c r="E1375" i="14"/>
  <c r="D1375" i="14"/>
  <c r="C1375" i="14"/>
  <c r="B1375" i="14"/>
  <c r="A1375" i="14"/>
  <c r="G1374" i="14"/>
  <c r="F1374" i="14"/>
  <c r="E1374" i="14"/>
  <c r="D1374" i="14"/>
  <c r="C1374" i="14"/>
  <c r="B1374" i="14"/>
  <c r="A1374" i="14"/>
  <c r="G1373" i="14"/>
  <c r="F1373" i="14"/>
  <c r="E1373" i="14"/>
  <c r="D1373" i="14"/>
  <c r="C1373" i="14"/>
  <c r="B1373" i="14"/>
  <c r="A1373" i="14"/>
  <c r="G1372" i="14"/>
  <c r="F1372" i="14"/>
  <c r="E1372" i="14"/>
  <c r="D1372" i="14"/>
  <c r="C1372" i="14"/>
  <c r="B1372" i="14"/>
  <c r="A1372" i="14"/>
  <c r="G1371" i="14"/>
  <c r="F1371" i="14"/>
  <c r="E1371" i="14"/>
  <c r="D1371" i="14"/>
  <c r="C1371" i="14"/>
  <c r="B1371" i="14"/>
  <c r="A1371" i="14"/>
  <c r="G1370" i="14"/>
  <c r="F1370" i="14"/>
  <c r="E1370" i="14"/>
  <c r="D1370" i="14"/>
  <c r="C1370" i="14"/>
  <c r="B1370" i="14"/>
  <c r="A1370" i="14"/>
  <c r="G1369" i="14"/>
  <c r="F1369" i="14"/>
  <c r="E1369" i="14"/>
  <c r="D1369" i="14"/>
  <c r="C1369" i="14"/>
  <c r="B1369" i="14"/>
  <c r="A1369" i="14"/>
  <c r="G1368" i="14"/>
  <c r="F1368" i="14"/>
  <c r="E1368" i="14"/>
  <c r="D1368" i="14"/>
  <c r="C1368" i="14"/>
  <c r="B1368" i="14"/>
  <c r="A1368" i="14"/>
  <c r="G1367" i="14"/>
  <c r="F1367" i="14"/>
  <c r="E1367" i="14"/>
  <c r="D1367" i="14"/>
  <c r="C1367" i="14"/>
  <c r="B1367" i="14"/>
  <c r="A1367" i="14"/>
  <c r="G1366" i="14"/>
  <c r="F1366" i="14"/>
  <c r="E1366" i="14"/>
  <c r="D1366" i="14"/>
  <c r="C1366" i="14"/>
  <c r="B1366" i="14"/>
  <c r="A1366" i="14"/>
  <c r="G1365" i="14"/>
  <c r="F1365" i="14"/>
  <c r="E1365" i="14"/>
  <c r="D1365" i="14"/>
  <c r="C1365" i="14"/>
  <c r="B1365" i="14"/>
  <c r="A1365" i="14"/>
  <c r="G1364" i="14"/>
  <c r="F1364" i="14"/>
  <c r="E1364" i="14"/>
  <c r="D1364" i="14"/>
  <c r="C1364" i="14"/>
  <c r="B1364" i="14"/>
  <c r="A1364" i="14"/>
  <c r="G1363" i="14"/>
  <c r="F1363" i="14"/>
  <c r="E1363" i="14"/>
  <c r="D1363" i="14"/>
  <c r="C1363" i="14"/>
  <c r="B1363" i="14"/>
  <c r="A1363" i="14"/>
  <c r="G1362" i="14"/>
  <c r="F1362" i="14"/>
  <c r="E1362" i="14"/>
  <c r="D1362" i="14"/>
  <c r="C1362" i="14"/>
  <c r="B1362" i="14"/>
  <c r="A1362" i="14"/>
  <c r="G1361" i="14"/>
  <c r="F1361" i="14"/>
  <c r="E1361" i="14"/>
  <c r="D1361" i="14"/>
  <c r="C1361" i="14"/>
  <c r="B1361" i="14"/>
  <c r="A1361" i="14"/>
  <c r="G1360" i="14"/>
  <c r="F1360" i="14"/>
  <c r="E1360" i="14"/>
  <c r="D1360" i="14"/>
  <c r="C1360" i="14"/>
  <c r="B1360" i="14"/>
  <c r="A1360" i="14"/>
  <c r="G1359" i="14"/>
  <c r="F1359" i="14"/>
  <c r="E1359" i="14"/>
  <c r="D1359" i="14"/>
  <c r="C1359" i="14"/>
  <c r="B1359" i="14"/>
  <c r="A1359" i="14"/>
  <c r="G1358" i="14"/>
  <c r="F1358" i="14"/>
  <c r="E1358" i="14"/>
  <c r="D1358" i="14"/>
  <c r="C1358" i="14"/>
  <c r="B1358" i="14"/>
  <c r="A1358" i="14"/>
  <c r="G1357" i="14"/>
  <c r="F1357" i="14"/>
  <c r="E1357" i="14"/>
  <c r="D1357" i="14"/>
  <c r="C1357" i="14"/>
  <c r="B1357" i="14"/>
  <c r="A1357" i="14"/>
  <c r="G1356" i="14"/>
  <c r="F1356" i="14"/>
  <c r="E1356" i="14"/>
  <c r="D1356" i="14"/>
  <c r="C1356" i="14"/>
  <c r="B1356" i="14"/>
  <c r="A1356" i="14"/>
  <c r="G1355" i="14"/>
  <c r="F1355" i="14"/>
  <c r="E1355" i="14"/>
  <c r="D1355" i="14"/>
  <c r="C1355" i="14"/>
  <c r="B1355" i="14"/>
  <c r="A1355" i="14"/>
  <c r="G1354" i="14"/>
  <c r="F1354" i="14"/>
  <c r="E1354" i="14"/>
  <c r="D1354" i="14"/>
  <c r="C1354" i="14"/>
  <c r="B1354" i="14"/>
  <c r="A1354" i="14"/>
  <c r="G1353" i="14"/>
  <c r="F1353" i="14"/>
  <c r="E1353" i="14"/>
  <c r="D1353" i="14"/>
  <c r="C1353" i="14"/>
  <c r="B1353" i="14"/>
  <c r="A1353" i="14"/>
  <c r="G1352" i="14"/>
  <c r="F1352" i="14"/>
  <c r="E1352" i="14"/>
  <c r="D1352" i="14"/>
  <c r="C1352" i="14"/>
  <c r="B1352" i="14"/>
  <c r="A1352" i="14"/>
  <c r="G1351" i="14"/>
  <c r="F1351" i="14"/>
  <c r="E1351" i="14"/>
  <c r="D1351" i="14"/>
  <c r="C1351" i="14"/>
  <c r="B1351" i="14"/>
  <c r="A1351" i="14"/>
  <c r="G1350" i="14"/>
  <c r="F1350" i="14"/>
  <c r="E1350" i="14"/>
  <c r="D1350" i="14"/>
  <c r="C1350" i="14"/>
  <c r="B1350" i="14"/>
  <c r="A1350" i="14"/>
  <c r="G1349" i="14"/>
  <c r="F1349" i="14"/>
  <c r="E1349" i="14"/>
  <c r="D1349" i="14"/>
  <c r="C1349" i="14"/>
  <c r="B1349" i="14"/>
  <c r="A1349" i="14"/>
  <c r="G1348" i="14"/>
  <c r="F1348" i="14"/>
  <c r="E1348" i="14"/>
  <c r="D1348" i="14"/>
  <c r="C1348" i="14"/>
  <c r="B1348" i="14"/>
  <c r="A1348" i="14"/>
  <c r="G1347" i="14"/>
  <c r="F1347" i="14"/>
  <c r="E1347" i="14"/>
  <c r="D1347" i="14"/>
  <c r="C1347" i="14"/>
  <c r="B1347" i="14"/>
  <c r="A1347" i="14"/>
  <c r="G1346" i="14"/>
  <c r="F1346" i="14"/>
  <c r="E1346" i="14"/>
  <c r="D1346" i="14"/>
  <c r="C1346" i="14"/>
  <c r="B1346" i="14"/>
  <c r="A1346" i="14"/>
  <c r="G1345" i="14"/>
  <c r="F1345" i="14"/>
  <c r="E1345" i="14"/>
  <c r="D1345" i="14"/>
  <c r="C1345" i="14"/>
  <c r="B1345" i="14"/>
  <c r="A1345" i="14"/>
  <c r="G1344" i="14"/>
  <c r="F1344" i="14"/>
  <c r="E1344" i="14"/>
  <c r="D1344" i="14"/>
  <c r="C1344" i="14"/>
  <c r="B1344" i="14"/>
  <c r="A1344" i="14"/>
  <c r="G1343" i="14"/>
  <c r="F1343" i="14"/>
  <c r="E1343" i="14"/>
  <c r="D1343" i="14"/>
  <c r="C1343" i="14"/>
  <c r="B1343" i="14"/>
  <c r="A1343" i="14"/>
  <c r="G1342" i="14"/>
  <c r="F1342" i="14"/>
  <c r="E1342" i="14"/>
  <c r="D1342" i="14"/>
  <c r="C1342" i="14"/>
  <c r="B1342" i="14"/>
  <c r="A1342" i="14"/>
  <c r="G1341" i="14"/>
  <c r="F1341" i="14"/>
  <c r="E1341" i="14"/>
  <c r="D1341" i="14"/>
  <c r="C1341" i="14"/>
  <c r="B1341" i="14"/>
  <c r="A1341" i="14"/>
  <c r="G1340" i="14"/>
  <c r="F1340" i="14"/>
  <c r="E1340" i="14"/>
  <c r="D1340" i="14"/>
  <c r="C1340" i="14"/>
  <c r="B1340" i="14"/>
  <c r="A1340" i="14"/>
  <c r="G1339" i="14"/>
  <c r="F1339" i="14"/>
  <c r="E1339" i="14"/>
  <c r="D1339" i="14"/>
  <c r="C1339" i="14"/>
  <c r="B1339" i="14"/>
  <c r="A1339" i="14"/>
  <c r="G1338" i="14"/>
  <c r="F1338" i="14"/>
  <c r="E1338" i="14"/>
  <c r="D1338" i="14"/>
  <c r="C1338" i="14"/>
  <c r="B1338" i="14"/>
  <c r="A1338" i="14"/>
  <c r="G1337" i="14"/>
  <c r="F1337" i="14"/>
  <c r="E1337" i="14"/>
  <c r="D1337" i="14"/>
  <c r="C1337" i="14"/>
  <c r="B1337" i="14"/>
  <c r="A1337" i="14"/>
  <c r="G1336" i="14"/>
  <c r="F1336" i="14"/>
  <c r="E1336" i="14"/>
  <c r="D1336" i="14"/>
  <c r="C1336" i="14"/>
  <c r="B1336" i="14"/>
  <c r="A1336" i="14"/>
  <c r="G1335" i="14"/>
  <c r="F1335" i="14"/>
  <c r="E1335" i="14"/>
  <c r="D1335" i="14"/>
  <c r="C1335" i="14"/>
  <c r="B1335" i="14"/>
  <c r="A1335" i="14"/>
  <c r="G1334" i="14"/>
  <c r="F1334" i="14"/>
  <c r="E1334" i="14"/>
  <c r="D1334" i="14"/>
  <c r="C1334" i="14"/>
  <c r="B1334" i="14"/>
  <c r="A1334" i="14"/>
  <c r="G1333" i="14"/>
  <c r="F1333" i="14"/>
  <c r="E1333" i="14"/>
  <c r="D1333" i="14"/>
  <c r="C1333" i="14"/>
  <c r="B1333" i="14"/>
  <c r="A1333" i="14"/>
  <c r="G1332" i="14"/>
  <c r="F1332" i="14"/>
  <c r="E1332" i="14"/>
  <c r="D1332" i="14"/>
  <c r="C1332" i="14"/>
  <c r="B1332" i="14"/>
  <c r="A1332" i="14"/>
  <c r="G1331" i="14"/>
  <c r="F1331" i="14"/>
  <c r="E1331" i="14"/>
  <c r="D1331" i="14"/>
  <c r="C1331" i="14"/>
  <c r="B1331" i="14"/>
  <c r="A1331" i="14"/>
  <c r="G1330" i="14"/>
  <c r="F1330" i="14"/>
  <c r="E1330" i="14"/>
  <c r="D1330" i="14"/>
  <c r="C1330" i="14"/>
  <c r="B1330" i="14"/>
  <c r="A1330" i="14"/>
  <c r="G1329" i="14"/>
  <c r="F1329" i="14"/>
  <c r="E1329" i="14"/>
  <c r="D1329" i="14"/>
  <c r="C1329" i="14"/>
  <c r="B1329" i="14"/>
  <c r="A1329" i="14"/>
  <c r="G1328" i="14"/>
  <c r="F1328" i="14"/>
  <c r="E1328" i="14"/>
  <c r="D1328" i="14"/>
  <c r="C1328" i="14"/>
  <c r="B1328" i="14"/>
  <c r="A1328" i="14"/>
  <c r="G1327" i="14"/>
  <c r="F1327" i="14"/>
  <c r="E1327" i="14"/>
  <c r="D1327" i="14"/>
  <c r="C1327" i="14"/>
  <c r="B1327" i="14"/>
  <c r="A1327" i="14"/>
  <c r="G1326" i="14"/>
  <c r="F1326" i="14"/>
  <c r="E1326" i="14"/>
  <c r="D1326" i="14"/>
  <c r="C1326" i="14"/>
  <c r="B1326" i="14"/>
  <c r="A1326" i="14"/>
  <c r="G1325" i="14"/>
  <c r="F1325" i="14"/>
  <c r="E1325" i="14"/>
  <c r="D1325" i="14"/>
  <c r="C1325" i="14"/>
  <c r="B1325" i="14"/>
  <c r="A1325" i="14"/>
  <c r="G1324" i="14"/>
  <c r="F1324" i="14"/>
  <c r="E1324" i="14"/>
  <c r="D1324" i="14"/>
  <c r="C1324" i="14"/>
  <c r="B1324" i="14"/>
  <c r="A1324" i="14"/>
  <c r="G1323" i="14"/>
  <c r="F1323" i="14"/>
  <c r="E1323" i="14"/>
  <c r="D1323" i="14"/>
  <c r="C1323" i="14"/>
  <c r="B1323" i="14"/>
  <c r="A1323" i="14"/>
  <c r="G1322" i="14"/>
  <c r="F1322" i="14"/>
  <c r="E1322" i="14"/>
  <c r="D1322" i="14"/>
  <c r="C1322" i="14"/>
  <c r="B1322" i="14"/>
  <c r="A1322" i="14"/>
  <c r="G1321" i="14"/>
  <c r="F1321" i="14"/>
  <c r="E1321" i="14"/>
  <c r="D1321" i="14"/>
  <c r="C1321" i="14"/>
  <c r="B1321" i="14"/>
  <c r="A1321" i="14"/>
  <c r="G1320" i="14"/>
  <c r="F1320" i="14"/>
  <c r="E1320" i="14"/>
  <c r="D1320" i="14"/>
  <c r="C1320" i="14"/>
  <c r="B1320" i="14"/>
  <c r="A1320" i="14"/>
  <c r="G1319" i="14"/>
  <c r="F1319" i="14"/>
  <c r="E1319" i="14"/>
  <c r="D1319" i="14"/>
  <c r="C1319" i="14"/>
  <c r="B1319" i="14"/>
  <c r="A1319" i="14"/>
  <c r="G1318" i="14"/>
  <c r="F1318" i="14"/>
  <c r="E1318" i="14"/>
  <c r="D1318" i="14"/>
  <c r="C1318" i="14"/>
  <c r="B1318" i="14"/>
  <c r="A1318" i="14"/>
  <c r="G1317" i="14"/>
  <c r="F1317" i="14"/>
  <c r="E1317" i="14"/>
  <c r="D1317" i="14"/>
  <c r="C1317" i="14"/>
  <c r="B1317" i="14"/>
  <c r="A1317" i="14"/>
  <c r="G1316" i="14"/>
  <c r="F1316" i="14"/>
  <c r="E1316" i="14"/>
  <c r="D1316" i="14"/>
  <c r="C1316" i="14"/>
  <c r="B1316" i="14"/>
  <c r="A1316" i="14"/>
  <c r="G1315" i="14"/>
  <c r="F1315" i="14"/>
  <c r="E1315" i="14"/>
  <c r="D1315" i="14"/>
  <c r="C1315" i="14"/>
  <c r="B1315" i="14"/>
  <c r="A1315" i="14"/>
  <c r="G1314" i="14"/>
  <c r="F1314" i="14"/>
  <c r="E1314" i="14"/>
  <c r="D1314" i="14"/>
  <c r="C1314" i="14"/>
  <c r="B1314" i="14"/>
  <c r="A1314" i="14"/>
  <c r="G1313" i="14"/>
  <c r="F1313" i="14"/>
  <c r="E1313" i="14"/>
  <c r="D1313" i="14"/>
  <c r="C1313" i="14"/>
  <c r="B1313" i="14"/>
  <c r="A1313" i="14"/>
  <c r="G1312" i="14"/>
  <c r="F1312" i="14"/>
  <c r="E1312" i="14"/>
  <c r="D1312" i="14"/>
  <c r="C1312" i="14"/>
  <c r="B1312" i="14"/>
  <c r="A1312" i="14"/>
  <c r="G1311" i="14"/>
  <c r="F1311" i="14"/>
  <c r="E1311" i="14"/>
  <c r="D1311" i="14"/>
  <c r="C1311" i="14"/>
  <c r="B1311" i="14"/>
  <c r="A1311" i="14"/>
  <c r="G1310" i="14"/>
  <c r="F1310" i="14"/>
  <c r="E1310" i="14"/>
  <c r="D1310" i="14"/>
  <c r="C1310" i="14"/>
  <c r="B1310" i="14"/>
  <c r="A1310" i="14"/>
  <c r="G1309" i="14"/>
  <c r="F1309" i="14"/>
  <c r="E1309" i="14"/>
  <c r="D1309" i="14"/>
  <c r="C1309" i="14"/>
  <c r="B1309" i="14"/>
  <c r="A1309" i="14"/>
  <c r="G1308" i="14"/>
  <c r="F1308" i="14"/>
  <c r="E1308" i="14"/>
  <c r="D1308" i="14"/>
  <c r="C1308" i="14"/>
  <c r="B1308" i="14"/>
  <c r="A1308" i="14"/>
  <c r="G1307" i="14"/>
  <c r="F1307" i="14"/>
  <c r="E1307" i="14"/>
  <c r="D1307" i="14"/>
  <c r="C1307" i="14"/>
  <c r="B1307" i="14"/>
  <c r="A1307" i="14"/>
  <c r="G1306" i="14"/>
  <c r="F1306" i="14"/>
  <c r="E1306" i="14"/>
  <c r="D1306" i="14"/>
  <c r="C1306" i="14"/>
  <c r="B1306" i="14"/>
  <c r="A1306" i="14"/>
  <c r="G1305" i="14"/>
  <c r="F1305" i="14"/>
  <c r="E1305" i="14"/>
  <c r="D1305" i="14"/>
  <c r="C1305" i="14"/>
  <c r="B1305" i="14"/>
  <c r="A1305" i="14"/>
  <c r="G1304" i="14"/>
  <c r="F1304" i="14"/>
  <c r="E1304" i="14"/>
  <c r="D1304" i="14"/>
  <c r="C1304" i="14"/>
  <c r="B1304" i="14"/>
  <c r="A1304" i="14"/>
  <c r="G1303" i="14"/>
  <c r="F1303" i="14"/>
  <c r="E1303" i="14"/>
  <c r="D1303" i="14"/>
  <c r="C1303" i="14"/>
  <c r="B1303" i="14"/>
  <c r="A1303" i="14"/>
  <c r="G1302" i="14"/>
  <c r="F1302" i="14"/>
  <c r="E1302" i="14"/>
  <c r="D1302" i="14"/>
  <c r="C1302" i="14"/>
  <c r="B1302" i="14"/>
  <c r="A1302" i="14"/>
  <c r="G1301" i="14"/>
  <c r="F1301" i="14"/>
  <c r="E1301" i="14"/>
  <c r="D1301" i="14"/>
  <c r="C1301" i="14"/>
  <c r="B1301" i="14"/>
  <c r="A1301" i="14"/>
  <c r="G1300" i="14"/>
  <c r="F1300" i="14"/>
  <c r="E1300" i="14"/>
  <c r="D1300" i="14"/>
  <c r="C1300" i="14"/>
  <c r="B1300" i="14"/>
  <c r="A1300" i="14"/>
  <c r="G1299" i="14"/>
  <c r="F1299" i="14"/>
  <c r="E1299" i="14"/>
  <c r="D1299" i="14"/>
  <c r="C1299" i="14"/>
  <c r="B1299" i="14"/>
  <c r="A1299" i="14"/>
  <c r="G1298" i="14"/>
  <c r="F1298" i="14"/>
  <c r="E1298" i="14"/>
  <c r="D1298" i="14"/>
  <c r="C1298" i="14"/>
  <c r="B1298" i="14"/>
  <c r="A1298" i="14"/>
  <c r="G1297" i="14"/>
  <c r="F1297" i="14"/>
  <c r="E1297" i="14"/>
  <c r="D1297" i="14"/>
  <c r="C1297" i="14"/>
  <c r="B1297" i="14"/>
  <c r="A1297" i="14"/>
  <c r="G1296" i="14"/>
  <c r="F1296" i="14"/>
  <c r="E1296" i="14"/>
  <c r="D1296" i="14"/>
  <c r="C1296" i="14"/>
  <c r="B1296" i="14"/>
  <c r="A1296" i="14"/>
  <c r="G1295" i="14"/>
  <c r="F1295" i="14"/>
  <c r="E1295" i="14"/>
  <c r="D1295" i="14"/>
  <c r="C1295" i="14"/>
  <c r="B1295" i="14"/>
  <c r="A1295" i="14"/>
  <c r="G1294" i="14"/>
  <c r="F1294" i="14"/>
  <c r="E1294" i="14"/>
  <c r="D1294" i="14"/>
  <c r="C1294" i="14"/>
  <c r="B1294" i="14"/>
  <c r="A1294" i="14"/>
  <c r="G1293" i="14"/>
  <c r="F1293" i="14"/>
  <c r="E1293" i="14"/>
  <c r="D1293" i="14"/>
  <c r="C1293" i="14"/>
  <c r="B1293" i="14"/>
  <c r="A1293" i="14"/>
  <c r="G1292" i="14"/>
  <c r="F1292" i="14"/>
  <c r="E1292" i="14"/>
  <c r="D1292" i="14"/>
  <c r="C1292" i="14"/>
  <c r="B1292" i="14"/>
  <c r="A1292" i="14"/>
  <c r="G1291" i="14"/>
  <c r="F1291" i="14"/>
  <c r="E1291" i="14"/>
  <c r="D1291" i="14"/>
  <c r="C1291" i="14"/>
  <c r="B1291" i="14"/>
  <c r="A1291" i="14"/>
  <c r="G1290" i="14"/>
  <c r="F1290" i="14"/>
  <c r="E1290" i="14"/>
  <c r="D1290" i="14"/>
  <c r="C1290" i="14"/>
  <c r="B1290" i="14"/>
  <c r="A1290" i="14"/>
  <c r="G1289" i="14"/>
  <c r="F1289" i="14"/>
  <c r="E1289" i="14"/>
  <c r="D1289" i="14"/>
  <c r="C1289" i="14"/>
  <c r="B1289" i="14"/>
  <c r="A1289" i="14"/>
  <c r="G1288" i="14"/>
  <c r="F1288" i="14"/>
  <c r="E1288" i="14"/>
  <c r="D1288" i="14"/>
  <c r="C1288" i="14"/>
  <c r="B1288" i="14"/>
  <c r="A1288" i="14"/>
  <c r="G1287" i="14"/>
  <c r="F1287" i="14"/>
  <c r="E1287" i="14"/>
  <c r="D1287" i="14"/>
  <c r="C1287" i="14"/>
  <c r="B1287" i="14"/>
  <c r="A1287" i="14"/>
  <c r="G1286" i="14"/>
  <c r="F1286" i="14"/>
  <c r="E1286" i="14"/>
  <c r="D1286" i="14"/>
  <c r="C1286" i="14"/>
  <c r="B1286" i="14"/>
  <c r="A1286" i="14"/>
  <c r="G1285" i="14"/>
  <c r="F1285" i="14"/>
  <c r="E1285" i="14"/>
  <c r="D1285" i="14"/>
  <c r="C1285" i="14"/>
  <c r="B1285" i="14"/>
  <c r="A1285" i="14"/>
  <c r="G1284" i="14"/>
  <c r="F1284" i="14"/>
  <c r="E1284" i="14"/>
  <c r="D1284" i="14"/>
  <c r="C1284" i="14"/>
  <c r="B1284" i="14"/>
  <c r="A1284" i="14"/>
  <c r="G1283" i="14"/>
  <c r="F1283" i="14"/>
  <c r="E1283" i="14"/>
  <c r="D1283" i="14"/>
  <c r="C1283" i="14"/>
  <c r="B1283" i="14"/>
  <c r="A1283" i="14"/>
  <c r="G1282" i="14"/>
  <c r="F1282" i="14"/>
  <c r="E1282" i="14"/>
  <c r="D1282" i="14"/>
  <c r="C1282" i="14"/>
  <c r="B1282" i="14"/>
  <c r="A1282" i="14"/>
  <c r="G1281" i="14"/>
  <c r="F1281" i="14"/>
  <c r="E1281" i="14"/>
  <c r="D1281" i="14"/>
  <c r="C1281" i="14"/>
  <c r="B1281" i="14"/>
  <c r="A1281" i="14"/>
  <c r="G1280" i="14"/>
  <c r="F1280" i="14"/>
  <c r="E1280" i="14"/>
  <c r="D1280" i="14"/>
  <c r="C1280" i="14"/>
  <c r="B1280" i="14"/>
  <c r="A1280" i="14"/>
  <c r="G1279" i="14"/>
  <c r="F1279" i="14"/>
  <c r="E1279" i="14"/>
  <c r="D1279" i="14"/>
  <c r="C1279" i="14"/>
  <c r="B1279" i="14"/>
  <c r="A1279" i="14"/>
  <c r="G1278" i="14"/>
  <c r="F1278" i="14"/>
  <c r="E1278" i="14"/>
  <c r="D1278" i="14"/>
  <c r="C1278" i="14"/>
  <c r="B1278" i="14"/>
  <c r="A1278" i="14"/>
  <c r="G1277" i="14"/>
  <c r="F1277" i="14"/>
  <c r="E1277" i="14"/>
  <c r="D1277" i="14"/>
  <c r="C1277" i="14"/>
  <c r="B1277" i="14"/>
  <c r="A1277" i="14"/>
  <c r="G1276" i="14"/>
  <c r="F1276" i="14"/>
  <c r="E1276" i="14"/>
  <c r="D1276" i="14"/>
  <c r="C1276" i="14"/>
  <c r="B1276" i="14"/>
  <c r="A1276" i="14"/>
  <c r="G1275" i="14"/>
  <c r="F1275" i="14"/>
  <c r="E1275" i="14"/>
  <c r="D1275" i="14"/>
  <c r="C1275" i="14"/>
  <c r="B1275" i="14"/>
  <c r="A1275" i="14"/>
  <c r="G1274" i="14"/>
  <c r="F1274" i="14"/>
  <c r="E1274" i="14"/>
  <c r="D1274" i="14"/>
  <c r="C1274" i="14"/>
  <c r="B1274" i="14"/>
  <c r="A1274" i="14"/>
  <c r="G1273" i="14"/>
  <c r="F1273" i="14"/>
  <c r="E1273" i="14"/>
  <c r="D1273" i="14"/>
  <c r="C1273" i="14"/>
  <c r="B1273" i="14"/>
  <c r="A1273" i="14"/>
  <c r="G1272" i="14"/>
  <c r="F1272" i="14"/>
  <c r="E1272" i="14"/>
  <c r="D1272" i="14"/>
  <c r="C1272" i="14"/>
  <c r="B1272" i="14"/>
  <c r="A1272" i="14"/>
  <c r="G1271" i="14"/>
  <c r="F1271" i="14"/>
  <c r="E1271" i="14"/>
  <c r="D1271" i="14"/>
  <c r="C1271" i="14"/>
  <c r="B1271" i="14"/>
  <c r="A1271" i="14"/>
  <c r="G1270" i="14"/>
  <c r="F1270" i="14"/>
  <c r="E1270" i="14"/>
  <c r="D1270" i="14"/>
  <c r="C1270" i="14"/>
  <c r="B1270" i="14"/>
  <c r="A1270" i="14"/>
  <c r="G1269" i="14"/>
  <c r="F1269" i="14"/>
  <c r="E1269" i="14"/>
  <c r="D1269" i="14"/>
  <c r="C1269" i="14"/>
  <c r="B1269" i="14"/>
  <c r="A1269" i="14"/>
  <c r="G1268" i="14"/>
  <c r="F1268" i="14"/>
  <c r="E1268" i="14"/>
  <c r="D1268" i="14"/>
  <c r="C1268" i="14"/>
  <c r="B1268" i="14"/>
  <c r="A1268" i="14"/>
  <c r="G1267" i="14"/>
  <c r="F1267" i="14"/>
  <c r="E1267" i="14"/>
  <c r="D1267" i="14"/>
  <c r="C1267" i="14"/>
  <c r="B1267" i="14"/>
  <c r="A1267" i="14"/>
  <c r="G1266" i="14"/>
  <c r="F1266" i="14"/>
  <c r="E1266" i="14"/>
  <c r="D1266" i="14"/>
  <c r="C1266" i="14"/>
  <c r="B1266" i="14"/>
  <c r="A1266" i="14"/>
  <c r="G1265" i="14"/>
  <c r="F1265" i="14"/>
  <c r="E1265" i="14"/>
  <c r="D1265" i="14"/>
  <c r="C1265" i="14"/>
  <c r="B1265" i="14"/>
  <c r="A1265" i="14"/>
  <c r="G1264" i="14"/>
  <c r="F1264" i="14"/>
  <c r="E1264" i="14"/>
  <c r="D1264" i="14"/>
  <c r="C1264" i="14"/>
  <c r="B1264" i="14"/>
  <c r="A1264" i="14"/>
  <c r="G1263" i="14"/>
  <c r="F1263" i="14"/>
  <c r="E1263" i="14"/>
  <c r="D1263" i="14"/>
  <c r="C1263" i="14"/>
  <c r="B1263" i="14"/>
  <c r="A1263" i="14"/>
  <c r="G1262" i="14"/>
  <c r="F1262" i="14"/>
  <c r="E1262" i="14"/>
  <c r="D1262" i="14"/>
  <c r="C1262" i="14"/>
  <c r="B1262" i="14"/>
  <c r="A1262" i="14"/>
  <c r="G1261" i="14"/>
  <c r="F1261" i="14"/>
  <c r="E1261" i="14"/>
  <c r="D1261" i="14"/>
  <c r="C1261" i="14"/>
  <c r="B1261" i="14"/>
  <c r="A1261" i="14"/>
  <c r="G1260" i="14"/>
  <c r="F1260" i="14"/>
  <c r="E1260" i="14"/>
  <c r="D1260" i="14"/>
  <c r="C1260" i="14"/>
  <c r="B1260" i="14"/>
  <c r="A1260" i="14"/>
  <c r="G1259" i="14"/>
  <c r="F1259" i="14"/>
  <c r="E1259" i="14"/>
  <c r="D1259" i="14"/>
  <c r="C1259" i="14"/>
  <c r="B1259" i="14"/>
  <c r="A1259" i="14"/>
  <c r="G1258" i="14"/>
  <c r="F1258" i="14"/>
  <c r="E1258" i="14"/>
  <c r="D1258" i="14"/>
  <c r="C1258" i="14"/>
  <c r="B1258" i="14"/>
  <c r="A1258" i="14"/>
  <c r="G1257" i="14"/>
  <c r="F1257" i="14"/>
  <c r="E1257" i="14"/>
  <c r="D1257" i="14"/>
  <c r="C1257" i="14"/>
  <c r="B1257" i="14"/>
  <c r="A1257" i="14"/>
  <c r="G1256" i="14"/>
  <c r="F1256" i="14"/>
  <c r="E1256" i="14"/>
  <c r="D1256" i="14"/>
  <c r="C1256" i="14"/>
  <c r="B1256" i="14"/>
  <c r="A1256" i="14"/>
  <c r="G1255" i="14"/>
  <c r="F1255" i="14"/>
  <c r="E1255" i="14"/>
  <c r="D1255" i="14"/>
  <c r="C1255" i="14"/>
  <c r="B1255" i="14"/>
  <c r="A1255" i="14"/>
  <c r="G1254" i="14"/>
  <c r="F1254" i="14"/>
  <c r="E1254" i="14"/>
  <c r="D1254" i="14"/>
  <c r="C1254" i="14"/>
  <c r="B1254" i="14"/>
  <c r="A1254" i="14"/>
  <c r="G1253" i="14"/>
  <c r="F1253" i="14"/>
  <c r="E1253" i="14"/>
  <c r="D1253" i="14"/>
  <c r="C1253" i="14"/>
  <c r="B1253" i="14"/>
  <c r="A1253" i="14"/>
  <c r="G1252" i="14"/>
  <c r="F1252" i="14"/>
  <c r="E1252" i="14"/>
  <c r="D1252" i="14"/>
  <c r="C1252" i="14"/>
  <c r="B1252" i="14"/>
  <c r="A1252" i="14"/>
  <c r="G1251" i="14"/>
  <c r="F1251" i="14"/>
  <c r="E1251" i="14"/>
  <c r="D1251" i="14"/>
  <c r="C1251" i="14"/>
  <c r="B1251" i="14"/>
  <c r="A1251" i="14"/>
  <c r="G1250" i="14"/>
  <c r="F1250" i="14"/>
  <c r="E1250" i="14"/>
  <c r="D1250" i="14"/>
  <c r="C1250" i="14"/>
  <c r="B1250" i="14"/>
  <c r="A1250" i="14"/>
  <c r="G1249" i="14"/>
  <c r="F1249" i="14"/>
  <c r="E1249" i="14"/>
  <c r="D1249" i="14"/>
  <c r="C1249" i="14"/>
  <c r="B1249" i="14"/>
  <c r="A1249" i="14"/>
  <c r="G1248" i="14"/>
  <c r="F1248" i="14"/>
  <c r="E1248" i="14"/>
  <c r="D1248" i="14"/>
  <c r="C1248" i="14"/>
  <c r="B1248" i="14"/>
  <c r="A1248" i="14"/>
  <c r="G1247" i="14"/>
  <c r="F1247" i="14"/>
  <c r="E1247" i="14"/>
  <c r="D1247" i="14"/>
  <c r="C1247" i="14"/>
  <c r="B1247" i="14"/>
  <c r="A1247" i="14"/>
  <c r="G1246" i="14"/>
  <c r="F1246" i="14"/>
  <c r="E1246" i="14"/>
  <c r="D1246" i="14"/>
  <c r="C1246" i="14"/>
  <c r="B1246" i="14"/>
  <c r="A1246" i="14"/>
  <c r="G1245" i="14"/>
  <c r="F1245" i="14"/>
  <c r="E1245" i="14"/>
  <c r="D1245" i="14"/>
  <c r="C1245" i="14"/>
  <c r="B1245" i="14"/>
  <c r="A1245" i="14"/>
  <c r="G1244" i="14"/>
  <c r="F1244" i="14"/>
  <c r="E1244" i="14"/>
  <c r="D1244" i="14"/>
  <c r="C1244" i="14"/>
  <c r="B1244" i="14"/>
  <c r="A1244" i="14"/>
  <c r="G1243" i="14"/>
  <c r="F1243" i="14"/>
  <c r="E1243" i="14"/>
  <c r="D1243" i="14"/>
  <c r="C1243" i="14"/>
  <c r="B1243" i="14"/>
  <c r="A1243" i="14"/>
  <c r="G1242" i="14"/>
  <c r="F1242" i="14"/>
  <c r="E1242" i="14"/>
  <c r="D1242" i="14"/>
  <c r="C1242" i="14"/>
  <c r="B1242" i="14"/>
  <c r="A1242" i="14"/>
  <c r="G1241" i="14"/>
  <c r="F1241" i="14"/>
  <c r="E1241" i="14"/>
  <c r="D1241" i="14"/>
  <c r="C1241" i="14"/>
  <c r="B1241" i="14"/>
  <c r="A1241" i="14"/>
  <c r="G1240" i="14"/>
  <c r="F1240" i="14"/>
  <c r="E1240" i="14"/>
  <c r="D1240" i="14"/>
  <c r="C1240" i="14"/>
  <c r="B1240" i="14"/>
  <c r="A1240" i="14"/>
  <c r="G1239" i="14"/>
  <c r="F1239" i="14"/>
  <c r="E1239" i="14"/>
  <c r="D1239" i="14"/>
  <c r="C1239" i="14"/>
  <c r="B1239" i="14"/>
  <c r="A1239" i="14"/>
  <c r="G1238" i="14"/>
  <c r="F1238" i="14"/>
  <c r="E1238" i="14"/>
  <c r="D1238" i="14"/>
  <c r="C1238" i="14"/>
  <c r="B1238" i="14"/>
  <c r="A1238" i="14"/>
  <c r="G1237" i="14"/>
  <c r="F1237" i="14"/>
  <c r="E1237" i="14"/>
  <c r="D1237" i="14"/>
  <c r="C1237" i="14"/>
  <c r="B1237" i="14"/>
  <c r="A1237" i="14"/>
  <c r="G1236" i="14"/>
  <c r="F1236" i="14"/>
  <c r="E1236" i="14"/>
  <c r="D1236" i="14"/>
  <c r="C1236" i="14"/>
  <c r="B1236" i="14"/>
  <c r="A1236" i="14"/>
  <c r="G1235" i="14"/>
  <c r="F1235" i="14"/>
  <c r="E1235" i="14"/>
  <c r="D1235" i="14"/>
  <c r="C1235" i="14"/>
  <c r="B1235" i="14"/>
  <c r="A1235" i="14"/>
  <c r="G1234" i="14"/>
  <c r="F1234" i="14"/>
  <c r="E1234" i="14"/>
  <c r="D1234" i="14"/>
  <c r="C1234" i="14"/>
  <c r="B1234" i="14"/>
  <c r="A1234" i="14"/>
  <c r="G1233" i="14"/>
  <c r="F1233" i="14"/>
  <c r="E1233" i="14"/>
  <c r="D1233" i="14"/>
  <c r="C1233" i="14"/>
  <c r="B1233" i="14"/>
  <c r="A1233" i="14"/>
  <c r="G1232" i="14"/>
  <c r="F1232" i="14"/>
  <c r="E1232" i="14"/>
  <c r="D1232" i="14"/>
  <c r="C1232" i="14"/>
  <c r="B1232" i="14"/>
  <c r="A1232" i="14"/>
  <c r="G1231" i="14"/>
  <c r="F1231" i="14"/>
  <c r="E1231" i="14"/>
  <c r="D1231" i="14"/>
  <c r="C1231" i="14"/>
  <c r="B1231" i="14"/>
  <c r="A1231" i="14"/>
  <c r="G1230" i="14"/>
  <c r="F1230" i="14"/>
  <c r="E1230" i="14"/>
  <c r="D1230" i="14"/>
  <c r="C1230" i="14"/>
  <c r="B1230" i="14"/>
  <c r="A1230" i="14"/>
  <c r="G1229" i="14"/>
  <c r="F1229" i="14"/>
  <c r="E1229" i="14"/>
  <c r="D1229" i="14"/>
  <c r="C1229" i="14"/>
  <c r="B1229" i="14"/>
  <c r="A1229" i="14"/>
  <c r="G1228" i="14"/>
  <c r="F1228" i="14"/>
  <c r="E1228" i="14"/>
  <c r="D1228" i="14"/>
  <c r="C1228" i="14"/>
  <c r="B1228" i="14"/>
  <c r="A1228" i="14"/>
  <c r="G1227" i="14"/>
  <c r="F1227" i="14"/>
  <c r="E1227" i="14"/>
  <c r="D1227" i="14"/>
  <c r="C1227" i="14"/>
  <c r="B1227" i="14"/>
  <c r="A1227" i="14"/>
  <c r="G1226" i="14"/>
  <c r="F1226" i="14"/>
  <c r="E1226" i="14"/>
  <c r="D1226" i="14"/>
  <c r="C1226" i="14"/>
  <c r="B1226" i="14"/>
  <c r="A1226" i="14"/>
  <c r="G1225" i="14"/>
  <c r="F1225" i="14"/>
  <c r="E1225" i="14"/>
  <c r="D1225" i="14"/>
  <c r="C1225" i="14"/>
  <c r="B1225" i="14"/>
  <c r="A1225" i="14"/>
  <c r="G1224" i="14"/>
  <c r="F1224" i="14"/>
  <c r="E1224" i="14"/>
  <c r="D1224" i="14"/>
  <c r="C1224" i="14"/>
  <c r="B1224" i="14"/>
  <c r="A1224" i="14"/>
  <c r="G1223" i="14"/>
  <c r="F1223" i="14"/>
  <c r="E1223" i="14"/>
  <c r="D1223" i="14"/>
  <c r="C1223" i="14"/>
  <c r="B1223" i="14"/>
  <c r="A1223" i="14"/>
  <c r="G1222" i="14"/>
  <c r="F1222" i="14"/>
  <c r="E1222" i="14"/>
  <c r="D1222" i="14"/>
  <c r="C1222" i="14"/>
  <c r="B1222" i="14"/>
  <c r="A1222" i="14"/>
  <c r="G1221" i="14"/>
  <c r="F1221" i="14"/>
  <c r="E1221" i="14"/>
  <c r="D1221" i="14"/>
  <c r="C1221" i="14"/>
  <c r="B1221" i="14"/>
  <c r="A1221" i="14"/>
  <c r="G1220" i="14"/>
  <c r="F1220" i="14"/>
  <c r="E1220" i="14"/>
  <c r="D1220" i="14"/>
  <c r="C1220" i="14"/>
  <c r="B1220" i="14"/>
  <c r="A1220" i="14"/>
  <c r="G1219" i="14"/>
  <c r="F1219" i="14"/>
  <c r="E1219" i="14"/>
  <c r="D1219" i="14"/>
  <c r="C1219" i="14"/>
  <c r="B1219" i="14"/>
  <c r="A1219" i="14"/>
  <c r="G1218" i="14"/>
  <c r="F1218" i="14"/>
  <c r="E1218" i="14"/>
  <c r="D1218" i="14"/>
  <c r="C1218" i="14"/>
  <c r="B1218" i="14"/>
  <c r="A1218" i="14"/>
  <c r="G1217" i="14"/>
  <c r="F1217" i="14"/>
  <c r="E1217" i="14"/>
  <c r="D1217" i="14"/>
  <c r="C1217" i="14"/>
  <c r="B1217" i="14"/>
  <c r="A1217" i="14"/>
  <c r="G1216" i="14"/>
  <c r="F1216" i="14"/>
  <c r="E1216" i="14"/>
  <c r="D1216" i="14"/>
  <c r="C1216" i="14"/>
  <c r="B1216" i="14"/>
  <c r="A1216" i="14"/>
  <c r="G1215" i="14"/>
  <c r="F1215" i="14"/>
  <c r="E1215" i="14"/>
  <c r="D1215" i="14"/>
  <c r="C1215" i="14"/>
  <c r="B1215" i="14"/>
  <c r="A1215" i="14"/>
  <c r="G1214" i="14"/>
  <c r="F1214" i="14"/>
  <c r="E1214" i="14"/>
  <c r="D1214" i="14"/>
  <c r="C1214" i="14"/>
  <c r="B1214" i="14"/>
  <c r="A1214" i="14"/>
  <c r="G1213" i="14"/>
  <c r="F1213" i="14"/>
  <c r="E1213" i="14"/>
  <c r="D1213" i="14"/>
  <c r="C1213" i="14"/>
  <c r="B1213" i="14"/>
  <c r="A1213" i="14"/>
  <c r="G1212" i="14"/>
  <c r="F1212" i="14"/>
  <c r="E1212" i="14"/>
  <c r="D1212" i="14"/>
  <c r="C1212" i="14"/>
  <c r="B1212" i="14"/>
  <c r="A1212" i="14"/>
  <c r="G1211" i="14"/>
  <c r="F1211" i="14"/>
  <c r="E1211" i="14"/>
  <c r="D1211" i="14"/>
  <c r="C1211" i="14"/>
  <c r="B1211" i="14"/>
  <c r="A1211" i="14"/>
  <c r="G1210" i="14"/>
  <c r="F1210" i="14"/>
  <c r="E1210" i="14"/>
  <c r="D1210" i="14"/>
  <c r="C1210" i="14"/>
  <c r="B1210" i="14"/>
  <c r="A1210" i="14"/>
  <c r="G1209" i="14"/>
  <c r="F1209" i="14"/>
  <c r="E1209" i="14"/>
  <c r="D1209" i="14"/>
  <c r="C1209" i="14"/>
  <c r="B1209" i="14"/>
  <c r="A1209" i="14"/>
  <c r="G1208" i="14"/>
  <c r="F1208" i="14"/>
  <c r="E1208" i="14"/>
  <c r="D1208" i="14"/>
  <c r="C1208" i="14"/>
  <c r="B1208" i="14"/>
  <c r="A1208" i="14"/>
  <c r="G1207" i="14"/>
  <c r="F1207" i="14"/>
  <c r="E1207" i="14"/>
  <c r="D1207" i="14"/>
  <c r="C1207" i="14"/>
  <c r="B1207" i="14"/>
  <c r="A1207" i="14"/>
  <c r="G1206" i="14"/>
  <c r="F1206" i="14"/>
  <c r="E1206" i="14"/>
  <c r="D1206" i="14"/>
  <c r="C1206" i="14"/>
  <c r="B1206" i="14"/>
  <c r="A1206" i="14"/>
  <c r="G1205" i="14"/>
  <c r="F1205" i="14"/>
  <c r="E1205" i="14"/>
  <c r="D1205" i="14"/>
  <c r="C1205" i="14"/>
  <c r="B1205" i="14"/>
  <c r="A1205" i="14"/>
  <c r="G1204" i="14"/>
  <c r="F1204" i="14"/>
  <c r="E1204" i="14"/>
  <c r="D1204" i="14"/>
  <c r="C1204" i="14"/>
  <c r="B1204" i="14"/>
  <c r="A1204" i="14"/>
  <c r="G1203" i="14"/>
  <c r="F1203" i="14"/>
  <c r="E1203" i="14"/>
  <c r="D1203" i="14"/>
  <c r="C1203" i="14"/>
  <c r="B1203" i="14"/>
  <c r="A1203" i="14"/>
  <c r="G1202" i="14"/>
  <c r="F1202" i="14"/>
  <c r="E1202" i="14"/>
  <c r="D1202" i="14"/>
  <c r="C1202" i="14"/>
  <c r="B1202" i="14"/>
  <c r="A1202" i="14"/>
  <c r="G1201" i="14"/>
  <c r="F1201" i="14"/>
  <c r="E1201" i="14"/>
  <c r="D1201" i="14"/>
  <c r="C1201" i="14"/>
  <c r="B1201" i="14"/>
  <c r="A1201" i="14"/>
  <c r="G1200" i="14"/>
  <c r="F1200" i="14"/>
  <c r="E1200" i="14"/>
  <c r="D1200" i="14"/>
  <c r="C1200" i="14"/>
  <c r="B1200" i="14"/>
  <c r="A1200" i="14"/>
  <c r="G1199" i="14"/>
  <c r="F1199" i="14"/>
  <c r="E1199" i="14"/>
  <c r="D1199" i="14"/>
  <c r="C1199" i="14"/>
  <c r="B1199" i="14"/>
  <c r="A1199" i="14"/>
  <c r="G1198" i="14"/>
  <c r="F1198" i="14"/>
  <c r="E1198" i="14"/>
  <c r="D1198" i="14"/>
  <c r="C1198" i="14"/>
  <c r="B1198" i="14"/>
  <c r="A1198" i="14"/>
  <c r="G1197" i="14"/>
  <c r="F1197" i="14"/>
  <c r="E1197" i="14"/>
  <c r="D1197" i="14"/>
  <c r="C1197" i="14"/>
  <c r="B1197" i="14"/>
  <c r="A1197" i="14"/>
  <c r="G1196" i="14"/>
  <c r="F1196" i="14"/>
  <c r="E1196" i="14"/>
  <c r="D1196" i="14"/>
  <c r="C1196" i="14"/>
  <c r="B1196" i="14"/>
  <c r="A1196" i="14"/>
  <c r="G1195" i="14"/>
  <c r="F1195" i="14"/>
  <c r="E1195" i="14"/>
  <c r="D1195" i="14"/>
  <c r="C1195" i="14"/>
  <c r="B1195" i="14"/>
  <c r="A1195" i="14"/>
  <c r="G1194" i="14"/>
  <c r="F1194" i="14"/>
  <c r="E1194" i="14"/>
  <c r="D1194" i="14"/>
  <c r="C1194" i="14"/>
  <c r="B1194" i="14"/>
  <c r="A1194" i="14"/>
  <c r="G1193" i="14"/>
  <c r="F1193" i="14"/>
  <c r="E1193" i="14"/>
  <c r="D1193" i="14"/>
  <c r="C1193" i="14"/>
  <c r="B1193" i="14"/>
  <c r="A1193" i="14"/>
  <c r="G1192" i="14"/>
  <c r="F1192" i="14"/>
  <c r="E1192" i="14"/>
  <c r="D1192" i="14"/>
  <c r="C1192" i="14"/>
  <c r="B1192" i="14"/>
  <c r="A1192" i="14"/>
  <c r="G1191" i="14"/>
  <c r="F1191" i="14"/>
  <c r="E1191" i="14"/>
  <c r="D1191" i="14"/>
  <c r="C1191" i="14"/>
  <c r="B1191" i="14"/>
  <c r="A1191" i="14"/>
  <c r="G1190" i="14"/>
  <c r="F1190" i="14"/>
  <c r="E1190" i="14"/>
  <c r="D1190" i="14"/>
  <c r="C1190" i="14"/>
  <c r="B1190" i="14"/>
  <c r="A1190" i="14"/>
  <c r="G1189" i="14"/>
  <c r="F1189" i="14"/>
  <c r="E1189" i="14"/>
  <c r="D1189" i="14"/>
  <c r="C1189" i="14"/>
  <c r="B1189" i="14"/>
  <c r="A1189" i="14"/>
  <c r="G1188" i="14"/>
  <c r="F1188" i="14"/>
  <c r="E1188" i="14"/>
  <c r="D1188" i="14"/>
  <c r="C1188" i="14"/>
  <c r="B1188" i="14"/>
  <c r="A1188" i="14"/>
  <c r="G1187" i="14"/>
  <c r="F1187" i="14"/>
  <c r="E1187" i="14"/>
  <c r="D1187" i="14"/>
  <c r="C1187" i="14"/>
  <c r="B1187" i="14"/>
  <c r="A1187" i="14"/>
  <c r="G1186" i="14"/>
  <c r="F1186" i="14"/>
  <c r="E1186" i="14"/>
  <c r="D1186" i="14"/>
  <c r="C1186" i="14"/>
  <c r="B1186" i="14"/>
  <c r="A1186" i="14"/>
  <c r="G1185" i="14"/>
  <c r="F1185" i="14"/>
  <c r="E1185" i="14"/>
  <c r="D1185" i="14"/>
  <c r="C1185" i="14"/>
  <c r="B1185" i="14"/>
  <c r="A1185" i="14"/>
  <c r="G1184" i="14"/>
  <c r="F1184" i="14"/>
  <c r="E1184" i="14"/>
  <c r="D1184" i="14"/>
  <c r="C1184" i="14"/>
  <c r="B1184" i="14"/>
  <c r="A1184" i="14"/>
  <c r="G1183" i="14"/>
  <c r="F1183" i="14"/>
  <c r="E1183" i="14"/>
  <c r="D1183" i="14"/>
  <c r="C1183" i="14"/>
  <c r="B1183" i="14"/>
  <c r="A1183" i="14"/>
  <c r="G1182" i="14"/>
  <c r="F1182" i="14"/>
  <c r="E1182" i="14"/>
  <c r="D1182" i="14"/>
  <c r="C1182" i="14"/>
  <c r="B1182" i="14"/>
  <c r="A1182" i="14"/>
  <c r="G1181" i="14"/>
  <c r="F1181" i="14"/>
  <c r="E1181" i="14"/>
  <c r="D1181" i="14"/>
  <c r="C1181" i="14"/>
  <c r="B1181" i="14"/>
  <c r="A1181" i="14"/>
  <c r="G1180" i="14"/>
  <c r="F1180" i="14"/>
  <c r="E1180" i="14"/>
  <c r="D1180" i="14"/>
  <c r="C1180" i="14"/>
  <c r="B1180" i="14"/>
  <c r="A1180" i="14"/>
  <c r="G1179" i="14"/>
  <c r="F1179" i="14"/>
  <c r="E1179" i="14"/>
  <c r="D1179" i="14"/>
  <c r="C1179" i="14"/>
  <c r="B1179" i="14"/>
  <c r="A1179" i="14"/>
  <c r="G1178" i="14"/>
  <c r="F1178" i="14"/>
  <c r="E1178" i="14"/>
  <c r="D1178" i="14"/>
  <c r="C1178" i="14"/>
  <c r="B1178" i="14"/>
  <c r="A1178" i="14"/>
  <c r="G1177" i="14"/>
  <c r="F1177" i="14"/>
  <c r="E1177" i="14"/>
  <c r="D1177" i="14"/>
  <c r="C1177" i="14"/>
  <c r="B1177" i="14"/>
  <c r="A1177" i="14"/>
  <c r="G1176" i="14"/>
  <c r="F1176" i="14"/>
  <c r="E1176" i="14"/>
  <c r="D1176" i="14"/>
  <c r="C1176" i="14"/>
  <c r="B1176" i="14"/>
  <c r="A1176" i="14"/>
  <c r="G1175" i="14"/>
  <c r="F1175" i="14"/>
  <c r="E1175" i="14"/>
  <c r="D1175" i="14"/>
  <c r="C1175" i="14"/>
  <c r="B1175" i="14"/>
  <c r="A1175" i="14"/>
  <c r="G1174" i="14"/>
  <c r="F1174" i="14"/>
  <c r="E1174" i="14"/>
  <c r="D1174" i="14"/>
  <c r="C1174" i="14"/>
  <c r="B1174" i="14"/>
  <c r="A1174" i="14"/>
  <c r="G1173" i="14"/>
  <c r="F1173" i="14"/>
  <c r="E1173" i="14"/>
  <c r="D1173" i="14"/>
  <c r="C1173" i="14"/>
  <c r="B1173" i="14"/>
  <c r="A1173" i="14"/>
  <c r="G1172" i="14"/>
  <c r="F1172" i="14"/>
  <c r="E1172" i="14"/>
  <c r="D1172" i="14"/>
  <c r="C1172" i="14"/>
  <c r="B1172" i="14"/>
  <c r="A1172" i="14"/>
  <c r="G1171" i="14"/>
  <c r="F1171" i="14"/>
  <c r="E1171" i="14"/>
  <c r="D1171" i="14"/>
  <c r="C1171" i="14"/>
  <c r="B1171" i="14"/>
  <c r="A1171" i="14"/>
  <c r="G1170" i="14"/>
  <c r="F1170" i="14"/>
  <c r="E1170" i="14"/>
  <c r="D1170" i="14"/>
  <c r="C1170" i="14"/>
  <c r="B1170" i="14"/>
  <c r="A1170" i="14"/>
  <c r="G1169" i="14"/>
  <c r="F1169" i="14"/>
  <c r="E1169" i="14"/>
  <c r="D1169" i="14"/>
  <c r="C1169" i="14"/>
  <c r="B1169" i="14"/>
  <c r="A1169" i="14"/>
  <c r="G1168" i="14"/>
  <c r="F1168" i="14"/>
  <c r="E1168" i="14"/>
  <c r="D1168" i="14"/>
  <c r="C1168" i="14"/>
  <c r="B1168" i="14"/>
  <c r="A1168" i="14"/>
  <c r="G1167" i="14"/>
  <c r="F1167" i="14"/>
  <c r="E1167" i="14"/>
  <c r="D1167" i="14"/>
  <c r="C1167" i="14"/>
  <c r="B1167" i="14"/>
  <c r="A1167" i="14"/>
  <c r="G1166" i="14"/>
  <c r="F1166" i="14"/>
  <c r="E1166" i="14"/>
  <c r="D1166" i="14"/>
  <c r="C1166" i="14"/>
  <c r="B1166" i="14"/>
  <c r="A1166" i="14"/>
  <c r="G1165" i="14"/>
  <c r="F1165" i="14"/>
  <c r="E1165" i="14"/>
  <c r="D1165" i="14"/>
  <c r="C1165" i="14"/>
  <c r="B1165" i="14"/>
  <c r="A1165" i="14"/>
  <c r="G1164" i="14"/>
  <c r="F1164" i="14"/>
  <c r="E1164" i="14"/>
  <c r="D1164" i="14"/>
  <c r="C1164" i="14"/>
  <c r="B1164" i="14"/>
  <c r="A1164" i="14"/>
  <c r="G1163" i="14"/>
  <c r="F1163" i="14"/>
  <c r="E1163" i="14"/>
  <c r="D1163" i="14"/>
  <c r="C1163" i="14"/>
  <c r="B1163" i="14"/>
  <c r="A1163" i="14"/>
  <c r="G1162" i="14"/>
  <c r="F1162" i="14"/>
  <c r="E1162" i="14"/>
  <c r="D1162" i="14"/>
  <c r="C1162" i="14"/>
  <c r="B1162" i="14"/>
  <c r="A1162" i="14"/>
  <c r="G1161" i="14"/>
  <c r="F1161" i="14"/>
  <c r="E1161" i="14"/>
  <c r="D1161" i="14"/>
  <c r="C1161" i="14"/>
  <c r="B1161" i="14"/>
  <c r="A1161" i="14"/>
  <c r="G1160" i="14"/>
  <c r="F1160" i="14"/>
  <c r="E1160" i="14"/>
  <c r="D1160" i="14"/>
  <c r="C1160" i="14"/>
  <c r="B1160" i="14"/>
  <c r="A1160" i="14"/>
  <c r="G1159" i="14"/>
  <c r="F1159" i="14"/>
  <c r="E1159" i="14"/>
  <c r="D1159" i="14"/>
  <c r="C1159" i="14"/>
  <c r="B1159" i="14"/>
  <c r="A1159" i="14"/>
  <c r="G1158" i="14"/>
  <c r="F1158" i="14"/>
  <c r="E1158" i="14"/>
  <c r="D1158" i="14"/>
  <c r="C1158" i="14"/>
  <c r="B1158" i="14"/>
  <c r="A1158" i="14"/>
  <c r="G1157" i="14"/>
  <c r="F1157" i="14"/>
  <c r="E1157" i="14"/>
  <c r="D1157" i="14"/>
  <c r="C1157" i="14"/>
  <c r="B1157" i="14"/>
  <c r="A1157" i="14"/>
  <c r="G1156" i="14"/>
  <c r="F1156" i="14"/>
  <c r="E1156" i="14"/>
  <c r="D1156" i="14"/>
  <c r="C1156" i="14"/>
  <c r="B1156" i="14"/>
  <c r="A1156" i="14"/>
  <c r="G1155" i="14"/>
  <c r="F1155" i="14"/>
  <c r="E1155" i="14"/>
  <c r="D1155" i="14"/>
  <c r="C1155" i="14"/>
  <c r="B1155" i="14"/>
  <c r="A1155" i="14"/>
  <c r="G1154" i="14"/>
  <c r="F1154" i="14"/>
  <c r="E1154" i="14"/>
  <c r="D1154" i="14"/>
  <c r="C1154" i="14"/>
  <c r="B1154" i="14"/>
  <c r="A1154" i="14"/>
  <c r="G1153" i="14"/>
  <c r="F1153" i="14"/>
  <c r="E1153" i="14"/>
  <c r="D1153" i="14"/>
  <c r="C1153" i="14"/>
  <c r="B1153" i="14"/>
  <c r="A1153" i="14"/>
  <c r="G1152" i="14"/>
  <c r="F1152" i="14"/>
  <c r="E1152" i="14"/>
  <c r="D1152" i="14"/>
  <c r="C1152" i="14"/>
  <c r="B1152" i="14"/>
  <c r="A1152" i="14"/>
  <c r="G1151" i="14"/>
  <c r="F1151" i="14"/>
  <c r="E1151" i="14"/>
  <c r="D1151" i="14"/>
  <c r="C1151" i="14"/>
  <c r="B1151" i="14"/>
  <c r="A1151" i="14"/>
  <c r="G1150" i="14"/>
  <c r="F1150" i="14"/>
  <c r="E1150" i="14"/>
  <c r="D1150" i="14"/>
  <c r="C1150" i="14"/>
  <c r="B1150" i="14"/>
  <c r="A1150" i="14"/>
  <c r="G1149" i="14"/>
  <c r="F1149" i="14"/>
  <c r="E1149" i="14"/>
  <c r="D1149" i="14"/>
  <c r="C1149" i="14"/>
  <c r="B1149" i="14"/>
  <c r="A1149" i="14"/>
  <c r="G1148" i="14"/>
  <c r="F1148" i="14"/>
  <c r="E1148" i="14"/>
  <c r="D1148" i="14"/>
  <c r="C1148" i="14"/>
  <c r="B1148" i="14"/>
  <c r="A1148" i="14"/>
  <c r="G1147" i="14"/>
  <c r="F1147" i="14"/>
  <c r="E1147" i="14"/>
  <c r="D1147" i="14"/>
  <c r="C1147" i="14"/>
  <c r="B1147" i="14"/>
  <c r="A1147" i="14"/>
  <c r="G1146" i="14"/>
  <c r="F1146" i="14"/>
  <c r="E1146" i="14"/>
  <c r="D1146" i="14"/>
  <c r="C1146" i="14"/>
  <c r="B1146" i="14"/>
  <c r="A1146" i="14"/>
  <c r="G1145" i="14"/>
  <c r="F1145" i="14"/>
  <c r="E1145" i="14"/>
  <c r="D1145" i="14"/>
  <c r="C1145" i="14"/>
  <c r="B1145" i="14"/>
  <c r="A1145" i="14"/>
  <c r="G1144" i="14"/>
  <c r="F1144" i="14"/>
  <c r="E1144" i="14"/>
  <c r="D1144" i="14"/>
  <c r="C1144" i="14"/>
  <c r="B1144" i="14"/>
  <c r="A1144" i="14"/>
  <c r="G1143" i="14"/>
  <c r="F1143" i="14"/>
  <c r="E1143" i="14"/>
  <c r="D1143" i="14"/>
  <c r="C1143" i="14"/>
  <c r="B1143" i="14"/>
  <c r="A1143" i="14"/>
  <c r="G1142" i="14"/>
  <c r="F1142" i="14"/>
  <c r="E1142" i="14"/>
  <c r="D1142" i="14"/>
  <c r="C1142" i="14"/>
  <c r="B1142" i="14"/>
  <c r="A1142" i="14"/>
  <c r="G1141" i="14"/>
  <c r="F1141" i="14"/>
  <c r="E1141" i="14"/>
  <c r="D1141" i="14"/>
  <c r="C1141" i="14"/>
  <c r="B1141" i="14"/>
  <c r="A1141" i="14"/>
  <c r="G1140" i="14"/>
  <c r="F1140" i="14"/>
  <c r="E1140" i="14"/>
  <c r="D1140" i="14"/>
  <c r="C1140" i="14"/>
  <c r="B1140" i="14"/>
  <c r="A1140" i="14"/>
  <c r="G1139" i="14"/>
  <c r="F1139" i="14"/>
  <c r="E1139" i="14"/>
  <c r="D1139" i="14"/>
  <c r="C1139" i="14"/>
  <c r="B1139" i="14"/>
  <c r="A1139" i="14"/>
  <c r="G1138" i="14"/>
  <c r="F1138" i="14"/>
  <c r="E1138" i="14"/>
  <c r="D1138" i="14"/>
  <c r="C1138" i="14"/>
  <c r="B1138" i="14"/>
  <c r="A1138" i="14"/>
  <c r="G1137" i="14"/>
  <c r="F1137" i="14"/>
  <c r="E1137" i="14"/>
  <c r="D1137" i="14"/>
  <c r="C1137" i="14"/>
  <c r="B1137" i="14"/>
  <c r="A1137" i="14"/>
  <c r="G1136" i="14"/>
  <c r="F1136" i="14"/>
  <c r="E1136" i="14"/>
  <c r="D1136" i="14"/>
  <c r="C1136" i="14"/>
  <c r="B1136" i="14"/>
  <c r="A1136" i="14"/>
  <c r="G1135" i="14"/>
  <c r="F1135" i="14"/>
  <c r="E1135" i="14"/>
  <c r="D1135" i="14"/>
  <c r="C1135" i="14"/>
  <c r="B1135" i="14"/>
  <c r="A1135" i="14"/>
  <c r="G1134" i="14"/>
  <c r="F1134" i="14"/>
  <c r="E1134" i="14"/>
  <c r="D1134" i="14"/>
  <c r="C1134" i="14"/>
  <c r="B1134" i="14"/>
  <c r="A1134" i="14"/>
  <c r="G1133" i="14"/>
  <c r="F1133" i="14"/>
  <c r="E1133" i="14"/>
  <c r="D1133" i="14"/>
  <c r="C1133" i="14"/>
  <c r="B1133" i="14"/>
  <c r="A1133" i="14"/>
  <c r="G1132" i="14"/>
  <c r="F1132" i="14"/>
  <c r="E1132" i="14"/>
  <c r="D1132" i="14"/>
  <c r="C1132" i="14"/>
  <c r="B1132" i="14"/>
  <c r="A1132" i="14"/>
  <c r="G1131" i="14"/>
  <c r="F1131" i="14"/>
  <c r="E1131" i="14"/>
  <c r="D1131" i="14"/>
  <c r="C1131" i="14"/>
  <c r="B1131" i="14"/>
  <c r="A1131" i="14"/>
  <c r="G1130" i="14"/>
  <c r="F1130" i="14"/>
  <c r="E1130" i="14"/>
  <c r="D1130" i="14"/>
  <c r="C1130" i="14"/>
  <c r="B1130" i="14"/>
  <c r="A1130" i="14"/>
  <c r="G1129" i="14"/>
  <c r="F1129" i="14"/>
  <c r="E1129" i="14"/>
  <c r="D1129" i="14"/>
  <c r="C1129" i="14"/>
  <c r="B1129" i="14"/>
  <c r="A1129" i="14"/>
  <c r="G1128" i="14"/>
  <c r="F1128" i="14"/>
  <c r="E1128" i="14"/>
  <c r="D1128" i="14"/>
  <c r="C1128" i="14"/>
  <c r="B1128" i="14"/>
  <c r="A1128" i="14"/>
  <c r="G1127" i="14"/>
  <c r="F1127" i="14"/>
  <c r="E1127" i="14"/>
  <c r="D1127" i="14"/>
  <c r="C1127" i="14"/>
  <c r="B1127" i="14"/>
  <c r="A1127" i="14"/>
  <c r="G1126" i="14"/>
  <c r="F1126" i="14"/>
  <c r="E1126" i="14"/>
  <c r="D1126" i="14"/>
  <c r="C1126" i="14"/>
  <c r="B1126" i="14"/>
  <c r="A1126" i="14"/>
  <c r="G1125" i="14"/>
  <c r="F1125" i="14"/>
  <c r="E1125" i="14"/>
  <c r="D1125" i="14"/>
  <c r="C1125" i="14"/>
  <c r="B1125" i="14"/>
  <c r="A1125" i="14"/>
  <c r="G1124" i="14"/>
  <c r="F1124" i="14"/>
  <c r="E1124" i="14"/>
  <c r="D1124" i="14"/>
  <c r="C1124" i="14"/>
  <c r="B1124" i="14"/>
  <c r="A1124" i="14"/>
  <c r="G1123" i="14"/>
  <c r="F1123" i="14"/>
  <c r="E1123" i="14"/>
  <c r="D1123" i="14"/>
  <c r="C1123" i="14"/>
  <c r="B1123" i="14"/>
  <c r="A1123" i="14"/>
  <c r="G1122" i="14"/>
  <c r="F1122" i="14"/>
  <c r="E1122" i="14"/>
  <c r="D1122" i="14"/>
  <c r="C1122" i="14"/>
  <c r="B1122" i="14"/>
  <c r="A1122" i="14"/>
  <c r="G1121" i="14"/>
  <c r="F1121" i="14"/>
  <c r="E1121" i="14"/>
  <c r="D1121" i="14"/>
  <c r="C1121" i="14"/>
  <c r="B1121" i="14"/>
  <c r="A1121" i="14"/>
  <c r="G1120" i="14"/>
  <c r="F1120" i="14"/>
  <c r="E1120" i="14"/>
  <c r="D1120" i="14"/>
  <c r="C1120" i="14"/>
  <c r="B1120" i="14"/>
  <c r="A1120" i="14"/>
  <c r="G1119" i="14"/>
  <c r="F1119" i="14"/>
  <c r="E1119" i="14"/>
  <c r="D1119" i="14"/>
  <c r="C1119" i="14"/>
  <c r="B1119" i="14"/>
  <c r="A1119" i="14"/>
  <c r="G1118" i="14"/>
  <c r="F1118" i="14"/>
  <c r="E1118" i="14"/>
  <c r="D1118" i="14"/>
  <c r="C1118" i="14"/>
  <c r="B1118" i="14"/>
  <c r="A1118" i="14"/>
  <c r="G1117" i="14"/>
  <c r="F1117" i="14"/>
  <c r="E1117" i="14"/>
  <c r="D1117" i="14"/>
  <c r="C1117" i="14"/>
  <c r="B1117" i="14"/>
  <c r="A1117" i="14"/>
  <c r="G1116" i="14"/>
  <c r="F1116" i="14"/>
  <c r="E1116" i="14"/>
  <c r="D1116" i="14"/>
  <c r="C1116" i="14"/>
  <c r="B1116" i="14"/>
  <c r="A1116" i="14"/>
  <c r="G1115" i="14"/>
  <c r="F1115" i="14"/>
  <c r="E1115" i="14"/>
  <c r="D1115" i="14"/>
  <c r="C1115" i="14"/>
  <c r="B1115" i="14"/>
  <c r="A1115" i="14"/>
  <c r="G1114" i="14"/>
  <c r="F1114" i="14"/>
  <c r="E1114" i="14"/>
  <c r="D1114" i="14"/>
  <c r="C1114" i="14"/>
  <c r="B1114" i="14"/>
  <c r="A1114" i="14"/>
  <c r="G1113" i="14"/>
  <c r="F1113" i="14"/>
  <c r="E1113" i="14"/>
  <c r="D1113" i="14"/>
  <c r="C1113" i="14"/>
  <c r="B1113" i="14"/>
  <c r="A1113" i="14"/>
  <c r="G1112" i="14"/>
  <c r="F1112" i="14"/>
  <c r="E1112" i="14"/>
  <c r="D1112" i="14"/>
  <c r="C1112" i="14"/>
  <c r="B1112" i="14"/>
  <c r="A1112" i="14"/>
  <c r="G1111" i="14"/>
  <c r="F1111" i="14"/>
  <c r="E1111" i="14"/>
  <c r="D1111" i="14"/>
  <c r="C1111" i="14"/>
  <c r="B1111" i="14"/>
  <c r="A1111" i="14"/>
  <c r="G1110" i="14"/>
  <c r="F1110" i="14"/>
  <c r="E1110" i="14"/>
  <c r="D1110" i="14"/>
  <c r="C1110" i="14"/>
  <c r="B1110" i="14"/>
  <c r="A1110" i="14"/>
  <c r="G1109" i="14"/>
  <c r="F1109" i="14"/>
  <c r="E1109" i="14"/>
  <c r="D1109" i="14"/>
  <c r="C1109" i="14"/>
  <c r="B1109" i="14"/>
  <c r="A1109" i="14"/>
  <c r="G1108" i="14"/>
  <c r="F1108" i="14"/>
  <c r="E1108" i="14"/>
  <c r="D1108" i="14"/>
  <c r="C1108" i="14"/>
  <c r="B1108" i="14"/>
  <c r="A1108" i="14"/>
  <c r="G1107" i="14"/>
  <c r="F1107" i="14"/>
  <c r="E1107" i="14"/>
  <c r="D1107" i="14"/>
  <c r="C1107" i="14"/>
  <c r="B1107" i="14"/>
  <c r="A1107" i="14"/>
  <c r="G1106" i="14"/>
  <c r="F1106" i="14"/>
  <c r="E1106" i="14"/>
  <c r="D1106" i="14"/>
  <c r="C1106" i="14"/>
  <c r="B1106" i="14"/>
  <c r="A1106" i="14"/>
  <c r="G1105" i="14"/>
  <c r="F1105" i="14"/>
  <c r="E1105" i="14"/>
  <c r="D1105" i="14"/>
  <c r="C1105" i="14"/>
  <c r="B1105" i="14"/>
  <c r="A1105" i="14"/>
  <c r="G1104" i="14"/>
  <c r="F1104" i="14"/>
  <c r="E1104" i="14"/>
  <c r="D1104" i="14"/>
  <c r="C1104" i="14"/>
  <c r="B1104" i="14"/>
  <c r="A1104" i="14"/>
  <c r="G1103" i="14"/>
  <c r="F1103" i="14"/>
  <c r="E1103" i="14"/>
  <c r="D1103" i="14"/>
  <c r="C1103" i="14"/>
  <c r="B1103" i="14"/>
  <c r="A1103" i="14"/>
  <c r="G1102" i="14"/>
  <c r="F1102" i="14"/>
  <c r="E1102" i="14"/>
  <c r="D1102" i="14"/>
  <c r="C1102" i="14"/>
  <c r="B1102" i="14"/>
  <c r="A1102" i="14"/>
  <c r="G1101" i="14"/>
  <c r="F1101" i="14"/>
  <c r="E1101" i="14"/>
  <c r="D1101" i="14"/>
  <c r="C1101" i="14"/>
  <c r="B1101" i="14"/>
  <c r="A1101" i="14"/>
  <c r="G1100" i="14"/>
  <c r="F1100" i="14"/>
  <c r="E1100" i="14"/>
  <c r="D1100" i="14"/>
  <c r="C1100" i="14"/>
  <c r="B1100" i="14"/>
  <c r="A1100" i="14"/>
  <c r="G1099" i="14"/>
  <c r="F1099" i="14"/>
  <c r="E1099" i="14"/>
  <c r="D1099" i="14"/>
  <c r="C1099" i="14"/>
  <c r="B1099" i="14"/>
  <c r="A1099" i="14"/>
  <c r="G1098" i="14"/>
  <c r="F1098" i="14"/>
  <c r="E1098" i="14"/>
  <c r="D1098" i="14"/>
  <c r="C1098" i="14"/>
  <c r="B1098" i="14"/>
  <c r="A1098" i="14"/>
  <c r="G1097" i="14"/>
  <c r="F1097" i="14"/>
  <c r="E1097" i="14"/>
  <c r="D1097" i="14"/>
  <c r="C1097" i="14"/>
  <c r="B1097" i="14"/>
  <c r="A1097" i="14"/>
  <c r="G1096" i="14"/>
  <c r="F1096" i="14"/>
  <c r="E1096" i="14"/>
  <c r="D1096" i="14"/>
  <c r="C1096" i="14"/>
  <c r="B1096" i="14"/>
  <c r="A1096" i="14"/>
  <c r="G1095" i="14"/>
  <c r="F1095" i="14"/>
  <c r="E1095" i="14"/>
  <c r="D1095" i="14"/>
  <c r="C1095" i="14"/>
  <c r="B1095" i="14"/>
  <c r="A1095" i="14"/>
  <c r="G1094" i="14"/>
  <c r="F1094" i="14"/>
  <c r="E1094" i="14"/>
  <c r="D1094" i="14"/>
  <c r="C1094" i="14"/>
  <c r="B1094" i="14"/>
  <c r="A1094" i="14"/>
  <c r="G1093" i="14"/>
  <c r="F1093" i="14"/>
  <c r="E1093" i="14"/>
  <c r="D1093" i="14"/>
  <c r="C1093" i="14"/>
  <c r="B1093" i="14"/>
  <c r="A1093" i="14"/>
  <c r="G1092" i="14"/>
  <c r="F1092" i="14"/>
  <c r="E1092" i="14"/>
  <c r="D1092" i="14"/>
  <c r="C1092" i="14"/>
  <c r="B1092" i="14"/>
  <c r="A1092" i="14"/>
  <c r="G1091" i="14"/>
  <c r="F1091" i="14"/>
  <c r="E1091" i="14"/>
  <c r="D1091" i="14"/>
  <c r="C1091" i="14"/>
  <c r="B1091" i="14"/>
  <c r="A1091" i="14"/>
  <c r="G1090" i="14"/>
  <c r="F1090" i="14"/>
  <c r="E1090" i="14"/>
  <c r="D1090" i="14"/>
  <c r="C1090" i="14"/>
  <c r="B1090" i="14"/>
  <c r="A1090" i="14"/>
  <c r="G1089" i="14"/>
  <c r="F1089" i="14"/>
  <c r="E1089" i="14"/>
  <c r="D1089" i="14"/>
  <c r="C1089" i="14"/>
  <c r="B1089" i="14"/>
  <c r="A1089" i="14"/>
  <c r="G1088" i="14"/>
  <c r="F1088" i="14"/>
  <c r="E1088" i="14"/>
  <c r="D1088" i="14"/>
  <c r="C1088" i="14"/>
  <c r="B1088" i="14"/>
  <c r="A1088" i="14"/>
  <c r="G1087" i="14"/>
  <c r="F1087" i="14"/>
  <c r="E1087" i="14"/>
  <c r="D1087" i="14"/>
  <c r="C1087" i="14"/>
  <c r="B1087" i="14"/>
  <c r="A1087" i="14"/>
  <c r="G1086" i="14"/>
  <c r="F1086" i="14"/>
  <c r="E1086" i="14"/>
  <c r="D1086" i="14"/>
  <c r="C1086" i="14"/>
  <c r="B1086" i="14"/>
  <c r="A1086" i="14"/>
  <c r="G1085" i="14"/>
  <c r="F1085" i="14"/>
  <c r="E1085" i="14"/>
  <c r="D1085" i="14"/>
  <c r="C1085" i="14"/>
  <c r="B1085" i="14"/>
  <c r="A1085" i="14"/>
  <c r="G1084" i="14"/>
  <c r="F1084" i="14"/>
  <c r="E1084" i="14"/>
  <c r="D1084" i="14"/>
  <c r="C1084" i="14"/>
  <c r="B1084" i="14"/>
  <c r="A1084" i="14"/>
  <c r="G1083" i="14"/>
  <c r="F1083" i="14"/>
  <c r="E1083" i="14"/>
  <c r="D1083" i="14"/>
  <c r="C1083" i="14"/>
  <c r="B1083" i="14"/>
  <c r="A1083" i="14"/>
  <c r="G1082" i="14"/>
  <c r="F1082" i="14"/>
  <c r="E1082" i="14"/>
  <c r="D1082" i="14"/>
  <c r="C1082" i="14"/>
  <c r="B1082" i="14"/>
  <c r="A1082" i="14"/>
  <c r="G1081" i="14"/>
  <c r="F1081" i="14"/>
  <c r="E1081" i="14"/>
  <c r="D1081" i="14"/>
  <c r="C1081" i="14"/>
  <c r="B1081" i="14"/>
  <c r="A1081" i="14"/>
  <c r="G1080" i="14"/>
  <c r="F1080" i="14"/>
  <c r="E1080" i="14"/>
  <c r="D1080" i="14"/>
  <c r="C1080" i="14"/>
  <c r="B1080" i="14"/>
  <c r="A1080" i="14"/>
  <c r="G1079" i="14"/>
  <c r="F1079" i="14"/>
  <c r="E1079" i="14"/>
  <c r="D1079" i="14"/>
  <c r="C1079" i="14"/>
  <c r="B1079" i="14"/>
  <c r="A1079" i="14"/>
  <c r="G1078" i="14"/>
  <c r="F1078" i="14"/>
  <c r="E1078" i="14"/>
  <c r="D1078" i="14"/>
  <c r="C1078" i="14"/>
  <c r="B1078" i="14"/>
  <c r="A1078" i="14"/>
  <c r="G1077" i="14"/>
  <c r="F1077" i="14"/>
  <c r="E1077" i="14"/>
  <c r="D1077" i="14"/>
  <c r="C1077" i="14"/>
  <c r="B1077" i="14"/>
  <c r="A1077" i="14"/>
  <c r="G1076" i="14"/>
  <c r="F1076" i="14"/>
  <c r="E1076" i="14"/>
  <c r="D1076" i="14"/>
  <c r="C1076" i="14"/>
  <c r="B1076" i="14"/>
  <c r="A1076" i="14"/>
  <c r="G1075" i="14"/>
  <c r="F1075" i="14"/>
  <c r="E1075" i="14"/>
  <c r="D1075" i="14"/>
  <c r="C1075" i="14"/>
  <c r="B1075" i="14"/>
  <c r="A1075" i="14"/>
  <c r="G1074" i="14"/>
  <c r="F1074" i="14"/>
  <c r="E1074" i="14"/>
  <c r="D1074" i="14"/>
  <c r="C1074" i="14"/>
  <c r="B1074" i="14"/>
  <c r="A1074" i="14"/>
  <c r="G1073" i="14"/>
  <c r="F1073" i="14"/>
  <c r="E1073" i="14"/>
  <c r="D1073" i="14"/>
  <c r="C1073" i="14"/>
  <c r="B1073" i="14"/>
  <c r="A1073" i="14"/>
  <c r="G1072" i="14"/>
  <c r="F1072" i="14"/>
  <c r="E1072" i="14"/>
  <c r="D1072" i="14"/>
  <c r="C1072" i="14"/>
  <c r="B1072" i="14"/>
  <c r="A1072" i="14"/>
  <c r="G1071" i="14"/>
  <c r="F1071" i="14"/>
  <c r="E1071" i="14"/>
  <c r="D1071" i="14"/>
  <c r="C1071" i="14"/>
  <c r="B1071" i="14"/>
  <c r="A1071" i="14"/>
  <c r="G1070" i="14"/>
  <c r="F1070" i="14"/>
  <c r="E1070" i="14"/>
  <c r="D1070" i="14"/>
  <c r="C1070" i="14"/>
  <c r="B1070" i="14"/>
  <c r="A1070" i="14"/>
  <c r="G1069" i="14"/>
  <c r="F1069" i="14"/>
  <c r="E1069" i="14"/>
  <c r="D1069" i="14"/>
  <c r="C1069" i="14"/>
  <c r="B1069" i="14"/>
  <c r="A1069" i="14"/>
  <c r="G1068" i="14"/>
  <c r="F1068" i="14"/>
  <c r="E1068" i="14"/>
  <c r="D1068" i="14"/>
  <c r="C1068" i="14"/>
  <c r="B1068" i="14"/>
  <c r="A1068" i="14"/>
  <c r="G1067" i="14"/>
  <c r="F1067" i="14"/>
  <c r="E1067" i="14"/>
  <c r="D1067" i="14"/>
  <c r="C1067" i="14"/>
  <c r="B1067" i="14"/>
  <c r="A1067" i="14"/>
  <c r="G1066" i="14"/>
  <c r="F1066" i="14"/>
  <c r="E1066" i="14"/>
  <c r="D1066" i="14"/>
  <c r="C1066" i="14"/>
  <c r="B1066" i="14"/>
  <c r="A1066" i="14"/>
  <c r="G1065" i="14"/>
  <c r="F1065" i="14"/>
  <c r="E1065" i="14"/>
  <c r="D1065" i="14"/>
  <c r="C1065" i="14"/>
  <c r="B1065" i="14"/>
  <c r="A1065" i="14"/>
  <c r="G1064" i="14"/>
  <c r="F1064" i="14"/>
  <c r="E1064" i="14"/>
  <c r="D1064" i="14"/>
  <c r="C1064" i="14"/>
  <c r="B1064" i="14"/>
  <c r="A1064" i="14"/>
  <c r="G1063" i="14"/>
  <c r="F1063" i="14"/>
  <c r="E1063" i="14"/>
  <c r="D1063" i="14"/>
  <c r="C1063" i="14"/>
  <c r="B1063" i="14"/>
  <c r="A1063" i="14"/>
  <c r="G1062" i="14"/>
  <c r="F1062" i="14"/>
  <c r="E1062" i="14"/>
  <c r="D1062" i="14"/>
  <c r="C1062" i="14"/>
  <c r="B1062" i="14"/>
  <c r="A1062" i="14"/>
  <c r="G1061" i="14"/>
  <c r="F1061" i="14"/>
  <c r="E1061" i="14"/>
  <c r="D1061" i="14"/>
  <c r="C1061" i="14"/>
  <c r="B1061" i="14"/>
  <c r="A1061" i="14"/>
  <c r="G1060" i="14"/>
  <c r="F1060" i="14"/>
  <c r="E1060" i="14"/>
  <c r="D1060" i="14"/>
  <c r="C1060" i="14"/>
  <c r="B1060" i="14"/>
  <c r="A1060" i="14"/>
  <c r="G1059" i="14"/>
  <c r="F1059" i="14"/>
  <c r="E1059" i="14"/>
  <c r="D1059" i="14"/>
  <c r="C1059" i="14"/>
  <c r="B1059" i="14"/>
  <c r="A1059" i="14"/>
  <c r="G1058" i="14"/>
  <c r="F1058" i="14"/>
  <c r="E1058" i="14"/>
  <c r="D1058" i="14"/>
  <c r="C1058" i="14"/>
  <c r="B1058" i="14"/>
  <c r="A1058" i="14"/>
  <c r="G1057" i="14"/>
  <c r="F1057" i="14"/>
  <c r="E1057" i="14"/>
  <c r="D1057" i="14"/>
  <c r="C1057" i="14"/>
  <c r="B1057" i="14"/>
  <c r="A1057" i="14"/>
  <c r="G1056" i="14"/>
  <c r="F1056" i="14"/>
  <c r="E1056" i="14"/>
  <c r="D1056" i="14"/>
  <c r="C1056" i="14"/>
  <c r="B1056" i="14"/>
  <c r="A1056" i="14"/>
  <c r="G1055" i="14"/>
  <c r="F1055" i="14"/>
  <c r="E1055" i="14"/>
  <c r="D1055" i="14"/>
  <c r="C1055" i="14"/>
  <c r="B1055" i="14"/>
  <c r="A1055" i="14"/>
  <c r="G1054" i="14"/>
  <c r="F1054" i="14"/>
  <c r="E1054" i="14"/>
  <c r="D1054" i="14"/>
  <c r="C1054" i="14"/>
  <c r="B1054" i="14"/>
  <c r="A1054" i="14"/>
  <c r="G1053" i="14"/>
  <c r="F1053" i="14"/>
  <c r="E1053" i="14"/>
  <c r="D1053" i="14"/>
  <c r="C1053" i="14"/>
  <c r="B1053" i="14"/>
  <c r="A1053" i="14"/>
  <c r="G1052" i="14"/>
  <c r="F1052" i="14"/>
  <c r="E1052" i="14"/>
  <c r="D1052" i="14"/>
  <c r="C1052" i="14"/>
  <c r="B1052" i="14"/>
  <c r="A1052" i="14"/>
  <c r="G1051" i="14"/>
  <c r="F1051" i="14"/>
  <c r="E1051" i="14"/>
  <c r="D1051" i="14"/>
  <c r="C1051" i="14"/>
  <c r="B1051" i="14"/>
  <c r="A1051" i="14"/>
  <c r="G1050" i="14"/>
  <c r="F1050" i="14"/>
  <c r="E1050" i="14"/>
  <c r="D1050" i="14"/>
  <c r="C1050" i="14"/>
  <c r="B1050" i="14"/>
  <c r="A1050" i="14"/>
  <c r="G1049" i="14"/>
  <c r="F1049" i="14"/>
  <c r="E1049" i="14"/>
  <c r="D1049" i="14"/>
  <c r="C1049" i="14"/>
  <c r="B1049" i="14"/>
  <c r="A1049" i="14"/>
  <c r="G1048" i="14"/>
  <c r="F1048" i="14"/>
  <c r="E1048" i="14"/>
  <c r="D1048" i="14"/>
  <c r="C1048" i="14"/>
  <c r="B1048" i="14"/>
  <c r="A1048" i="14"/>
  <c r="G1047" i="14"/>
  <c r="F1047" i="14"/>
  <c r="E1047" i="14"/>
  <c r="D1047" i="14"/>
  <c r="C1047" i="14"/>
  <c r="B1047" i="14"/>
  <c r="A1047" i="14"/>
  <c r="G1046" i="14"/>
  <c r="F1046" i="14"/>
  <c r="E1046" i="14"/>
  <c r="D1046" i="14"/>
  <c r="C1046" i="14"/>
  <c r="B1046" i="14"/>
  <c r="A1046" i="14"/>
  <c r="G1045" i="14"/>
  <c r="F1045" i="14"/>
  <c r="E1045" i="14"/>
  <c r="D1045" i="14"/>
  <c r="C1045" i="14"/>
  <c r="B1045" i="14"/>
  <c r="A1045" i="14"/>
  <c r="G1044" i="14"/>
  <c r="F1044" i="14"/>
  <c r="E1044" i="14"/>
  <c r="D1044" i="14"/>
  <c r="C1044" i="14"/>
  <c r="B1044" i="14"/>
  <c r="A1044" i="14"/>
  <c r="G1043" i="14"/>
  <c r="F1043" i="14"/>
  <c r="E1043" i="14"/>
  <c r="D1043" i="14"/>
  <c r="C1043" i="14"/>
  <c r="B1043" i="14"/>
  <c r="A1043" i="14"/>
  <c r="G1042" i="14"/>
  <c r="F1042" i="14"/>
  <c r="E1042" i="14"/>
  <c r="D1042" i="14"/>
  <c r="C1042" i="14"/>
  <c r="B1042" i="14"/>
  <c r="A1042" i="14"/>
  <c r="G1041" i="14"/>
  <c r="F1041" i="14"/>
  <c r="E1041" i="14"/>
  <c r="D1041" i="14"/>
  <c r="C1041" i="14"/>
  <c r="B1041" i="14"/>
  <c r="A1041" i="14"/>
  <c r="G1040" i="14"/>
  <c r="F1040" i="14"/>
  <c r="E1040" i="14"/>
  <c r="D1040" i="14"/>
  <c r="C1040" i="14"/>
  <c r="B1040" i="14"/>
  <c r="A1040" i="14"/>
  <c r="G1039" i="14"/>
  <c r="F1039" i="14"/>
  <c r="E1039" i="14"/>
  <c r="D1039" i="14"/>
  <c r="C1039" i="14"/>
  <c r="B1039" i="14"/>
  <c r="A1039" i="14"/>
  <c r="G1038" i="14"/>
  <c r="F1038" i="14"/>
  <c r="E1038" i="14"/>
  <c r="D1038" i="14"/>
  <c r="C1038" i="14"/>
  <c r="B1038" i="14"/>
  <c r="A1038" i="14"/>
  <c r="G1037" i="14"/>
  <c r="F1037" i="14"/>
  <c r="E1037" i="14"/>
  <c r="D1037" i="14"/>
  <c r="C1037" i="14"/>
  <c r="B1037" i="14"/>
  <c r="A1037" i="14"/>
  <c r="G1036" i="14"/>
  <c r="F1036" i="14"/>
  <c r="E1036" i="14"/>
  <c r="D1036" i="14"/>
  <c r="C1036" i="14"/>
  <c r="B1036" i="14"/>
  <c r="A1036" i="14"/>
  <c r="G1035" i="14"/>
  <c r="F1035" i="14"/>
  <c r="E1035" i="14"/>
  <c r="D1035" i="14"/>
  <c r="C1035" i="14"/>
  <c r="B1035" i="14"/>
  <c r="A1035" i="14"/>
  <c r="G1034" i="14"/>
  <c r="F1034" i="14"/>
  <c r="E1034" i="14"/>
  <c r="D1034" i="14"/>
  <c r="C1034" i="14"/>
  <c r="B1034" i="14"/>
  <c r="A1034" i="14"/>
  <c r="G1033" i="14"/>
  <c r="F1033" i="14"/>
  <c r="E1033" i="14"/>
  <c r="D1033" i="14"/>
  <c r="C1033" i="14"/>
  <c r="B1033" i="14"/>
  <c r="A1033" i="14"/>
  <c r="G1032" i="14"/>
  <c r="F1032" i="14"/>
  <c r="E1032" i="14"/>
  <c r="D1032" i="14"/>
  <c r="C1032" i="14"/>
  <c r="B1032" i="14"/>
  <c r="A1032" i="14"/>
  <c r="G1031" i="14"/>
  <c r="F1031" i="14"/>
  <c r="E1031" i="14"/>
  <c r="D1031" i="14"/>
  <c r="C1031" i="14"/>
  <c r="B1031" i="14"/>
  <c r="A1031" i="14"/>
  <c r="G1030" i="14"/>
  <c r="F1030" i="14"/>
  <c r="E1030" i="14"/>
  <c r="D1030" i="14"/>
  <c r="C1030" i="14"/>
  <c r="B1030" i="14"/>
  <c r="A1030" i="14"/>
  <c r="G1029" i="14"/>
  <c r="F1029" i="14"/>
  <c r="E1029" i="14"/>
  <c r="D1029" i="14"/>
  <c r="C1029" i="14"/>
  <c r="B1029" i="14"/>
  <c r="A1029" i="14"/>
  <c r="G1028" i="14"/>
  <c r="F1028" i="14"/>
  <c r="E1028" i="14"/>
  <c r="D1028" i="14"/>
  <c r="C1028" i="14"/>
  <c r="B1028" i="14"/>
  <c r="A1028" i="14"/>
  <c r="G1027" i="14"/>
  <c r="F1027" i="14"/>
  <c r="E1027" i="14"/>
  <c r="D1027" i="14"/>
  <c r="C1027" i="14"/>
  <c r="B1027" i="14"/>
  <c r="A1027" i="14"/>
  <c r="G1026" i="14"/>
  <c r="F1026" i="14"/>
  <c r="E1026" i="14"/>
  <c r="D1026" i="14"/>
  <c r="C1026" i="14"/>
  <c r="B1026" i="14"/>
  <c r="A1026" i="14"/>
  <c r="G1025" i="14"/>
  <c r="F1025" i="14"/>
  <c r="E1025" i="14"/>
  <c r="D1025" i="14"/>
  <c r="C1025" i="14"/>
  <c r="B1025" i="14"/>
  <c r="A1025" i="14"/>
  <c r="G1024" i="14"/>
  <c r="F1024" i="14"/>
  <c r="E1024" i="14"/>
  <c r="D1024" i="14"/>
  <c r="C1024" i="14"/>
  <c r="B1024" i="14"/>
  <c r="A1024" i="14"/>
  <c r="G1023" i="14"/>
  <c r="F1023" i="14"/>
  <c r="E1023" i="14"/>
  <c r="D1023" i="14"/>
  <c r="C1023" i="14"/>
  <c r="B1023" i="14"/>
  <c r="A1023" i="14"/>
  <c r="G1022" i="14"/>
  <c r="F1022" i="14"/>
  <c r="E1022" i="14"/>
  <c r="D1022" i="14"/>
  <c r="C1022" i="14"/>
  <c r="B1022" i="14"/>
  <c r="A1022" i="14"/>
  <c r="G1021" i="14"/>
  <c r="F1021" i="14"/>
  <c r="E1021" i="14"/>
  <c r="D1021" i="14"/>
  <c r="C1021" i="14"/>
  <c r="B1021" i="14"/>
  <c r="A1021" i="14"/>
  <c r="G1020" i="14"/>
  <c r="F1020" i="14"/>
  <c r="E1020" i="14"/>
  <c r="D1020" i="14"/>
  <c r="C1020" i="14"/>
  <c r="B1020" i="14"/>
  <c r="A1020" i="14"/>
  <c r="G1019" i="14"/>
  <c r="F1019" i="14"/>
  <c r="E1019" i="14"/>
  <c r="D1019" i="14"/>
  <c r="C1019" i="14"/>
  <c r="B1019" i="14"/>
  <c r="A1019" i="14"/>
  <c r="G1018" i="14"/>
  <c r="F1018" i="14"/>
  <c r="E1018" i="14"/>
  <c r="D1018" i="14"/>
  <c r="C1018" i="14"/>
  <c r="B1018" i="14"/>
  <c r="A1018" i="14"/>
  <c r="G1017" i="14"/>
  <c r="F1017" i="14"/>
  <c r="E1017" i="14"/>
  <c r="D1017" i="14"/>
  <c r="C1017" i="14"/>
  <c r="B1017" i="14"/>
  <c r="A1017" i="14"/>
  <c r="G1016" i="14"/>
  <c r="F1016" i="14"/>
  <c r="E1016" i="14"/>
  <c r="D1016" i="14"/>
  <c r="C1016" i="14"/>
  <c r="B1016" i="14"/>
  <c r="A1016" i="14"/>
  <c r="G1015" i="14"/>
  <c r="F1015" i="14"/>
  <c r="E1015" i="14"/>
  <c r="D1015" i="14"/>
  <c r="C1015" i="14"/>
  <c r="B1015" i="14"/>
  <c r="A1015" i="14"/>
  <c r="G1014" i="14"/>
  <c r="F1014" i="14"/>
  <c r="E1014" i="14"/>
  <c r="D1014" i="14"/>
  <c r="C1014" i="14"/>
  <c r="B1014" i="14"/>
  <c r="A1014" i="14"/>
  <c r="G1013" i="14"/>
  <c r="F1013" i="14"/>
  <c r="E1013" i="14"/>
  <c r="D1013" i="14"/>
  <c r="C1013" i="14"/>
  <c r="B1013" i="14"/>
  <c r="A1013" i="14"/>
  <c r="G1012" i="14"/>
  <c r="F1012" i="14"/>
  <c r="E1012" i="14"/>
  <c r="D1012" i="14"/>
  <c r="C1012" i="14"/>
  <c r="B1012" i="14"/>
  <c r="A1012" i="14"/>
  <c r="G1011" i="14"/>
  <c r="F1011" i="14"/>
  <c r="E1011" i="14"/>
  <c r="D1011" i="14"/>
  <c r="C1011" i="14"/>
  <c r="B1011" i="14"/>
  <c r="A1011" i="14"/>
  <c r="G1010" i="14"/>
  <c r="F1010" i="14"/>
  <c r="E1010" i="14"/>
  <c r="D1010" i="14"/>
  <c r="C1010" i="14"/>
  <c r="B1010" i="14"/>
  <c r="A1010" i="14"/>
  <c r="G1009" i="14"/>
  <c r="F1009" i="14"/>
  <c r="E1009" i="14"/>
  <c r="D1009" i="14"/>
  <c r="C1009" i="14"/>
  <c r="B1009" i="14"/>
  <c r="A1009" i="14"/>
  <c r="G1008" i="14"/>
  <c r="F1008" i="14"/>
  <c r="E1008" i="14"/>
  <c r="D1008" i="14"/>
  <c r="C1008" i="14"/>
  <c r="B1008" i="14"/>
  <c r="A1008" i="14"/>
  <c r="G1007" i="14"/>
  <c r="F1007" i="14"/>
  <c r="E1007" i="14"/>
  <c r="D1007" i="14"/>
  <c r="C1007" i="14"/>
  <c r="B1007" i="14"/>
  <c r="A1007" i="14"/>
  <c r="G1006" i="14"/>
  <c r="F1006" i="14"/>
  <c r="E1006" i="14"/>
  <c r="D1006" i="14"/>
  <c r="C1006" i="14"/>
  <c r="B1006" i="14"/>
  <c r="A1006" i="14"/>
  <c r="G1005" i="14"/>
  <c r="F1005" i="14"/>
  <c r="E1005" i="14"/>
  <c r="D1005" i="14"/>
  <c r="C1005" i="14"/>
  <c r="B1005" i="14"/>
  <c r="A1005" i="14"/>
  <c r="G1004" i="14"/>
  <c r="F1004" i="14"/>
  <c r="E1004" i="14"/>
  <c r="D1004" i="14"/>
  <c r="C1004" i="14"/>
  <c r="B1004" i="14"/>
  <c r="A1004" i="14"/>
  <c r="G1003" i="14"/>
  <c r="F1003" i="14"/>
  <c r="E1003" i="14"/>
  <c r="D1003" i="14"/>
  <c r="C1003" i="14"/>
  <c r="B1003" i="14"/>
  <c r="A1003" i="14"/>
  <c r="G1002" i="14"/>
  <c r="F1002" i="14"/>
  <c r="E1002" i="14"/>
  <c r="D1002" i="14"/>
  <c r="C1002" i="14"/>
  <c r="B1002" i="14"/>
  <c r="A1002" i="14"/>
  <c r="G1001" i="14"/>
  <c r="F1001" i="14"/>
  <c r="E1001" i="14"/>
  <c r="D1001" i="14"/>
  <c r="C1001" i="14"/>
  <c r="B1001" i="14"/>
  <c r="A1001" i="14"/>
  <c r="G1000" i="14"/>
  <c r="F1000" i="14"/>
  <c r="E1000" i="14"/>
  <c r="D1000" i="14"/>
  <c r="C1000" i="14"/>
  <c r="B1000" i="14"/>
  <c r="A1000" i="14"/>
  <c r="G999" i="14"/>
  <c r="F999" i="14"/>
  <c r="E999" i="14"/>
  <c r="D999" i="14"/>
  <c r="C999" i="14"/>
  <c r="B999" i="14"/>
  <c r="A999" i="14"/>
  <c r="G998" i="14"/>
  <c r="F998" i="14"/>
  <c r="E998" i="14"/>
  <c r="D998" i="14"/>
  <c r="C998" i="14"/>
  <c r="B998" i="14"/>
  <c r="A998" i="14"/>
  <c r="G997" i="14"/>
  <c r="F997" i="14"/>
  <c r="E997" i="14"/>
  <c r="D997" i="14"/>
  <c r="C997" i="14"/>
  <c r="B997" i="14"/>
  <c r="A997" i="14"/>
  <c r="G996" i="14"/>
  <c r="F996" i="14"/>
  <c r="E996" i="14"/>
  <c r="D996" i="14"/>
  <c r="C996" i="14"/>
  <c r="B996" i="14"/>
  <c r="A996" i="14"/>
  <c r="G995" i="14"/>
  <c r="F995" i="14"/>
  <c r="E995" i="14"/>
  <c r="D995" i="14"/>
  <c r="C995" i="14"/>
  <c r="B995" i="14"/>
  <c r="A995" i="14"/>
  <c r="G994" i="14"/>
  <c r="F994" i="14"/>
  <c r="E994" i="14"/>
  <c r="D994" i="14"/>
  <c r="C994" i="14"/>
  <c r="B994" i="14"/>
  <c r="A994" i="14"/>
  <c r="G993" i="14"/>
  <c r="F993" i="14"/>
  <c r="E993" i="14"/>
  <c r="D993" i="14"/>
  <c r="C993" i="14"/>
  <c r="B993" i="14"/>
  <c r="A993" i="14"/>
  <c r="G992" i="14"/>
  <c r="F992" i="14"/>
  <c r="E992" i="14"/>
  <c r="D992" i="14"/>
  <c r="C992" i="14"/>
  <c r="B992" i="14"/>
  <c r="A992" i="14"/>
  <c r="G991" i="14"/>
  <c r="F991" i="14"/>
  <c r="E991" i="14"/>
  <c r="D991" i="14"/>
  <c r="C991" i="14"/>
  <c r="B991" i="14"/>
  <c r="A991" i="14"/>
  <c r="G990" i="14"/>
  <c r="F990" i="14"/>
  <c r="E990" i="14"/>
  <c r="D990" i="14"/>
  <c r="C990" i="14"/>
  <c r="B990" i="14"/>
  <c r="A990" i="14"/>
  <c r="G989" i="14"/>
  <c r="F989" i="14"/>
  <c r="E989" i="14"/>
  <c r="D989" i="14"/>
  <c r="C989" i="14"/>
  <c r="B989" i="14"/>
  <c r="A989" i="14"/>
  <c r="G988" i="14"/>
  <c r="F988" i="14"/>
  <c r="E988" i="14"/>
  <c r="D988" i="14"/>
  <c r="C988" i="14"/>
  <c r="B988" i="14"/>
  <c r="A988" i="14"/>
  <c r="G987" i="14"/>
  <c r="F987" i="14"/>
  <c r="E987" i="14"/>
  <c r="D987" i="14"/>
  <c r="C987" i="14"/>
  <c r="B987" i="14"/>
  <c r="A987" i="14"/>
  <c r="G986" i="14"/>
  <c r="F986" i="14"/>
  <c r="E986" i="14"/>
  <c r="D986" i="14"/>
  <c r="C986" i="14"/>
  <c r="B986" i="14"/>
  <c r="A986" i="14"/>
  <c r="G985" i="14"/>
  <c r="F985" i="14"/>
  <c r="E985" i="14"/>
  <c r="D985" i="14"/>
  <c r="C985" i="14"/>
  <c r="B985" i="14"/>
  <c r="A985" i="14"/>
  <c r="G984" i="14"/>
  <c r="F984" i="14"/>
  <c r="E984" i="14"/>
  <c r="D984" i="14"/>
  <c r="C984" i="14"/>
  <c r="B984" i="14"/>
  <c r="A984" i="14"/>
  <c r="G983" i="14"/>
  <c r="F983" i="14"/>
  <c r="E983" i="14"/>
  <c r="D983" i="14"/>
  <c r="C983" i="14"/>
  <c r="B983" i="14"/>
  <c r="A983" i="14"/>
  <c r="G982" i="14"/>
  <c r="F982" i="14"/>
  <c r="E982" i="14"/>
  <c r="D982" i="14"/>
  <c r="C982" i="14"/>
  <c r="B982" i="14"/>
  <c r="A982" i="14"/>
  <c r="G981" i="14"/>
  <c r="F981" i="14"/>
  <c r="E981" i="14"/>
  <c r="D981" i="14"/>
  <c r="C981" i="14"/>
  <c r="B981" i="14"/>
  <c r="A981" i="14"/>
  <c r="G980" i="14"/>
  <c r="F980" i="14"/>
  <c r="E980" i="14"/>
  <c r="D980" i="14"/>
  <c r="C980" i="14"/>
  <c r="B980" i="14"/>
  <c r="A980" i="14"/>
  <c r="G979" i="14"/>
  <c r="F979" i="14"/>
  <c r="E979" i="14"/>
  <c r="D979" i="14"/>
  <c r="C979" i="14"/>
  <c r="B979" i="14"/>
  <c r="A979" i="14"/>
  <c r="G978" i="14"/>
  <c r="F978" i="14"/>
  <c r="E978" i="14"/>
  <c r="D978" i="14"/>
  <c r="C978" i="14"/>
  <c r="B978" i="14"/>
  <c r="A978" i="14"/>
  <c r="G977" i="14"/>
  <c r="F977" i="14"/>
  <c r="E977" i="14"/>
  <c r="D977" i="14"/>
  <c r="C977" i="14"/>
  <c r="B977" i="14"/>
  <c r="A977" i="14"/>
  <c r="G976" i="14"/>
  <c r="F976" i="14"/>
  <c r="E976" i="14"/>
  <c r="D976" i="14"/>
  <c r="C976" i="14"/>
  <c r="B976" i="14"/>
  <c r="A976" i="14"/>
  <c r="G975" i="14"/>
  <c r="F975" i="14"/>
  <c r="E975" i="14"/>
  <c r="D975" i="14"/>
  <c r="C975" i="14"/>
  <c r="B975" i="14"/>
  <c r="A975" i="14"/>
  <c r="G974" i="14"/>
  <c r="F974" i="14"/>
  <c r="E974" i="14"/>
  <c r="D974" i="14"/>
  <c r="C974" i="14"/>
  <c r="B974" i="14"/>
  <c r="A974" i="14"/>
  <c r="G973" i="14"/>
  <c r="F973" i="14"/>
  <c r="E973" i="14"/>
  <c r="D973" i="14"/>
  <c r="C973" i="14"/>
  <c r="B973" i="14"/>
  <c r="A973" i="14"/>
  <c r="G972" i="14"/>
  <c r="F972" i="14"/>
  <c r="E972" i="14"/>
  <c r="D972" i="14"/>
  <c r="C972" i="14"/>
  <c r="B972" i="14"/>
  <c r="A972" i="14"/>
  <c r="G971" i="14"/>
  <c r="F971" i="14"/>
  <c r="E971" i="14"/>
  <c r="D971" i="14"/>
  <c r="C971" i="14"/>
  <c r="B971" i="14"/>
  <c r="A971" i="14"/>
  <c r="G970" i="14"/>
  <c r="F970" i="14"/>
  <c r="E970" i="14"/>
  <c r="D970" i="14"/>
  <c r="C970" i="14"/>
  <c r="B970" i="14"/>
  <c r="A970" i="14"/>
  <c r="G969" i="14"/>
  <c r="F969" i="14"/>
  <c r="E969" i="14"/>
  <c r="D969" i="14"/>
  <c r="C969" i="14"/>
  <c r="B969" i="14"/>
  <c r="A969" i="14"/>
  <c r="G968" i="14"/>
  <c r="F968" i="14"/>
  <c r="E968" i="14"/>
  <c r="D968" i="14"/>
  <c r="C968" i="14"/>
  <c r="B968" i="14"/>
  <c r="A968" i="14"/>
  <c r="G967" i="14"/>
  <c r="F967" i="14"/>
  <c r="E967" i="14"/>
  <c r="D967" i="14"/>
  <c r="C967" i="14"/>
  <c r="B967" i="14"/>
  <c r="A967" i="14"/>
  <c r="G966" i="14"/>
  <c r="F966" i="14"/>
  <c r="E966" i="14"/>
  <c r="D966" i="14"/>
  <c r="C966" i="14"/>
  <c r="B966" i="14"/>
  <c r="A966" i="14"/>
  <c r="G965" i="14"/>
  <c r="F965" i="14"/>
  <c r="E965" i="14"/>
  <c r="D965" i="14"/>
  <c r="C965" i="14"/>
  <c r="B965" i="14"/>
  <c r="A965" i="14"/>
  <c r="G964" i="14"/>
  <c r="F964" i="14"/>
  <c r="E964" i="14"/>
  <c r="D964" i="14"/>
  <c r="C964" i="14"/>
  <c r="B964" i="14"/>
  <c r="A964" i="14"/>
  <c r="G963" i="14"/>
  <c r="F963" i="14"/>
  <c r="E963" i="14"/>
  <c r="D963" i="14"/>
  <c r="C963" i="14"/>
  <c r="B963" i="14"/>
  <c r="A963" i="14"/>
  <c r="G962" i="14"/>
  <c r="F962" i="14"/>
  <c r="E962" i="14"/>
  <c r="D962" i="14"/>
  <c r="C962" i="14"/>
  <c r="B962" i="14"/>
  <c r="A962" i="14"/>
  <c r="G961" i="14"/>
  <c r="F961" i="14"/>
  <c r="E961" i="14"/>
  <c r="D961" i="14"/>
  <c r="C961" i="14"/>
  <c r="B961" i="14"/>
  <c r="A961" i="14"/>
  <c r="G960" i="14"/>
  <c r="F960" i="14"/>
  <c r="E960" i="14"/>
  <c r="D960" i="14"/>
  <c r="C960" i="14"/>
  <c r="B960" i="14"/>
  <c r="A960" i="14"/>
  <c r="G959" i="14"/>
  <c r="F959" i="14"/>
  <c r="E959" i="14"/>
  <c r="D959" i="14"/>
  <c r="C959" i="14"/>
  <c r="B959" i="14"/>
  <c r="A959" i="14"/>
  <c r="G958" i="14"/>
  <c r="F958" i="14"/>
  <c r="E958" i="14"/>
  <c r="D958" i="14"/>
  <c r="C958" i="14"/>
  <c r="B958" i="14"/>
  <c r="A958" i="14"/>
  <c r="G957" i="14"/>
  <c r="F957" i="14"/>
  <c r="E957" i="14"/>
  <c r="D957" i="14"/>
  <c r="C957" i="14"/>
  <c r="B957" i="14"/>
  <c r="A957" i="14"/>
  <c r="G956" i="14"/>
  <c r="F956" i="14"/>
  <c r="E956" i="14"/>
  <c r="D956" i="14"/>
  <c r="C956" i="14"/>
  <c r="B956" i="14"/>
  <c r="A956" i="14"/>
  <c r="G955" i="14"/>
  <c r="F955" i="14"/>
  <c r="E955" i="14"/>
  <c r="D955" i="14"/>
  <c r="C955" i="14"/>
  <c r="B955" i="14"/>
  <c r="A955" i="14"/>
  <c r="G954" i="14"/>
  <c r="F954" i="14"/>
  <c r="E954" i="14"/>
  <c r="D954" i="14"/>
  <c r="C954" i="14"/>
  <c r="B954" i="14"/>
  <c r="A954" i="14"/>
  <c r="G953" i="14"/>
  <c r="F953" i="14"/>
  <c r="E953" i="14"/>
  <c r="D953" i="14"/>
  <c r="C953" i="14"/>
  <c r="B953" i="14"/>
  <c r="A953" i="14"/>
  <c r="G952" i="14"/>
  <c r="F952" i="14"/>
  <c r="E952" i="14"/>
  <c r="D952" i="14"/>
  <c r="C952" i="14"/>
  <c r="B952" i="14"/>
  <c r="A952" i="14"/>
  <c r="G951" i="14"/>
  <c r="F951" i="14"/>
  <c r="E951" i="14"/>
  <c r="D951" i="14"/>
  <c r="C951" i="14"/>
  <c r="B951" i="14"/>
  <c r="A951" i="14"/>
  <c r="G950" i="14"/>
  <c r="F950" i="14"/>
  <c r="E950" i="14"/>
  <c r="D950" i="14"/>
  <c r="C950" i="14"/>
  <c r="B950" i="14"/>
  <c r="A950" i="14"/>
  <c r="G949" i="14"/>
  <c r="F949" i="14"/>
  <c r="E949" i="14"/>
  <c r="D949" i="14"/>
  <c r="C949" i="14"/>
  <c r="B949" i="14"/>
  <c r="A949" i="14"/>
  <c r="G948" i="14"/>
  <c r="F948" i="14"/>
  <c r="E948" i="14"/>
  <c r="D948" i="14"/>
  <c r="C948" i="14"/>
  <c r="B948" i="14"/>
  <c r="A948" i="14"/>
  <c r="G947" i="14"/>
  <c r="F947" i="14"/>
  <c r="E947" i="14"/>
  <c r="D947" i="14"/>
  <c r="C947" i="14"/>
  <c r="B947" i="14"/>
  <c r="A947" i="14"/>
  <c r="G946" i="14"/>
  <c r="F946" i="14"/>
  <c r="E946" i="14"/>
  <c r="D946" i="14"/>
  <c r="C946" i="14"/>
  <c r="B946" i="14"/>
  <c r="A946" i="14"/>
  <c r="G945" i="14"/>
  <c r="F945" i="14"/>
  <c r="E945" i="14"/>
  <c r="D945" i="14"/>
  <c r="C945" i="14"/>
  <c r="B945" i="14"/>
  <c r="A945" i="14"/>
  <c r="G944" i="14"/>
  <c r="F944" i="14"/>
  <c r="E944" i="14"/>
  <c r="D944" i="14"/>
  <c r="C944" i="14"/>
  <c r="B944" i="14"/>
  <c r="A944" i="14"/>
  <c r="G943" i="14"/>
  <c r="F943" i="14"/>
  <c r="E943" i="14"/>
  <c r="D943" i="14"/>
  <c r="C943" i="14"/>
  <c r="B943" i="14"/>
  <c r="A943" i="14"/>
  <c r="G942" i="14"/>
  <c r="F942" i="14"/>
  <c r="E942" i="14"/>
  <c r="D942" i="14"/>
  <c r="C942" i="14"/>
  <c r="B942" i="14"/>
  <c r="A942" i="14"/>
  <c r="G941" i="14"/>
  <c r="F941" i="14"/>
  <c r="E941" i="14"/>
  <c r="D941" i="14"/>
  <c r="C941" i="14"/>
  <c r="B941" i="14"/>
  <c r="A941" i="14"/>
  <c r="G940" i="14"/>
  <c r="F940" i="14"/>
  <c r="E940" i="14"/>
  <c r="D940" i="14"/>
  <c r="C940" i="14"/>
  <c r="B940" i="14"/>
  <c r="A940" i="14"/>
  <c r="G939" i="14"/>
  <c r="F939" i="14"/>
  <c r="E939" i="14"/>
  <c r="D939" i="14"/>
  <c r="C939" i="14"/>
  <c r="B939" i="14"/>
  <c r="A939" i="14"/>
  <c r="G938" i="14"/>
  <c r="F938" i="14"/>
  <c r="E938" i="14"/>
  <c r="D938" i="14"/>
  <c r="C938" i="14"/>
  <c r="B938" i="14"/>
  <c r="A938" i="14"/>
  <c r="G937" i="14"/>
  <c r="F937" i="14"/>
  <c r="E937" i="14"/>
  <c r="D937" i="14"/>
  <c r="C937" i="14"/>
  <c r="B937" i="14"/>
  <c r="A937" i="14"/>
  <c r="G936" i="14"/>
  <c r="F936" i="14"/>
  <c r="E936" i="14"/>
  <c r="D936" i="14"/>
  <c r="C936" i="14"/>
  <c r="B936" i="14"/>
  <c r="A936" i="14"/>
  <c r="G935" i="14"/>
  <c r="F935" i="14"/>
  <c r="E935" i="14"/>
  <c r="D935" i="14"/>
  <c r="C935" i="14"/>
  <c r="B935" i="14"/>
  <c r="A935" i="14"/>
  <c r="G934" i="14"/>
  <c r="F934" i="14"/>
  <c r="E934" i="14"/>
  <c r="D934" i="14"/>
  <c r="C934" i="14"/>
  <c r="B934" i="14"/>
  <c r="A934" i="14"/>
  <c r="G933" i="14"/>
  <c r="F933" i="14"/>
  <c r="E933" i="14"/>
  <c r="D933" i="14"/>
  <c r="C933" i="14"/>
  <c r="B933" i="14"/>
  <c r="A933" i="14"/>
  <c r="G932" i="14"/>
  <c r="F932" i="14"/>
  <c r="E932" i="14"/>
  <c r="D932" i="14"/>
  <c r="C932" i="14"/>
  <c r="B932" i="14"/>
  <c r="A932" i="14"/>
  <c r="G931" i="14"/>
  <c r="F931" i="14"/>
  <c r="E931" i="14"/>
  <c r="D931" i="14"/>
  <c r="C931" i="14"/>
  <c r="B931" i="14"/>
  <c r="A931" i="14"/>
  <c r="G930" i="14"/>
  <c r="F930" i="14"/>
  <c r="E930" i="14"/>
  <c r="D930" i="14"/>
  <c r="C930" i="14"/>
  <c r="B930" i="14"/>
  <c r="A930" i="14"/>
  <c r="G929" i="14"/>
  <c r="F929" i="14"/>
  <c r="E929" i="14"/>
  <c r="D929" i="14"/>
  <c r="C929" i="14"/>
  <c r="B929" i="14"/>
  <c r="A929" i="14"/>
  <c r="G928" i="14"/>
  <c r="F928" i="14"/>
  <c r="E928" i="14"/>
  <c r="D928" i="14"/>
  <c r="C928" i="14"/>
  <c r="B928" i="14"/>
  <c r="A928" i="14"/>
  <c r="G927" i="14"/>
  <c r="F927" i="14"/>
  <c r="E927" i="14"/>
  <c r="D927" i="14"/>
  <c r="C927" i="14"/>
  <c r="B927" i="14"/>
  <c r="A927" i="14"/>
  <c r="G926" i="14"/>
  <c r="F926" i="14"/>
  <c r="E926" i="14"/>
  <c r="D926" i="14"/>
  <c r="C926" i="14"/>
  <c r="B926" i="14"/>
  <c r="A926" i="14"/>
  <c r="G925" i="14"/>
  <c r="F925" i="14"/>
  <c r="E925" i="14"/>
  <c r="D925" i="14"/>
  <c r="C925" i="14"/>
  <c r="B925" i="14"/>
  <c r="A925" i="14"/>
  <c r="G924" i="14"/>
  <c r="F924" i="14"/>
  <c r="E924" i="14"/>
  <c r="D924" i="14"/>
  <c r="C924" i="14"/>
  <c r="B924" i="14"/>
  <c r="A924" i="14"/>
  <c r="G923" i="14"/>
  <c r="F923" i="14"/>
  <c r="E923" i="14"/>
  <c r="D923" i="14"/>
  <c r="C923" i="14"/>
  <c r="B923" i="14"/>
  <c r="A923" i="14"/>
  <c r="G922" i="14"/>
  <c r="F922" i="14"/>
  <c r="E922" i="14"/>
  <c r="D922" i="14"/>
  <c r="C922" i="14"/>
  <c r="B922" i="14"/>
  <c r="A922" i="14"/>
  <c r="G921" i="14"/>
  <c r="F921" i="14"/>
  <c r="E921" i="14"/>
  <c r="D921" i="14"/>
  <c r="C921" i="14"/>
  <c r="B921" i="14"/>
  <c r="A921" i="14"/>
  <c r="G920" i="14"/>
  <c r="F920" i="14"/>
  <c r="E920" i="14"/>
  <c r="D920" i="14"/>
  <c r="C920" i="14"/>
  <c r="B920" i="14"/>
  <c r="A920" i="14"/>
  <c r="G919" i="14"/>
  <c r="F919" i="14"/>
  <c r="E919" i="14"/>
  <c r="D919" i="14"/>
  <c r="C919" i="14"/>
  <c r="B919" i="14"/>
  <c r="A919" i="14"/>
  <c r="G918" i="14"/>
  <c r="F918" i="14"/>
  <c r="E918" i="14"/>
  <c r="D918" i="14"/>
  <c r="C918" i="14"/>
  <c r="B918" i="14"/>
  <c r="A918" i="14"/>
  <c r="G917" i="14"/>
  <c r="F917" i="14"/>
  <c r="E917" i="14"/>
  <c r="D917" i="14"/>
  <c r="C917" i="14"/>
  <c r="B917" i="14"/>
  <c r="A917" i="14"/>
  <c r="G916" i="14"/>
  <c r="F916" i="14"/>
  <c r="E916" i="14"/>
  <c r="D916" i="14"/>
  <c r="C916" i="14"/>
  <c r="B916" i="14"/>
  <c r="A916" i="14"/>
  <c r="G915" i="14"/>
  <c r="F915" i="14"/>
  <c r="E915" i="14"/>
  <c r="D915" i="14"/>
  <c r="C915" i="14"/>
  <c r="B915" i="14"/>
  <c r="A915" i="14"/>
  <c r="G914" i="14"/>
  <c r="F914" i="14"/>
  <c r="E914" i="14"/>
  <c r="D914" i="14"/>
  <c r="C914" i="14"/>
  <c r="B914" i="14"/>
  <c r="A914" i="14"/>
  <c r="G913" i="14"/>
  <c r="F913" i="14"/>
  <c r="E913" i="14"/>
  <c r="D913" i="14"/>
  <c r="C913" i="14"/>
  <c r="B913" i="14"/>
  <c r="A913" i="14"/>
  <c r="G912" i="14"/>
  <c r="F912" i="14"/>
  <c r="E912" i="14"/>
  <c r="D912" i="14"/>
  <c r="C912" i="14"/>
  <c r="B912" i="14"/>
  <c r="A912" i="14"/>
  <c r="G911" i="14"/>
  <c r="F911" i="14"/>
  <c r="E911" i="14"/>
  <c r="D911" i="14"/>
  <c r="C911" i="14"/>
  <c r="B911" i="14"/>
  <c r="A911" i="14"/>
  <c r="G910" i="14"/>
  <c r="F910" i="14"/>
  <c r="E910" i="14"/>
  <c r="D910" i="14"/>
  <c r="C910" i="14"/>
  <c r="B910" i="14"/>
  <c r="A910" i="14"/>
  <c r="G909" i="14"/>
  <c r="F909" i="14"/>
  <c r="E909" i="14"/>
  <c r="D909" i="14"/>
  <c r="C909" i="14"/>
  <c r="B909" i="14"/>
  <c r="A909" i="14"/>
  <c r="G908" i="14"/>
  <c r="F908" i="14"/>
  <c r="E908" i="14"/>
  <c r="D908" i="14"/>
  <c r="C908" i="14"/>
  <c r="B908" i="14"/>
  <c r="A908" i="14"/>
  <c r="G907" i="14"/>
  <c r="F907" i="14"/>
  <c r="E907" i="14"/>
  <c r="D907" i="14"/>
  <c r="C907" i="14"/>
  <c r="B907" i="14"/>
  <c r="A907" i="14"/>
  <c r="G906" i="14"/>
  <c r="F906" i="14"/>
  <c r="E906" i="14"/>
  <c r="D906" i="14"/>
  <c r="C906" i="14"/>
  <c r="B906" i="14"/>
  <c r="A906" i="14"/>
  <c r="G905" i="14"/>
  <c r="F905" i="14"/>
  <c r="E905" i="14"/>
  <c r="D905" i="14"/>
  <c r="C905" i="14"/>
  <c r="B905" i="14"/>
  <c r="A905" i="14"/>
  <c r="G904" i="14"/>
  <c r="F904" i="14"/>
  <c r="E904" i="14"/>
  <c r="D904" i="14"/>
  <c r="C904" i="14"/>
  <c r="B904" i="14"/>
  <c r="A904" i="14"/>
  <c r="G903" i="14"/>
  <c r="F903" i="14"/>
  <c r="E903" i="14"/>
  <c r="D903" i="14"/>
  <c r="C903" i="14"/>
  <c r="B903" i="14"/>
  <c r="A903" i="14"/>
  <c r="G902" i="14"/>
  <c r="F902" i="14"/>
  <c r="E902" i="14"/>
  <c r="D902" i="14"/>
  <c r="C902" i="14"/>
  <c r="B902" i="14"/>
  <c r="A902" i="14"/>
  <c r="G901" i="14"/>
  <c r="F901" i="14"/>
  <c r="E901" i="14"/>
  <c r="D901" i="14"/>
  <c r="C901" i="14"/>
  <c r="B901" i="14"/>
  <c r="A901" i="14"/>
  <c r="G900" i="14"/>
  <c r="F900" i="14"/>
  <c r="E900" i="14"/>
  <c r="D900" i="14"/>
  <c r="C900" i="14"/>
  <c r="B900" i="14"/>
  <c r="A900" i="14"/>
  <c r="G899" i="14"/>
  <c r="F899" i="14"/>
  <c r="E899" i="14"/>
  <c r="D899" i="14"/>
  <c r="C899" i="14"/>
  <c r="B899" i="14"/>
  <c r="A899" i="14"/>
  <c r="G898" i="14"/>
  <c r="F898" i="14"/>
  <c r="E898" i="14"/>
  <c r="D898" i="14"/>
  <c r="C898" i="14"/>
  <c r="B898" i="14"/>
  <c r="A898" i="14"/>
  <c r="G897" i="14"/>
  <c r="F897" i="14"/>
  <c r="E897" i="14"/>
  <c r="D897" i="14"/>
  <c r="C897" i="14"/>
  <c r="B897" i="14"/>
  <c r="A897" i="14"/>
  <c r="G896" i="14"/>
  <c r="F896" i="14"/>
  <c r="E896" i="14"/>
  <c r="D896" i="14"/>
  <c r="C896" i="14"/>
  <c r="B896" i="14"/>
  <c r="A896" i="14"/>
  <c r="G895" i="14"/>
  <c r="F895" i="14"/>
  <c r="E895" i="14"/>
  <c r="D895" i="14"/>
  <c r="C895" i="14"/>
  <c r="B895" i="14"/>
  <c r="A895" i="14"/>
  <c r="G894" i="14"/>
  <c r="F894" i="14"/>
  <c r="E894" i="14"/>
  <c r="D894" i="14"/>
  <c r="C894" i="14"/>
  <c r="B894" i="14"/>
  <c r="A894" i="14"/>
  <c r="G893" i="14"/>
  <c r="F893" i="14"/>
  <c r="E893" i="14"/>
  <c r="D893" i="14"/>
  <c r="C893" i="14"/>
  <c r="B893" i="14"/>
  <c r="A893" i="14"/>
  <c r="G892" i="14"/>
  <c r="F892" i="14"/>
  <c r="E892" i="14"/>
  <c r="D892" i="14"/>
  <c r="C892" i="14"/>
  <c r="B892" i="14"/>
  <c r="A892" i="14"/>
  <c r="G891" i="14"/>
  <c r="F891" i="14"/>
  <c r="E891" i="14"/>
  <c r="D891" i="14"/>
  <c r="C891" i="14"/>
  <c r="B891" i="14"/>
  <c r="A891" i="14"/>
  <c r="G890" i="14"/>
  <c r="F890" i="14"/>
  <c r="E890" i="14"/>
  <c r="D890" i="14"/>
  <c r="C890" i="14"/>
  <c r="B890" i="14"/>
  <c r="A890" i="14"/>
  <c r="G889" i="14"/>
  <c r="F889" i="14"/>
  <c r="E889" i="14"/>
  <c r="D889" i="14"/>
  <c r="C889" i="14"/>
  <c r="B889" i="14"/>
  <c r="A889" i="14"/>
  <c r="G888" i="14"/>
  <c r="F888" i="14"/>
  <c r="E888" i="14"/>
  <c r="D888" i="14"/>
  <c r="C888" i="14"/>
  <c r="B888" i="14"/>
  <c r="A888" i="14"/>
  <c r="G887" i="14"/>
  <c r="F887" i="14"/>
  <c r="E887" i="14"/>
  <c r="D887" i="14"/>
  <c r="C887" i="14"/>
  <c r="B887" i="14"/>
  <c r="A887" i="14"/>
  <c r="G886" i="14"/>
  <c r="F886" i="14"/>
  <c r="E886" i="14"/>
  <c r="D886" i="14"/>
  <c r="C886" i="14"/>
  <c r="B886" i="14"/>
  <c r="A886" i="14"/>
  <c r="G885" i="14"/>
  <c r="F885" i="14"/>
  <c r="E885" i="14"/>
  <c r="D885" i="14"/>
  <c r="C885" i="14"/>
  <c r="B885" i="14"/>
  <c r="A885" i="14"/>
  <c r="G884" i="14"/>
  <c r="F884" i="14"/>
  <c r="E884" i="14"/>
  <c r="D884" i="14"/>
  <c r="C884" i="14"/>
  <c r="B884" i="14"/>
  <c r="A884" i="14"/>
  <c r="G883" i="14"/>
  <c r="F883" i="14"/>
  <c r="E883" i="14"/>
  <c r="D883" i="14"/>
  <c r="C883" i="14"/>
  <c r="B883" i="14"/>
  <c r="A883" i="14"/>
  <c r="G882" i="14"/>
  <c r="F882" i="14"/>
  <c r="E882" i="14"/>
  <c r="D882" i="14"/>
  <c r="C882" i="14"/>
  <c r="B882" i="14"/>
  <c r="A882" i="14"/>
  <c r="G881" i="14"/>
  <c r="F881" i="14"/>
  <c r="E881" i="14"/>
  <c r="D881" i="14"/>
  <c r="C881" i="14"/>
  <c r="B881" i="14"/>
  <c r="A881" i="14"/>
  <c r="G880" i="14"/>
  <c r="F880" i="14"/>
  <c r="E880" i="14"/>
  <c r="D880" i="14"/>
  <c r="C880" i="14"/>
  <c r="B880" i="14"/>
  <c r="A880" i="14"/>
  <c r="G879" i="14"/>
  <c r="F879" i="14"/>
  <c r="E879" i="14"/>
  <c r="D879" i="14"/>
  <c r="C879" i="14"/>
  <c r="B879" i="14"/>
  <c r="A879" i="14"/>
  <c r="G878" i="14"/>
  <c r="F878" i="14"/>
  <c r="E878" i="14"/>
  <c r="D878" i="14"/>
  <c r="C878" i="14"/>
  <c r="B878" i="14"/>
  <c r="A878" i="14"/>
  <c r="G877" i="14"/>
  <c r="F877" i="14"/>
  <c r="E877" i="14"/>
  <c r="D877" i="14"/>
  <c r="C877" i="14"/>
  <c r="B877" i="14"/>
  <c r="A877" i="14"/>
  <c r="G876" i="14"/>
  <c r="F876" i="14"/>
  <c r="E876" i="14"/>
  <c r="D876" i="14"/>
  <c r="C876" i="14"/>
  <c r="B876" i="14"/>
  <c r="A876" i="14"/>
  <c r="G875" i="14"/>
  <c r="F875" i="14"/>
  <c r="E875" i="14"/>
  <c r="D875" i="14"/>
  <c r="C875" i="14"/>
  <c r="B875" i="14"/>
  <c r="A875" i="14"/>
  <c r="G874" i="14"/>
  <c r="F874" i="14"/>
  <c r="E874" i="14"/>
  <c r="D874" i="14"/>
  <c r="C874" i="14"/>
  <c r="B874" i="14"/>
  <c r="A874" i="14"/>
  <c r="G873" i="14"/>
  <c r="F873" i="14"/>
  <c r="E873" i="14"/>
  <c r="D873" i="14"/>
  <c r="C873" i="14"/>
  <c r="B873" i="14"/>
  <c r="A873" i="14"/>
  <c r="G872" i="14"/>
  <c r="F872" i="14"/>
  <c r="E872" i="14"/>
  <c r="D872" i="14"/>
  <c r="C872" i="14"/>
  <c r="B872" i="14"/>
  <c r="A872" i="14"/>
  <c r="G871" i="14"/>
  <c r="F871" i="14"/>
  <c r="E871" i="14"/>
  <c r="D871" i="14"/>
  <c r="C871" i="14"/>
  <c r="B871" i="14"/>
  <c r="A871" i="14"/>
  <c r="G870" i="14"/>
  <c r="F870" i="14"/>
  <c r="E870" i="14"/>
  <c r="D870" i="14"/>
  <c r="C870" i="14"/>
  <c r="B870" i="14"/>
  <c r="A870" i="14"/>
  <c r="G869" i="14"/>
  <c r="F869" i="14"/>
  <c r="E869" i="14"/>
  <c r="D869" i="14"/>
  <c r="C869" i="14"/>
  <c r="B869" i="14"/>
  <c r="A869" i="14"/>
  <c r="G868" i="14"/>
  <c r="F868" i="14"/>
  <c r="E868" i="14"/>
  <c r="D868" i="14"/>
  <c r="C868" i="14"/>
  <c r="B868" i="14"/>
  <c r="A868" i="14"/>
  <c r="G867" i="14"/>
  <c r="F867" i="14"/>
  <c r="E867" i="14"/>
  <c r="D867" i="14"/>
  <c r="C867" i="14"/>
  <c r="B867" i="14"/>
  <c r="A867" i="14"/>
  <c r="G866" i="14"/>
  <c r="F866" i="14"/>
  <c r="E866" i="14"/>
  <c r="D866" i="14"/>
  <c r="C866" i="14"/>
  <c r="B866" i="14"/>
  <c r="A866" i="14"/>
  <c r="G865" i="14"/>
  <c r="F865" i="14"/>
  <c r="E865" i="14"/>
  <c r="D865" i="14"/>
  <c r="C865" i="14"/>
  <c r="B865" i="14"/>
  <c r="A865" i="14"/>
  <c r="G864" i="14"/>
  <c r="F864" i="14"/>
  <c r="E864" i="14"/>
  <c r="D864" i="14"/>
  <c r="C864" i="14"/>
  <c r="B864" i="14"/>
  <c r="A864" i="14"/>
  <c r="G863" i="14"/>
  <c r="F863" i="14"/>
  <c r="E863" i="14"/>
  <c r="D863" i="14"/>
  <c r="C863" i="14"/>
  <c r="B863" i="14"/>
  <c r="A863" i="14"/>
  <c r="G862" i="14"/>
  <c r="F862" i="14"/>
  <c r="E862" i="14"/>
  <c r="D862" i="14"/>
  <c r="C862" i="14"/>
  <c r="B862" i="14"/>
  <c r="A862" i="14"/>
  <c r="G861" i="14"/>
  <c r="F861" i="14"/>
  <c r="E861" i="14"/>
  <c r="D861" i="14"/>
  <c r="C861" i="14"/>
  <c r="B861" i="14"/>
  <c r="A861" i="14"/>
  <c r="G860" i="14"/>
  <c r="F860" i="14"/>
  <c r="E860" i="14"/>
  <c r="D860" i="14"/>
  <c r="C860" i="14"/>
  <c r="B860" i="14"/>
  <c r="A860" i="14"/>
  <c r="G859" i="14"/>
  <c r="F859" i="14"/>
  <c r="E859" i="14"/>
  <c r="D859" i="14"/>
  <c r="C859" i="14"/>
  <c r="B859" i="14"/>
  <c r="A859" i="14"/>
  <c r="G858" i="14"/>
  <c r="F858" i="14"/>
  <c r="E858" i="14"/>
  <c r="D858" i="14"/>
  <c r="C858" i="14"/>
  <c r="B858" i="14"/>
  <c r="A858" i="14"/>
  <c r="G857" i="14"/>
  <c r="F857" i="14"/>
  <c r="E857" i="14"/>
  <c r="D857" i="14"/>
  <c r="C857" i="14"/>
  <c r="B857" i="14"/>
  <c r="A857" i="14"/>
  <c r="G856" i="14"/>
  <c r="F856" i="14"/>
  <c r="E856" i="14"/>
  <c r="D856" i="14"/>
  <c r="C856" i="14"/>
  <c r="B856" i="14"/>
  <c r="A856" i="14"/>
  <c r="G855" i="14"/>
  <c r="F855" i="14"/>
  <c r="E855" i="14"/>
  <c r="D855" i="14"/>
  <c r="C855" i="14"/>
  <c r="B855" i="14"/>
  <c r="A855" i="14"/>
  <c r="G854" i="14"/>
  <c r="F854" i="14"/>
  <c r="E854" i="14"/>
  <c r="D854" i="14"/>
  <c r="C854" i="14"/>
  <c r="B854" i="14"/>
  <c r="A854" i="14"/>
  <c r="G853" i="14"/>
  <c r="F853" i="14"/>
  <c r="E853" i="14"/>
  <c r="D853" i="14"/>
  <c r="C853" i="14"/>
  <c r="B853" i="14"/>
  <c r="A853" i="14"/>
  <c r="G852" i="14"/>
  <c r="F852" i="14"/>
  <c r="E852" i="14"/>
  <c r="D852" i="14"/>
  <c r="C852" i="14"/>
  <c r="B852" i="14"/>
  <c r="A852" i="14"/>
  <c r="G851" i="14"/>
  <c r="F851" i="14"/>
  <c r="E851" i="14"/>
  <c r="D851" i="14"/>
  <c r="C851" i="14"/>
  <c r="B851" i="14"/>
  <c r="A851" i="14"/>
  <c r="G850" i="14"/>
  <c r="F850" i="14"/>
  <c r="E850" i="14"/>
  <c r="D850" i="14"/>
  <c r="C850" i="14"/>
  <c r="B850" i="14"/>
  <c r="A850" i="14"/>
  <c r="G849" i="14"/>
  <c r="F849" i="14"/>
  <c r="E849" i="14"/>
  <c r="D849" i="14"/>
  <c r="C849" i="14"/>
  <c r="B849" i="14"/>
  <c r="A849" i="14"/>
  <c r="G848" i="14"/>
  <c r="F848" i="14"/>
  <c r="E848" i="14"/>
  <c r="D848" i="14"/>
  <c r="C848" i="14"/>
  <c r="B848" i="14"/>
  <c r="A848" i="14"/>
  <c r="G847" i="14"/>
  <c r="F847" i="14"/>
  <c r="E847" i="14"/>
  <c r="D847" i="14"/>
  <c r="C847" i="14"/>
  <c r="B847" i="14"/>
  <c r="A847" i="14"/>
  <c r="G846" i="14"/>
  <c r="F846" i="14"/>
  <c r="E846" i="14"/>
  <c r="D846" i="14"/>
  <c r="C846" i="14"/>
  <c r="B846" i="14"/>
  <c r="A846" i="14"/>
  <c r="G845" i="14"/>
  <c r="F845" i="14"/>
  <c r="E845" i="14"/>
  <c r="D845" i="14"/>
  <c r="C845" i="14"/>
  <c r="B845" i="14"/>
  <c r="A845" i="14"/>
  <c r="G844" i="14"/>
  <c r="F844" i="14"/>
  <c r="E844" i="14"/>
  <c r="D844" i="14"/>
  <c r="C844" i="14"/>
  <c r="B844" i="14"/>
  <c r="A844" i="14"/>
  <c r="G843" i="14"/>
  <c r="F843" i="14"/>
  <c r="E843" i="14"/>
  <c r="D843" i="14"/>
  <c r="C843" i="14"/>
  <c r="B843" i="14"/>
  <c r="A843" i="14"/>
  <c r="G842" i="14"/>
  <c r="F842" i="14"/>
  <c r="E842" i="14"/>
  <c r="D842" i="14"/>
  <c r="C842" i="14"/>
  <c r="B842" i="14"/>
  <c r="A842" i="14"/>
  <c r="G841" i="14"/>
  <c r="F841" i="14"/>
  <c r="E841" i="14"/>
  <c r="D841" i="14"/>
  <c r="C841" i="14"/>
  <c r="B841" i="14"/>
  <c r="A841" i="14"/>
  <c r="G840" i="14"/>
  <c r="F840" i="14"/>
  <c r="E840" i="14"/>
  <c r="D840" i="14"/>
  <c r="C840" i="14"/>
  <c r="B840" i="14"/>
  <c r="A840" i="14"/>
  <c r="G839" i="14"/>
  <c r="F839" i="14"/>
  <c r="E839" i="14"/>
  <c r="D839" i="14"/>
  <c r="C839" i="14"/>
  <c r="B839" i="14"/>
  <c r="A839" i="14"/>
  <c r="G838" i="14"/>
  <c r="F838" i="14"/>
  <c r="E838" i="14"/>
  <c r="D838" i="14"/>
  <c r="C838" i="14"/>
  <c r="B838" i="14"/>
  <c r="A838" i="14"/>
  <c r="G837" i="14"/>
  <c r="F837" i="14"/>
  <c r="E837" i="14"/>
  <c r="D837" i="14"/>
  <c r="C837" i="14"/>
  <c r="B837" i="14"/>
  <c r="A837" i="14"/>
  <c r="G836" i="14"/>
  <c r="F836" i="14"/>
  <c r="E836" i="14"/>
  <c r="D836" i="14"/>
  <c r="C836" i="14"/>
  <c r="B836" i="14"/>
  <c r="A836" i="14"/>
  <c r="G835" i="14"/>
  <c r="F835" i="14"/>
  <c r="E835" i="14"/>
  <c r="D835" i="14"/>
  <c r="C835" i="14"/>
  <c r="B835" i="14"/>
  <c r="A835" i="14"/>
  <c r="G834" i="14"/>
  <c r="F834" i="14"/>
  <c r="E834" i="14"/>
  <c r="D834" i="14"/>
  <c r="C834" i="14"/>
  <c r="B834" i="14"/>
  <c r="A834" i="14"/>
  <c r="G833" i="14"/>
  <c r="F833" i="14"/>
  <c r="E833" i="14"/>
  <c r="D833" i="14"/>
  <c r="C833" i="14"/>
  <c r="B833" i="14"/>
  <c r="A833" i="14"/>
  <c r="G832" i="14"/>
  <c r="F832" i="14"/>
  <c r="E832" i="14"/>
  <c r="D832" i="14"/>
  <c r="C832" i="14"/>
  <c r="B832" i="14"/>
  <c r="A832" i="14"/>
  <c r="G831" i="14"/>
  <c r="F831" i="14"/>
  <c r="E831" i="14"/>
  <c r="D831" i="14"/>
  <c r="C831" i="14"/>
  <c r="B831" i="14"/>
  <c r="A831" i="14"/>
  <c r="G830" i="14"/>
  <c r="F830" i="14"/>
  <c r="E830" i="14"/>
  <c r="D830" i="14"/>
  <c r="C830" i="14"/>
  <c r="B830" i="14"/>
  <c r="A830" i="14"/>
  <c r="G829" i="14"/>
  <c r="F829" i="14"/>
  <c r="E829" i="14"/>
  <c r="D829" i="14"/>
  <c r="C829" i="14"/>
  <c r="B829" i="14"/>
  <c r="A829" i="14"/>
  <c r="G828" i="14"/>
  <c r="F828" i="14"/>
  <c r="E828" i="14"/>
  <c r="D828" i="14"/>
  <c r="C828" i="14"/>
  <c r="B828" i="14"/>
  <c r="A828" i="14"/>
  <c r="G827" i="14"/>
  <c r="F827" i="14"/>
  <c r="E827" i="14"/>
  <c r="D827" i="14"/>
  <c r="C827" i="14"/>
  <c r="B827" i="14"/>
  <c r="A827" i="14"/>
  <c r="G826" i="14"/>
  <c r="F826" i="14"/>
  <c r="E826" i="14"/>
  <c r="D826" i="14"/>
  <c r="C826" i="14"/>
  <c r="B826" i="14"/>
  <c r="A826" i="14"/>
  <c r="G825" i="14"/>
  <c r="F825" i="14"/>
  <c r="E825" i="14"/>
  <c r="D825" i="14"/>
  <c r="C825" i="14"/>
  <c r="B825" i="14"/>
  <c r="A825" i="14"/>
  <c r="G824" i="14"/>
  <c r="F824" i="14"/>
  <c r="E824" i="14"/>
  <c r="D824" i="14"/>
  <c r="C824" i="14"/>
  <c r="B824" i="14"/>
  <c r="A824" i="14"/>
  <c r="G823" i="14"/>
  <c r="F823" i="14"/>
  <c r="E823" i="14"/>
  <c r="D823" i="14"/>
  <c r="C823" i="14"/>
  <c r="B823" i="14"/>
  <c r="A823" i="14"/>
  <c r="G822" i="14"/>
  <c r="F822" i="14"/>
  <c r="E822" i="14"/>
  <c r="D822" i="14"/>
  <c r="C822" i="14"/>
  <c r="B822" i="14"/>
  <c r="A822" i="14"/>
  <c r="G821" i="14"/>
  <c r="F821" i="14"/>
  <c r="E821" i="14"/>
  <c r="D821" i="14"/>
  <c r="C821" i="14"/>
  <c r="B821" i="14"/>
  <c r="A821" i="14"/>
  <c r="G820" i="14"/>
  <c r="F820" i="14"/>
  <c r="E820" i="14"/>
  <c r="D820" i="14"/>
  <c r="C820" i="14"/>
  <c r="B820" i="14"/>
  <c r="A820" i="14"/>
  <c r="G819" i="14"/>
  <c r="F819" i="14"/>
  <c r="E819" i="14"/>
  <c r="D819" i="14"/>
  <c r="C819" i="14"/>
  <c r="B819" i="14"/>
  <c r="A819" i="14"/>
  <c r="G818" i="14"/>
  <c r="F818" i="14"/>
  <c r="E818" i="14"/>
  <c r="D818" i="14"/>
  <c r="C818" i="14"/>
  <c r="B818" i="14"/>
  <c r="A818" i="14"/>
  <c r="G817" i="14"/>
  <c r="F817" i="14"/>
  <c r="E817" i="14"/>
  <c r="D817" i="14"/>
  <c r="C817" i="14"/>
  <c r="B817" i="14"/>
  <c r="A817" i="14"/>
  <c r="G816" i="14"/>
  <c r="F816" i="14"/>
  <c r="E816" i="14"/>
  <c r="D816" i="14"/>
  <c r="C816" i="14"/>
  <c r="B816" i="14"/>
  <c r="A816" i="14"/>
  <c r="G815" i="14"/>
  <c r="F815" i="14"/>
  <c r="E815" i="14"/>
  <c r="D815" i="14"/>
  <c r="C815" i="14"/>
  <c r="B815" i="14"/>
  <c r="A815" i="14"/>
  <c r="G814" i="14"/>
  <c r="F814" i="14"/>
  <c r="E814" i="14"/>
  <c r="D814" i="14"/>
  <c r="C814" i="14"/>
  <c r="B814" i="14"/>
  <c r="A814" i="14"/>
  <c r="G813" i="14"/>
  <c r="F813" i="14"/>
  <c r="E813" i="14"/>
  <c r="D813" i="14"/>
  <c r="C813" i="14"/>
  <c r="B813" i="14"/>
  <c r="A813" i="14"/>
  <c r="G812" i="14"/>
  <c r="F812" i="14"/>
  <c r="E812" i="14"/>
  <c r="D812" i="14"/>
  <c r="C812" i="14"/>
  <c r="B812" i="14"/>
  <c r="A812" i="14"/>
  <c r="G811" i="14"/>
  <c r="F811" i="14"/>
  <c r="E811" i="14"/>
  <c r="D811" i="14"/>
  <c r="C811" i="14"/>
  <c r="B811" i="14"/>
  <c r="A811" i="14"/>
  <c r="G810" i="14"/>
  <c r="F810" i="14"/>
  <c r="E810" i="14"/>
  <c r="D810" i="14"/>
  <c r="C810" i="14"/>
  <c r="B810" i="14"/>
  <c r="A810" i="14"/>
  <c r="G809" i="14"/>
  <c r="F809" i="14"/>
  <c r="E809" i="14"/>
  <c r="D809" i="14"/>
  <c r="C809" i="14"/>
  <c r="B809" i="14"/>
  <c r="A809" i="14"/>
  <c r="G808" i="14"/>
  <c r="F808" i="14"/>
  <c r="E808" i="14"/>
  <c r="D808" i="14"/>
  <c r="C808" i="14"/>
  <c r="B808" i="14"/>
  <c r="A808" i="14"/>
  <c r="G807" i="14"/>
  <c r="F807" i="14"/>
  <c r="E807" i="14"/>
  <c r="D807" i="14"/>
  <c r="C807" i="14"/>
  <c r="B807" i="14"/>
  <c r="A807" i="14"/>
  <c r="G806" i="14"/>
  <c r="F806" i="14"/>
  <c r="E806" i="14"/>
  <c r="D806" i="14"/>
  <c r="C806" i="14"/>
  <c r="B806" i="14"/>
  <c r="A806" i="14"/>
  <c r="G805" i="14"/>
  <c r="F805" i="14"/>
  <c r="E805" i="14"/>
  <c r="D805" i="14"/>
  <c r="C805" i="14"/>
  <c r="B805" i="14"/>
  <c r="A805" i="14"/>
  <c r="G804" i="14"/>
  <c r="F804" i="14"/>
  <c r="E804" i="14"/>
  <c r="D804" i="14"/>
  <c r="C804" i="14"/>
  <c r="B804" i="14"/>
  <c r="A804" i="14"/>
  <c r="G803" i="14"/>
  <c r="F803" i="14"/>
  <c r="E803" i="14"/>
  <c r="D803" i="14"/>
  <c r="C803" i="14"/>
  <c r="B803" i="14"/>
  <c r="A803" i="14"/>
  <c r="G802" i="14"/>
  <c r="F802" i="14"/>
  <c r="E802" i="14"/>
  <c r="D802" i="14"/>
  <c r="C802" i="14"/>
  <c r="B802" i="14"/>
  <c r="A802" i="14"/>
  <c r="G801" i="14"/>
  <c r="F801" i="14"/>
  <c r="E801" i="14"/>
  <c r="D801" i="14"/>
  <c r="C801" i="14"/>
  <c r="B801" i="14"/>
  <c r="A801" i="14"/>
  <c r="G800" i="14"/>
  <c r="F800" i="14"/>
  <c r="E800" i="14"/>
  <c r="D800" i="14"/>
  <c r="C800" i="14"/>
  <c r="B800" i="14"/>
  <c r="A800" i="14"/>
  <c r="G799" i="14"/>
  <c r="F799" i="14"/>
  <c r="E799" i="14"/>
  <c r="D799" i="14"/>
  <c r="C799" i="14"/>
  <c r="B799" i="14"/>
  <c r="A799" i="14"/>
  <c r="G798" i="14"/>
  <c r="F798" i="14"/>
  <c r="E798" i="14"/>
  <c r="D798" i="14"/>
  <c r="C798" i="14"/>
  <c r="B798" i="14"/>
  <c r="A798" i="14"/>
  <c r="G797" i="14"/>
  <c r="F797" i="14"/>
  <c r="E797" i="14"/>
  <c r="D797" i="14"/>
  <c r="C797" i="14"/>
  <c r="B797" i="14"/>
  <c r="A797" i="14"/>
  <c r="G796" i="14"/>
  <c r="F796" i="14"/>
  <c r="E796" i="14"/>
  <c r="D796" i="14"/>
  <c r="C796" i="14"/>
  <c r="B796" i="14"/>
  <c r="A796" i="14"/>
  <c r="G795" i="14"/>
  <c r="F795" i="14"/>
  <c r="E795" i="14"/>
  <c r="D795" i="14"/>
  <c r="C795" i="14"/>
  <c r="B795" i="14"/>
  <c r="A795" i="14"/>
  <c r="G794" i="14"/>
  <c r="F794" i="14"/>
  <c r="E794" i="14"/>
  <c r="D794" i="14"/>
  <c r="C794" i="14"/>
  <c r="B794" i="14"/>
  <c r="A794" i="14"/>
  <c r="G793" i="14"/>
  <c r="F793" i="14"/>
  <c r="E793" i="14"/>
  <c r="D793" i="14"/>
  <c r="C793" i="14"/>
  <c r="B793" i="14"/>
  <c r="A793" i="14"/>
  <c r="G792" i="14"/>
  <c r="F792" i="14"/>
  <c r="E792" i="14"/>
  <c r="D792" i="14"/>
  <c r="C792" i="14"/>
  <c r="B792" i="14"/>
  <c r="A792" i="14"/>
  <c r="G791" i="14"/>
  <c r="F791" i="14"/>
  <c r="E791" i="14"/>
  <c r="D791" i="14"/>
  <c r="C791" i="14"/>
  <c r="B791" i="14"/>
  <c r="A791" i="14"/>
  <c r="G790" i="14"/>
  <c r="F790" i="14"/>
  <c r="E790" i="14"/>
  <c r="D790" i="14"/>
  <c r="C790" i="14"/>
  <c r="B790" i="14"/>
  <c r="A790" i="14"/>
  <c r="G789" i="14"/>
  <c r="F789" i="14"/>
  <c r="E789" i="14"/>
  <c r="D789" i="14"/>
  <c r="C789" i="14"/>
  <c r="B789" i="14"/>
  <c r="A789" i="14"/>
  <c r="G788" i="14"/>
  <c r="F788" i="14"/>
  <c r="E788" i="14"/>
  <c r="D788" i="14"/>
  <c r="C788" i="14"/>
  <c r="B788" i="14"/>
  <c r="A788" i="14"/>
  <c r="G787" i="14"/>
  <c r="F787" i="14"/>
  <c r="E787" i="14"/>
  <c r="D787" i="14"/>
  <c r="C787" i="14"/>
  <c r="B787" i="14"/>
  <c r="A787" i="14"/>
  <c r="G786" i="14"/>
  <c r="F786" i="14"/>
  <c r="E786" i="14"/>
  <c r="D786" i="14"/>
  <c r="C786" i="14"/>
  <c r="B786" i="14"/>
  <c r="A786" i="14"/>
  <c r="G785" i="14"/>
  <c r="F785" i="14"/>
  <c r="E785" i="14"/>
  <c r="D785" i="14"/>
  <c r="C785" i="14"/>
  <c r="B785" i="14"/>
  <c r="A785" i="14"/>
  <c r="G784" i="14"/>
  <c r="F784" i="14"/>
  <c r="E784" i="14"/>
  <c r="D784" i="14"/>
  <c r="C784" i="14"/>
  <c r="B784" i="14"/>
  <c r="A784" i="14"/>
  <c r="G783" i="14"/>
  <c r="F783" i="14"/>
  <c r="E783" i="14"/>
  <c r="D783" i="14"/>
  <c r="C783" i="14"/>
  <c r="B783" i="14"/>
  <c r="A783" i="14"/>
  <c r="G782" i="14"/>
  <c r="F782" i="14"/>
  <c r="E782" i="14"/>
  <c r="D782" i="14"/>
  <c r="C782" i="14"/>
  <c r="B782" i="14"/>
  <c r="A782" i="14"/>
  <c r="G781" i="14"/>
  <c r="F781" i="14"/>
  <c r="E781" i="14"/>
  <c r="D781" i="14"/>
  <c r="C781" i="14"/>
  <c r="B781" i="14"/>
  <c r="A781" i="14"/>
  <c r="G780" i="14"/>
  <c r="F780" i="14"/>
  <c r="E780" i="14"/>
  <c r="D780" i="14"/>
  <c r="C780" i="14"/>
  <c r="B780" i="14"/>
  <c r="A780" i="14"/>
  <c r="G779" i="14"/>
  <c r="F779" i="14"/>
  <c r="E779" i="14"/>
  <c r="D779" i="14"/>
  <c r="C779" i="14"/>
  <c r="B779" i="14"/>
  <c r="A779" i="14"/>
  <c r="G778" i="14"/>
  <c r="F778" i="14"/>
  <c r="E778" i="14"/>
  <c r="D778" i="14"/>
  <c r="C778" i="14"/>
  <c r="B778" i="14"/>
  <c r="A778" i="14"/>
  <c r="G777" i="14"/>
  <c r="F777" i="14"/>
  <c r="E777" i="14"/>
  <c r="D777" i="14"/>
  <c r="C777" i="14"/>
  <c r="B777" i="14"/>
  <c r="A777" i="14"/>
  <c r="G776" i="14"/>
  <c r="F776" i="14"/>
  <c r="E776" i="14"/>
  <c r="D776" i="14"/>
  <c r="C776" i="14"/>
  <c r="B776" i="14"/>
  <c r="A776" i="14"/>
  <c r="G775" i="14"/>
  <c r="F775" i="14"/>
  <c r="E775" i="14"/>
  <c r="D775" i="14"/>
  <c r="C775" i="14"/>
  <c r="B775" i="14"/>
  <c r="A775" i="14"/>
  <c r="G774" i="14"/>
  <c r="F774" i="14"/>
  <c r="E774" i="14"/>
  <c r="D774" i="14"/>
  <c r="C774" i="14"/>
  <c r="B774" i="14"/>
  <c r="A774" i="14"/>
  <c r="G773" i="14"/>
  <c r="F773" i="14"/>
  <c r="E773" i="14"/>
  <c r="D773" i="14"/>
  <c r="C773" i="14"/>
  <c r="B773" i="14"/>
  <c r="A773" i="14"/>
  <c r="G772" i="14"/>
  <c r="F772" i="14"/>
  <c r="E772" i="14"/>
  <c r="D772" i="14"/>
  <c r="C772" i="14"/>
  <c r="B772" i="14"/>
  <c r="A772" i="14"/>
  <c r="G771" i="14"/>
  <c r="F771" i="14"/>
  <c r="E771" i="14"/>
  <c r="D771" i="14"/>
  <c r="C771" i="14"/>
  <c r="B771" i="14"/>
  <c r="A771" i="14"/>
  <c r="G770" i="14"/>
  <c r="F770" i="14"/>
  <c r="E770" i="14"/>
  <c r="D770" i="14"/>
  <c r="C770" i="14"/>
  <c r="B770" i="14"/>
  <c r="A770" i="14"/>
  <c r="G769" i="14"/>
  <c r="F769" i="14"/>
  <c r="E769" i="14"/>
  <c r="D769" i="14"/>
  <c r="C769" i="14"/>
  <c r="B769" i="14"/>
  <c r="A769" i="14"/>
  <c r="G768" i="14"/>
  <c r="F768" i="14"/>
  <c r="E768" i="14"/>
  <c r="D768" i="14"/>
  <c r="C768" i="14"/>
  <c r="B768" i="14"/>
  <c r="A768" i="14"/>
  <c r="G767" i="14"/>
  <c r="F767" i="14"/>
  <c r="E767" i="14"/>
  <c r="D767" i="14"/>
  <c r="C767" i="14"/>
  <c r="B767" i="14"/>
  <c r="A767" i="14"/>
  <c r="G766" i="14"/>
  <c r="F766" i="14"/>
  <c r="E766" i="14"/>
  <c r="D766" i="14"/>
  <c r="C766" i="14"/>
  <c r="B766" i="14"/>
  <c r="A766" i="14"/>
  <c r="G765" i="14"/>
  <c r="F765" i="14"/>
  <c r="E765" i="14"/>
  <c r="D765" i="14"/>
  <c r="C765" i="14"/>
  <c r="B765" i="14"/>
  <c r="A765" i="14"/>
  <c r="G764" i="14"/>
  <c r="F764" i="14"/>
  <c r="E764" i="14"/>
  <c r="D764" i="14"/>
  <c r="C764" i="14"/>
  <c r="B764" i="14"/>
  <c r="A764" i="14"/>
  <c r="G763" i="14"/>
  <c r="F763" i="14"/>
  <c r="E763" i="14"/>
  <c r="D763" i="14"/>
  <c r="C763" i="14"/>
  <c r="B763" i="14"/>
  <c r="A763" i="14"/>
  <c r="G762" i="14"/>
  <c r="F762" i="14"/>
  <c r="E762" i="14"/>
  <c r="D762" i="14"/>
  <c r="C762" i="14"/>
  <c r="B762" i="14"/>
  <c r="A762" i="14"/>
  <c r="G761" i="14"/>
  <c r="F761" i="14"/>
  <c r="E761" i="14"/>
  <c r="D761" i="14"/>
  <c r="C761" i="14"/>
  <c r="B761" i="14"/>
  <c r="A761" i="14"/>
  <c r="G760" i="14"/>
  <c r="F760" i="14"/>
  <c r="E760" i="14"/>
  <c r="D760" i="14"/>
  <c r="C760" i="14"/>
  <c r="B760" i="14"/>
  <c r="A760" i="14"/>
  <c r="G759" i="14"/>
  <c r="F759" i="14"/>
  <c r="E759" i="14"/>
  <c r="D759" i="14"/>
  <c r="C759" i="14"/>
  <c r="B759" i="14"/>
  <c r="A759" i="14"/>
  <c r="G758" i="14"/>
  <c r="F758" i="14"/>
  <c r="E758" i="14"/>
  <c r="D758" i="14"/>
  <c r="C758" i="14"/>
  <c r="B758" i="14"/>
  <c r="A758" i="14"/>
  <c r="G757" i="14"/>
  <c r="F757" i="14"/>
  <c r="E757" i="14"/>
  <c r="D757" i="14"/>
  <c r="C757" i="14"/>
  <c r="B757" i="14"/>
  <c r="A757" i="14"/>
  <c r="G756" i="14"/>
  <c r="F756" i="14"/>
  <c r="E756" i="14"/>
  <c r="D756" i="14"/>
  <c r="C756" i="14"/>
  <c r="B756" i="14"/>
  <c r="A756" i="14"/>
  <c r="G755" i="14"/>
  <c r="F755" i="14"/>
  <c r="E755" i="14"/>
  <c r="D755" i="14"/>
  <c r="C755" i="14"/>
  <c r="B755" i="14"/>
  <c r="A755" i="14"/>
  <c r="G754" i="14"/>
  <c r="F754" i="14"/>
  <c r="E754" i="14"/>
  <c r="D754" i="14"/>
  <c r="C754" i="14"/>
  <c r="B754" i="14"/>
  <c r="A754" i="14"/>
  <c r="G753" i="14"/>
  <c r="F753" i="14"/>
  <c r="E753" i="14"/>
  <c r="D753" i="14"/>
  <c r="C753" i="14"/>
  <c r="B753" i="14"/>
  <c r="A753" i="14"/>
  <c r="G752" i="14"/>
  <c r="F752" i="14"/>
  <c r="E752" i="14"/>
  <c r="D752" i="14"/>
  <c r="C752" i="14"/>
  <c r="B752" i="14"/>
  <c r="A752" i="14"/>
  <c r="G751" i="14"/>
  <c r="F751" i="14"/>
  <c r="E751" i="14"/>
  <c r="D751" i="14"/>
  <c r="C751" i="14"/>
  <c r="B751" i="14"/>
  <c r="A751" i="14"/>
  <c r="G750" i="14"/>
  <c r="F750" i="14"/>
  <c r="E750" i="14"/>
  <c r="D750" i="14"/>
  <c r="C750" i="14"/>
  <c r="B750" i="14"/>
  <c r="A750" i="14"/>
  <c r="G749" i="14"/>
  <c r="F749" i="14"/>
  <c r="E749" i="14"/>
  <c r="D749" i="14"/>
  <c r="C749" i="14"/>
  <c r="B749" i="14"/>
  <c r="A749" i="14"/>
  <c r="G748" i="14"/>
  <c r="F748" i="14"/>
  <c r="E748" i="14"/>
  <c r="D748" i="14"/>
  <c r="C748" i="14"/>
  <c r="B748" i="14"/>
  <c r="A748" i="14"/>
  <c r="G747" i="14"/>
  <c r="F747" i="14"/>
  <c r="E747" i="14"/>
  <c r="D747" i="14"/>
  <c r="C747" i="14"/>
  <c r="B747" i="14"/>
  <c r="A747" i="14"/>
  <c r="G746" i="14"/>
  <c r="F746" i="14"/>
  <c r="E746" i="14"/>
  <c r="D746" i="14"/>
  <c r="C746" i="14"/>
  <c r="B746" i="14"/>
  <c r="A746" i="14"/>
  <c r="G745" i="14"/>
  <c r="F745" i="14"/>
  <c r="E745" i="14"/>
  <c r="D745" i="14"/>
  <c r="C745" i="14"/>
  <c r="B745" i="14"/>
  <c r="A745" i="14"/>
  <c r="G744" i="14"/>
  <c r="F744" i="14"/>
  <c r="E744" i="14"/>
  <c r="D744" i="14"/>
  <c r="C744" i="14"/>
  <c r="B744" i="14"/>
  <c r="A744" i="14"/>
  <c r="G743" i="14"/>
  <c r="F743" i="14"/>
  <c r="E743" i="14"/>
  <c r="D743" i="14"/>
  <c r="C743" i="14"/>
  <c r="B743" i="14"/>
  <c r="A743" i="14"/>
  <c r="G742" i="14"/>
  <c r="F742" i="14"/>
  <c r="E742" i="14"/>
  <c r="D742" i="14"/>
  <c r="C742" i="14"/>
  <c r="B742" i="14"/>
  <c r="A742" i="14"/>
  <c r="G741" i="14"/>
  <c r="F741" i="14"/>
  <c r="E741" i="14"/>
  <c r="D741" i="14"/>
  <c r="C741" i="14"/>
  <c r="B741" i="14"/>
  <c r="A741" i="14"/>
  <c r="G740" i="14"/>
  <c r="F740" i="14"/>
  <c r="E740" i="14"/>
  <c r="D740" i="14"/>
  <c r="C740" i="14"/>
  <c r="B740" i="14"/>
  <c r="A740" i="14"/>
  <c r="G739" i="14"/>
  <c r="F739" i="14"/>
  <c r="E739" i="14"/>
  <c r="D739" i="14"/>
  <c r="C739" i="14"/>
  <c r="B739" i="14"/>
  <c r="A739" i="14"/>
  <c r="G738" i="14"/>
  <c r="F738" i="14"/>
  <c r="E738" i="14"/>
  <c r="D738" i="14"/>
  <c r="C738" i="14"/>
  <c r="B738" i="14"/>
  <c r="A738" i="14"/>
  <c r="G737" i="14"/>
  <c r="F737" i="14"/>
  <c r="E737" i="14"/>
  <c r="D737" i="14"/>
  <c r="C737" i="14"/>
  <c r="B737" i="14"/>
  <c r="A737" i="14"/>
  <c r="G736" i="14"/>
  <c r="F736" i="14"/>
  <c r="E736" i="14"/>
  <c r="D736" i="14"/>
  <c r="C736" i="14"/>
  <c r="B736" i="14"/>
  <c r="A736" i="14"/>
  <c r="G735" i="14"/>
  <c r="F735" i="14"/>
  <c r="E735" i="14"/>
  <c r="D735" i="14"/>
  <c r="C735" i="14"/>
  <c r="B735" i="14"/>
  <c r="A735" i="14"/>
  <c r="G734" i="14"/>
  <c r="F734" i="14"/>
  <c r="E734" i="14"/>
  <c r="D734" i="14"/>
  <c r="C734" i="14"/>
  <c r="B734" i="14"/>
  <c r="A734" i="14"/>
  <c r="G733" i="14"/>
  <c r="F733" i="14"/>
  <c r="E733" i="14"/>
  <c r="D733" i="14"/>
  <c r="C733" i="14"/>
  <c r="B733" i="14"/>
  <c r="A733" i="14"/>
  <c r="G732" i="14"/>
  <c r="F732" i="14"/>
  <c r="E732" i="14"/>
  <c r="D732" i="14"/>
  <c r="C732" i="14"/>
  <c r="B732" i="14"/>
  <c r="A732" i="14"/>
  <c r="G731" i="14"/>
  <c r="F731" i="14"/>
  <c r="E731" i="14"/>
  <c r="D731" i="14"/>
  <c r="C731" i="14"/>
  <c r="B731" i="14"/>
  <c r="A731" i="14"/>
  <c r="G730" i="14"/>
  <c r="F730" i="14"/>
  <c r="E730" i="14"/>
  <c r="D730" i="14"/>
  <c r="C730" i="14"/>
  <c r="B730" i="14"/>
  <c r="A730" i="14"/>
  <c r="G729" i="14"/>
  <c r="F729" i="14"/>
  <c r="E729" i="14"/>
  <c r="D729" i="14"/>
  <c r="C729" i="14"/>
  <c r="B729" i="14"/>
  <c r="A729" i="14"/>
  <c r="G728" i="14"/>
  <c r="F728" i="14"/>
  <c r="E728" i="14"/>
  <c r="D728" i="14"/>
  <c r="C728" i="14"/>
  <c r="B728" i="14"/>
  <c r="A728" i="14"/>
  <c r="G727" i="14"/>
  <c r="F727" i="14"/>
  <c r="E727" i="14"/>
  <c r="D727" i="14"/>
  <c r="C727" i="14"/>
  <c r="B727" i="14"/>
  <c r="A727" i="14"/>
  <c r="G726" i="14"/>
  <c r="F726" i="14"/>
  <c r="E726" i="14"/>
  <c r="D726" i="14"/>
  <c r="C726" i="14"/>
  <c r="B726" i="14"/>
  <c r="A726" i="14"/>
  <c r="G725" i="14"/>
  <c r="F725" i="14"/>
  <c r="E725" i="14"/>
  <c r="D725" i="14"/>
  <c r="C725" i="14"/>
  <c r="B725" i="14"/>
  <c r="A725" i="14"/>
  <c r="G724" i="14"/>
  <c r="F724" i="14"/>
  <c r="E724" i="14"/>
  <c r="D724" i="14"/>
  <c r="C724" i="14"/>
  <c r="B724" i="14"/>
  <c r="A724" i="14"/>
  <c r="G723" i="14"/>
  <c r="F723" i="14"/>
  <c r="E723" i="14"/>
  <c r="D723" i="14"/>
  <c r="C723" i="14"/>
  <c r="B723" i="14"/>
  <c r="A723" i="14"/>
  <c r="G722" i="14"/>
  <c r="F722" i="14"/>
  <c r="E722" i="14"/>
  <c r="D722" i="14"/>
  <c r="C722" i="14"/>
  <c r="B722" i="14"/>
  <c r="A722" i="14"/>
  <c r="G721" i="14"/>
  <c r="F721" i="14"/>
  <c r="E721" i="14"/>
  <c r="D721" i="14"/>
  <c r="C721" i="14"/>
  <c r="B721" i="14"/>
  <c r="A721" i="14"/>
  <c r="G720" i="14"/>
  <c r="F720" i="14"/>
  <c r="E720" i="14"/>
  <c r="D720" i="14"/>
  <c r="C720" i="14"/>
  <c r="B720" i="14"/>
  <c r="A720" i="14"/>
  <c r="G719" i="14"/>
  <c r="F719" i="14"/>
  <c r="E719" i="14"/>
  <c r="D719" i="14"/>
  <c r="C719" i="14"/>
  <c r="B719" i="14"/>
  <c r="A719" i="14"/>
  <c r="G718" i="14"/>
  <c r="F718" i="14"/>
  <c r="E718" i="14"/>
  <c r="D718" i="14"/>
  <c r="C718" i="14"/>
  <c r="B718" i="14"/>
  <c r="A718" i="14"/>
  <c r="G717" i="14"/>
  <c r="F717" i="14"/>
  <c r="E717" i="14"/>
  <c r="D717" i="14"/>
  <c r="C717" i="14"/>
  <c r="B717" i="14"/>
  <c r="A717" i="14"/>
  <c r="G716" i="14"/>
  <c r="F716" i="14"/>
  <c r="E716" i="14"/>
  <c r="D716" i="14"/>
  <c r="C716" i="14"/>
  <c r="B716" i="14"/>
  <c r="A716" i="14"/>
  <c r="G715" i="14"/>
  <c r="F715" i="14"/>
  <c r="E715" i="14"/>
  <c r="D715" i="14"/>
  <c r="C715" i="14"/>
  <c r="B715" i="14"/>
  <c r="A715" i="14"/>
  <c r="G714" i="14"/>
  <c r="F714" i="14"/>
  <c r="E714" i="14"/>
  <c r="D714" i="14"/>
  <c r="C714" i="14"/>
  <c r="B714" i="14"/>
  <c r="A714" i="14"/>
  <c r="G713" i="14"/>
  <c r="F713" i="14"/>
  <c r="E713" i="14"/>
  <c r="D713" i="14"/>
  <c r="C713" i="14"/>
  <c r="B713" i="14"/>
  <c r="A713" i="14"/>
  <c r="G712" i="14"/>
  <c r="F712" i="14"/>
  <c r="E712" i="14"/>
  <c r="D712" i="14"/>
  <c r="C712" i="14"/>
  <c r="B712" i="14"/>
  <c r="A712" i="14"/>
  <c r="G711" i="14"/>
  <c r="F711" i="14"/>
  <c r="E711" i="14"/>
  <c r="D711" i="14"/>
  <c r="C711" i="14"/>
  <c r="B711" i="14"/>
  <c r="A711" i="14"/>
  <c r="G710" i="14"/>
  <c r="F710" i="14"/>
  <c r="E710" i="14"/>
  <c r="D710" i="14"/>
  <c r="C710" i="14"/>
  <c r="B710" i="14"/>
  <c r="A710" i="14"/>
  <c r="G709" i="14"/>
  <c r="F709" i="14"/>
  <c r="E709" i="14"/>
  <c r="D709" i="14"/>
  <c r="C709" i="14"/>
  <c r="B709" i="14"/>
  <c r="A709" i="14"/>
  <c r="G708" i="14"/>
  <c r="F708" i="14"/>
  <c r="E708" i="14"/>
  <c r="D708" i="14"/>
  <c r="C708" i="14"/>
  <c r="B708" i="14"/>
  <c r="A708" i="14"/>
  <c r="G707" i="14"/>
  <c r="F707" i="14"/>
  <c r="E707" i="14"/>
  <c r="D707" i="14"/>
  <c r="C707" i="14"/>
  <c r="B707" i="14"/>
  <c r="A707" i="14"/>
  <c r="G706" i="14"/>
  <c r="F706" i="14"/>
  <c r="E706" i="14"/>
  <c r="D706" i="14"/>
  <c r="C706" i="14"/>
  <c r="B706" i="14"/>
  <c r="A706" i="14"/>
  <c r="G705" i="14"/>
  <c r="F705" i="14"/>
  <c r="E705" i="14"/>
  <c r="D705" i="14"/>
  <c r="C705" i="14"/>
  <c r="B705" i="14"/>
  <c r="A705" i="14"/>
  <c r="G704" i="14"/>
  <c r="F704" i="14"/>
  <c r="E704" i="14"/>
  <c r="D704" i="14"/>
  <c r="C704" i="14"/>
  <c r="B704" i="14"/>
  <c r="A704" i="14"/>
  <c r="G703" i="14"/>
  <c r="F703" i="14"/>
  <c r="E703" i="14"/>
  <c r="D703" i="14"/>
  <c r="C703" i="14"/>
  <c r="B703" i="14"/>
  <c r="A703" i="14"/>
  <c r="G702" i="14"/>
  <c r="F702" i="14"/>
  <c r="E702" i="14"/>
  <c r="D702" i="14"/>
  <c r="C702" i="14"/>
  <c r="B702" i="14"/>
  <c r="A702" i="14"/>
  <c r="G701" i="14"/>
  <c r="F701" i="14"/>
  <c r="E701" i="14"/>
  <c r="D701" i="14"/>
  <c r="C701" i="14"/>
  <c r="B701" i="14"/>
  <c r="A701" i="14"/>
  <c r="G700" i="14"/>
  <c r="F700" i="14"/>
  <c r="E700" i="14"/>
  <c r="D700" i="14"/>
  <c r="C700" i="14"/>
  <c r="B700" i="14"/>
  <c r="A700" i="14"/>
  <c r="G699" i="14"/>
  <c r="F699" i="14"/>
  <c r="E699" i="14"/>
  <c r="D699" i="14"/>
  <c r="C699" i="14"/>
  <c r="B699" i="14"/>
  <c r="A699" i="14"/>
  <c r="G698" i="14"/>
  <c r="F698" i="14"/>
  <c r="E698" i="14"/>
  <c r="D698" i="14"/>
  <c r="C698" i="14"/>
  <c r="B698" i="14"/>
  <c r="A698" i="14"/>
  <c r="G697" i="14"/>
  <c r="F697" i="14"/>
  <c r="E697" i="14"/>
  <c r="D697" i="14"/>
  <c r="C697" i="14"/>
  <c r="B697" i="14"/>
  <c r="A697" i="14"/>
  <c r="G696" i="14"/>
  <c r="F696" i="14"/>
  <c r="E696" i="14"/>
  <c r="D696" i="14"/>
  <c r="C696" i="14"/>
  <c r="B696" i="14"/>
  <c r="A696" i="14"/>
  <c r="G695" i="14"/>
  <c r="F695" i="14"/>
  <c r="E695" i="14"/>
  <c r="D695" i="14"/>
  <c r="C695" i="14"/>
  <c r="B695" i="14"/>
  <c r="A695" i="14"/>
  <c r="G694" i="14"/>
  <c r="F694" i="14"/>
  <c r="E694" i="14"/>
  <c r="D694" i="14"/>
  <c r="C694" i="14"/>
  <c r="B694" i="14"/>
  <c r="A694" i="14"/>
  <c r="G693" i="14"/>
  <c r="F693" i="14"/>
  <c r="E693" i="14"/>
  <c r="D693" i="14"/>
  <c r="C693" i="14"/>
  <c r="B693" i="14"/>
  <c r="A693" i="14"/>
  <c r="G692" i="14"/>
  <c r="F692" i="14"/>
  <c r="E692" i="14"/>
  <c r="D692" i="14"/>
  <c r="C692" i="14"/>
  <c r="B692" i="14"/>
  <c r="A692" i="14"/>
  <c r="G691" i="14"/>
  <c r="F691" i="14"/>
  <c r="E691" i="14"/>
  <c r="D691" i="14"/>
  <c r="C691" i="14"/>
  <c r="B691" i="14"/>
  <c r="A691" i="14"/>
  <c r="G690" i="14"/>
  <c r="F690" i="14"/>
  <c r="E690" i="14"/>
  <c r="D690" i="14"/>
  <c r="C690" i="14"/>
  <c r="B690" i="14"/>
  <c r="A690" i="14"/>
  <c r="G689" i="14"/>
  <c r="F689" i="14"/>
  <c r="E689" i="14"/>
  <c r="D689" i="14"/>
  <c r="C689" i="14"/>
  <c r="B689" i="14"/>
  <c r="A689" i="14"/>
  <c r="G688" i="14"/>
  <c r="F688" i="14"/>
  <c r="E688" i="14"/>
  <c r="D688" i="14"/>
  <c r="C688" i="14"/>
  <c r="B688" i="14"/>
  <c r="A688" i="14"/>
  <c r="G687" i="14"/>
  <c r="F687" i="14"/>
  <c r="E687" i="14"/>
  <c r="D687" i="14"/>
  <c r="C687" i="14"/>
  <c r="B687" i="14"/>
  <c r="A687" i="14"/>
  <c r="G686" i="14"/>
  <c r="F686" i="14"/>
  <c r="E686" i="14"/>
  <c r="D686" i="14"/>
  <c r="C686" i="14"/>
  <c r="B686" i="14"/>
  <c r="A686" i="14"/>
  <c r="G685" i="14"/>
  <c r="F685" i="14"/>
  <c r="E685" i="14"/>
  <c r="D685" i="14"/>
  <c r="C685" i="14"/>
  <c r="B685" i="14"/>
  <c r="A685" i="14"/>
  <c r="G684" i="14"/>
  <c r="F684" i="14"/>
  <c r="E684" i="14"/>
  <c r="D684" i="14"/>
  <c r="C684" i="14"/>
  <c r="B684" i="14"/>
  <c r="A684" i="14"/>
  <c r="G683" i="14"/>
  <c r="F683" i="14"/>
  <c r="E683" i="14"/>
  <c r="D683" i="14"/>
  <c r="C683" i="14"/>
  <c r="B683" i="14"/>
  <c r="A683" i="14"/>
  <c r="G682" i="14"/>
  <c r="F682" i="14"/>
  <c r="E682" i="14"/>
  <c r="D682" i="14"/>
  <c r="C682" i="14"/>
  <c r="B682" i="14"/>
  <c r="A682" i="14"/>
  <c r="G681" i="14"/>
  <c r="F681" i="14"/>
  <c r="E681" i="14"/>
  <c r="D681" i="14"/>
  <c r="C681" i="14"/>
  <c r="B681" i="14"/>
  <c r="A681" i="14"/>
  <c r="G680" i="14"/>
  <c r="F680" i="14"/>
  <c r="E680" i="14"/>
  <c r="D680" i="14"/>
  <c r="C680" i="14"/>
  <c r="B680" i="14"/>
  <c r="A680" i="14"/>
  <c r="G679" i="14"/>
  <c r="F679" i="14"/>
  <c r="E679" i="14"/>
  <c r="D679" i="14"/>
  <c r="C679" i="14"/>
  <c r="B679" i="14"/>
  <c r="A679" i="14"/>
  <c r="G678" i="14"/>
  <c r="F678" i="14"/>
  <c r="E678" i="14"/>
  <c r="D678" i="14"/>
  <c r="C678" i="14"/>
  <c r="B678" i="14"/>
  <c r="A678" i="14"/>
  <c r="G677" i="14"/>
  <c r="F677" i="14"/>
  <c r="E677" i="14"/>
  <c r="D677" i="14"/>
  <c r="C677" i="14"/>
  <c r="B677" i="14"/>
  <c r="A677" i="14"/>
  <c r="G676" i="14"/>
  <c r="F676" i="14"/>
  <c r="E676" i="14"/>
  <c r="D676" i="14"/>
  <c r="C676" i="14"/>
  <c r="B676" i="14"/>
  <c r="A676" i="14"/>
  <c r="G675" i="14"/>
  <c r="F675" i="14"/>
  <c r="E675" i="14"/>
  <c r="D675" i="14"/>
  <c r="C675" i="14"/>
  <c r="B675" i="14"/>
  <c r="A675" i="14"/>
  <c r="G674" i="14"/>
  <c r="F674" i="14"/>
  <c r="E674" i="14"/>
  <c r="D674" i="14"/>
  <c r="C674" i="14"/>
  <c r="B674" i="14"/>
  <c r="A674" i="14"/>
  <c r="G673" i="14"/>
  <c r="F673" i="14"/>
  <c r="E673" i="14"/>
  <c r="D673" i="14"/>
  <c r="C673" i="14"/>
  <c r="B673" i="14"/>
  <c r="A673" i="14"/>
  <c r="G672" i="14"/>
  <c r="F672" i="14"/>
  <c r="E672" i="14"/>
  <c r="D672" i="14"/>
  <c r="C672" i="14"/>
  <c r="B672" i="14"/>
  <c r="A672" i="14"/>
  <c r="G671" i="14"/>
  <c r="F671" i="14"/>
  <c r="E671" i="14"/>
  <c r="D671" i="14"/>
  <c r="C671" i="14"/>
  <c r="B671" i="14"/>
  <c r="A671" i="14"/>
  <c r="G670" i="14"/>
  <c r="F670" i="14"/>
  <c r="E670" i="14"/>
  <c r="D670" i="14"/>
  <c r="C670" i="14"/>
  <c r="B670" i="14"/>
  <c r="A670" i="14"/>
  <c r="G669" i="14"/>
  <c r="F669" i="14"/>
  <c r="E669" i="14"/>
  <c r="D669" i="14"/>
  <c r="C669" i="14"/>
  <c r="B669" i="14"/>
  <c r="A669" i="14"/>
  <c r="G668" i="14"/>
  <c r="F668" i="14"/>
  <c r="E668" i="14"/>
  <c r="D668" i="14"/>
  <c r="C668" i="14"/>
  <c r="B668" i="14"/>
  <c r="A668" i="14"/>
  <c r="G667" i="14"/>
  <c r="F667" i="14"/>
  <c r="E667" i="14"/>
  <c r="D667" i="14"/>
  <c r="C667" i="14"/>
  <c r="B667" i="14"/>
  <c r="A667" i="14"/>
  <c r="G666" i="14"/>
  <c r="F666" i="14"/>
  <c r="E666" i="14"/>
  <c r="D666" i="14"/>
  <c r="C666" i="14"/>
  <c r="B666" i="14"/>
  <c r="A666" i="14"/>
  <c r="G665" i="14"/>
  <c r="F665" i="14"/>
  <c r="E665" i="14"/>
  <c r="D665" i="14"/>
  <c r="C665" i="14"/>
  <c r="B665" i="14"/>
  <c r="A665" i="14"/>
  <c r="G664" i="14"/>
  <c r="F664" i="14"/>
  <c r="E664" i="14"/>
  <c r="D664" i="14"/>
  <c r="C664" i="14"/>
  <c r="B664" i="14"/>
  <c r="A664" i="14"/>
  <c r="G663" i="14"/>
  <c r="F663" i="14"/>
  <c r="E663" i="14"/>
  <c r="D663" i="14"/>
  <c r="C663" i="14"/>
  <c r="B663" i="14"/>
  <c r="A663" i="14"/>
  <c r="G662" i="14"/>
  <c r="F662" i="14"/>
  <c r="E662" i="14"/>
  <c r="D662" i="14"/>
  <c r="C662" i="14"/>
  <c r="B662" i="14"/>
  <c r="A662" i="14"/>
  <c r="G661" i="14"/>
  <c r="F661" i="14"/>
  <c r="E661" i="14"/>
  <c r="D661" i="14"/>
  <c r="C661" i="14"/>
  <c r="B661" i="14"/>
  <c r="A661" i="14"/>
  <c r="G660" i="14"/>
  <c r="F660" i="14"/>
  <c r="E660" i="14"/>
  <c r="D660" i="14"/>
  <c r="C660" i="14"/>
  <c r="B660" i="14"/>
  <c r="A660" i="14"/>
  <c r="G659" i="14"/>
  <c r="F659" i="14"/>
  <c r="E659" i="14"/>
  <c r="D659" i="14"/>
  <c r="C659" i="14"/>
  <c r="B659" i="14"/>
  <c r="A659" i="14"/>
  <c r="G658" i="14"/>
  <c r="F658" i="14"/>
  <c r="E658" i="14"/>
  <c r="D658" i="14"/>
  <c r="C658" i="14"/>
  <c r="B658" i="14"/>
  <c r="A658" i="14"/>
  <c r="G657" i="14"/>
  <c r="F657" i="14"/>
  <c r="E657" i="14"/>
  <c r="D657" i="14"/>
  <c r="C657" i="14"/>
  <c r="B657" i="14"/>
  <c r="A657" i="14"/>
  <c r="G656" i="14"/>
  <c r="F656" i="14"/>
  <c r="E656" i="14"/>
  <c r="D656" i="14"/>
  <c r="C656" i="14"/>
  <c r="B656" i="14"/>
  <c r="A656" i="14"/>
  <c r="G655" i="14"/>
  <c r="F655" i="14"/>
  <c r="E655" i="14"/>
  <c r="D655" i="14"/>
  <c r="C655" i="14"/>
  <c r="B655" i="14"/>
  <c r="A655" i="14"/>
  <c r="G654" i="14"/>
  <c r="F654" i="14"/>
  <c r="E654" i="14"/>
  <c r="D654" i="14"/>
  <c r="C654" i="14"/>
  <c r="B654" i="14"/>
  <c r="A654" i="14"/>
  <c r="G653" i="14"/>
  <c r="F653" i="14"/>
  <c r="E653" i="14"/>
  <c r="D653" i="14"/>
  <c r="C653" i="14"/>
  <c r="B653" i="14"/>
  <c r="A653" i="14"/>
  <c r="G652" i="14"/>
  <c r="F652" i="14"/>
  <c r="E652" i="14"/>
  <c r="D652" i="14"/>
  <c r="C652" i="14"/>
  <c r="B652" i="14"/>
  <c r="A652" i="14"/>
  <c r="G651" i="14"/>
  <c r="F651" i="14"/>
  <c r="E651" i="14"/>
  <c r="D651" i="14"/>
  <c r="C651" i="14"/>
  <c r="B651" i="14"/>
  <c r="A651" i="14"/>
  <c r="G650" i="14"/>
  <c r="F650" i="14"/>
  <c r="E650" i="14"/>
  <c r="D650" i="14"/>
  <c r="C650" i="14"/>
  <c r="B650" i="14"/>
  <c r="A650" i="14"/>
  <c r="G649" i="14"/>
  <c r="F649" i="14"/>
  <c r="E649" i="14"/>
  <c r="D649" i="14"/>
  <c r="C649" i="14"/>
  <c r="B649" i="14"/>
  <c r="A649" i="14"/>
  <c r="G648" i="14"/>
  <c r="F648" i="14"/>
  <c r="E648" i="14"/>
  <c r="D648" i="14"/>
  <c r="C648" i="14"/>
  <c r="B648" i="14"/>
  <c r="A648" i="14"/>
  <c r="G647" i="14"/>
  <c r="F647" i="14"/>
  <c r="E647" i="14"/>
  <c r="D647" i="14"/>
  <c r="C647" i="14"/>
  <c r="B647" i="14"/>
  <c r="A647" i="14"/>
  <c r="G646" i="14"/>
  <c r="F646" i="14"/>
  <c r="E646" i="14"/>
  <c r="D646" i="14"/>
  <c r="C646" i="14"/>
  <c r="B646" i="14"/>
  <c r="A646" i="14"/>
  <c r="G645" i="14"/>
  <c r="F645" i="14"/>
  <c r="E645" i="14"/>
  <c r="D645" i="14"/>
  <c r="C645" i="14"/>
  <c r="B645" i="14"/>
  <c r="A645" i="14"/>
  <c r="G644" i="14"/>
  <c r="F644" i="14"/>
  <c r="E644" i="14"/>
  <c r="D644" i="14"/>
  <c r="C644" i="14"/>
  <c r="B644" i="14"/>
  <c r="A644" i="14"/>
  <c r="G643" i="14"/>
  <c r="F643" i="14"/>
  <c r="E643" i="14"/>
  <c r="D643" i="14"/>
  <c r="C643" i="14"/>
  <c r="B643" i="14"/>
  <c r="A643" i="14"/>
  <c r="G642" i="14"/>
  <c r="F642" i="14"/>
  <c r="E642" i="14"/>
  <c r="D642" i="14"/>
  <c r="C642" i="14"/>
  <c r="B642" i="14"/>
  <c r="A642" i="14"/>
  <c r="G641" i="14"/>
  <c r="F641" i="14"/>
  <c r="E641" i="14"/>
  <c r="D641" i="14"/>
  <c r="C641" i="14"/>
  <c r="B641" i="14"/>
  <c r="A641" i="14"/>
  <c r="G640" i="14"/>
  <c r="F640" i="14"/>
  <c r="E640" i="14"/>
  <c r="D640" i="14"/>
  <c r="C640" i="14"/>
  <c r="B640" i="14"/>
  <c r="A640" i="14"/>
  <c r="G639" i="14"/>
  <c r="F639" i="14"/>
  <c r="E639" i="14"/>
  <c r="D639" i="14"/>
  <c r="C639" i="14"/>
  <c r="B639" i="14"/>
  <c r="A639" i="14"/>
  <c r="G638" i="14"/>
  <c r="F638" i="14"/>
  <c r="E638" i="14"/>
  <c r="D638" i="14"/>
  <c r="C638" i="14"/>
  <c r="B638" i="14"/>
  <c r="A638" i="14"/>
  <c r="G637" i="14"/>
  <c r="F637" i="14"/>
  <c r="E637" i="14"/>
  <c r="D637" i="14"/>
  <c r="C637" i="14"/>
  <c r="B637" i="14"/>
  <c r="A637" i="14"/>
  <c r="G636" i="14"/>
  <c r="F636" i="14"/>
  <c r="E636" i="14"/>
  <c r="D636" i="14"/>
  <c r="C636" i="14"/>
  <c r="B636" i="14"/>
  <c r="A636" i="14"/>
  <c r="G635" i="14"/>
  <c r="F635" i="14"/>
  <c r="E635" i="14"/>
  <c r="D635" i="14"/>
  <c r="C635" i="14"/>
  <c r="B635" i="14"/>
  <c r="A635" i="14"/>
  <c r="G634" i="14"/>
  <c r="F634" i="14"/>
  <c r="E634" i="14"/>
  <c r="D634" i="14"/>
  <c r="C634" i="14"/>
  <c r="B634" i="14"/>
  <c r="A634" i="14"/>
  <c r="G633" i="14"/>
  <c r="F633" i="14"/>
  <c r="E633" i="14"/>
  <c r="D633" i="14"/>
  <c r="C633" i="14"/>
  <c r="B633" i="14"/>
  <c r="A633" i="14"/>
  <c r="G632" i="14"/>
  <c r="F632" i="14"/>
  <c r="E632" i="14"/>
  <c r="D632" i="14"/>
  <c r="C632" i="14"/>
  <c r="B632" i="14"/>
  <c r="A632" i="14"/>
  <c r="G631" i="14"/>
  <c r="F631" i="14"/>
  <c r="E631" i="14"/>
  <c r="D631" i="14"/>
  <c r="C631" i="14"/>
  <c r="B631" i="14"/>
  <c r="A631" i="14"/>
  <c r="G630" i="14"/>
  <c r="F630" i="14"/>
  <c r="E630" i="14"/>
  <c r="D630" i="14"/>
  <c r="C630" i="14"/>
  <c r="B630" i="14"/>
  <c r="A630" i="14"/>
  <c r="G629" i="14"/>
  <c r="F629" i="14"/>
  <c r="E629" i="14"/>
  <c r="D629" i="14"/>
  <c r="C629" i="14"/>
  <c r="B629" i="14"/>
  <c r="A629" i="14"/>
  <c r="G628" i="14"/>
  <c r="F628" i="14"/>
  <c r="E628" i="14"/>
  <c r="D628" i="14"/>
  <c r="C628" i="14"/>
  <c r="B628" i="14"/>
  <c r="A628" i="14"/>
  <c r="G627" i="14"/>
  <c r="F627" i="14"/>
  <c r="E627" i="14"/>
  <c r="D627" i="14"/>
  <c r="C627" i="14"/>
  <c r="B627" i="14"/>
  <c r="A627" i="14"/>
  <c r="G626" i="14"/>
  <c r="F626" i="14"/>
  <c r="E626" i="14"/>
  <c r="D626" i="14"/>
  <c r="C626" i="14"/>
  <c r="B626" i="14"/>
  <c r="A626" i="14"/>
  <c r="G625" i="14"/>
  <c r="F625" i="14"/>
  <c r="E625" i="14"/>
  <c r="D625" i="14"/>
  <c r="C625" i="14"/>
  <c r="B625" i="14"/>
  <c r="A625" i="14"/>
  <c r="G624" i="14"/>
  <c r="F624" i="14"/>
  <c r="E624" i="14"/>
  <c r="D624" i="14"/>
  <c r="C624" i="14"/>
  <c r="B624" i="14"/>
  <c r="A624" i="14"/>
  <c r="G623" i="14"/>
  <c r="F623" i="14"/>
  <c r="E623" i="14"/>
  <c r="D623" i="14"/>
  <c r="C623" i="14"/>
  <c r="B623" i="14"/>
  <c r="A623" i="14"/>
  <c r="G622" i="14"/>
  <c r="F622" i="14"/>
  <c r="E622" i="14"/>
  <c r="D622" i="14"/>
  <c r="C622" i="14"/>
  <c r="B622" i="14"/>
  <c r="A622" i="14"/>
  <c r="G621" i="14"/>
  <c r="F621" i="14"/>
  <c r="E621" i="14"/>
  <c r="D621" i="14"/>
  <c r="C621" i="14"/>
  <c r="B621" i="14"/>
  <c r="A621" i="14"/>
  <c r="G620" i="14"/>
  <c r="F620" i="14"/>
  <c r="E620" i="14"/>
  <c r="D620" i="14"/>
  <c r="C620" i="14"/>
  <c r="B620" i="14"/>
  <c r="A620" i="14"/>
  <c r="G619" i="14"/>
  <c r="F619" i="14"/>
  <c r="E619" i="14"/>
  <c r="D619" i="14"/>
  <c r="C619" i="14"/>
  <c r="B619" i="14"/>
  <c r="A619" i="14"/>
  <c r="G618" i="14"/>
  <c r="F618" i="14"/>
  <c r="E618" i="14"/>
  <c r="D618" i="14"/>
  <c r="C618" i="14"/>
  <c r="B618" i="14"/>
  <c r="A618" i="14"/>
  <c r="G617" i="14"/>
  <c r="F617" i="14"/>
  <c r="E617" i="14"/>
  <c r="D617" i="14"/>
  <c r="C617" i="14"/>
  <c r="B617" i="14"/>
  <c r="A617" i="14"/>
  <c r="G616" i="14"/>
  <c r="F616" i="14"/>
  <c r="E616" i="14"/>
  <c r="D616" i="14"/>
  <c r="C616" i="14"/>
  <c r="B616" i="14"/>
  <c r="A616" i="14"/>
  <c r="G615" i="14"/>
  <c r="F615" i="14"/>
  <c r="E615" i="14"/>
  <c r="D615" i="14"/>
  <c r="C615" i="14"/>
  <c r="B615" i="14"/>
  <c r="A615" i="14"/>
  <c r="G614" i="14"/>
  <c r="F614" i="14"/>
  <c r="E614" i="14"/>
  <c r="D614" i="14"/>
  <c r="C614" i="14"/>
  <c r="B614" i="14"/>
  <c r="A614" i="14"/>
  <c r="G613" i="14"/>
  <c r="F613" i="14"/>
  <c r="E613" i="14"/>
  <c r="D613" i="14"/>
  <c r="C613" i="14"/>
  <c r="B613" i="14"/>
  <c r="A613" i="14"/>
  <c r="G612" i="14"/>
  <c r="F612" i="14"/>
  <c r="E612" i="14"/>
  <c r="D612" i="14"/>
  <c r="C612" i="14"/>
  <c r="B612" i="14"/>
  <c r="A612" i="14"/>
  <c r="G611" i="14"/>
  <c r="F611" i="14"/>
  <c r="E611" i="14"/>
  <c r="D611" i="14"/>
  <c r="C611" i="14"/>
  <c r="B611" i="14"/>
  <c r="A611" i="14"/>
  <c r="G610" i="14"/>
  <c r="F610" i="14"/>
  <c r="E610" i="14"/>
  <c r="D610" i="14"/>
  <c r="C610" i="14"/>
  <c r="B610" i="14"/>
  <c r="A610" i="14"/>
  <c r="G609" i="14"/>
  <c r="F609" i="14"/>
  <c r="E609" i="14"/>
  <c r="D609" i="14"/>
  <c r="C609" i="14"/>
  <c r="B609" i="14"/>
  <c r="A609" i="14"/>
  <c r="G608" i="14"/>
  <c r="F608" i="14"/>
  <c r="E608" i="14"/>
  <c r="D608" i="14"/>
  <c r="C608" i="14"/>
  <c r="B608" i="14"/>
  <c r="A608" i="14"/>
  <c r="G607" i="14"/>
  <c r="F607" i="14"/>
  <c r="E607" i="14"/>
  <c r="D607" i="14"/>
  <c r="C607" i="14"/>
  <c r="B607" i="14"/>
  <c r="A607" i="14"/>
  <c r="G606" i="14"/>
  <c r="F606" i="14"/>
  <c r="E606" i="14"/>
  <c r="D606" i="14"/>
  <c r="C606" i="14"/>
  <c r="B606" i="14"/>
  <c r="A606" i="14"/>
  <c r="G605" i="14"/>
  <c r="F605" i="14"/>
  <c r="E605" i="14"/>
  <c r="D605" i="14"/>
  <c r="C605" i="14"/>
  <c r="B605" i="14"/>
  <c r="A605" i="14"/>
  <c r="G604" i="14"/>
  <c r="F604" i="14"/>
  <c r="E604" i="14"/>
  <c r="D604" i="14"/>
  <c r="C604" i="14"/>
  <c r="B604" i="14"/>
  <c r="A604" i="14"/>
  <c r="G603" i="14"/>
  <c r="F603" i="14"/>
  <c r="E603" i="14"/>
  <c r="D603" i="14"/>
  <c r="C603" i="14"/>
  <c r="B603" i="14"/>
  <c r="A603" i="14"/>
  <c r="G602" i="14"/>
  <c r="F602" i="14"/>
  <c r="E602" i="14"/>
  <c r="D602" i="14"/>
  <c r="C602" i="14"/>
  <c r="B602" i="14"/>
  <c r="A602" i="14"/>
  <c r="G601" i="14"/>
  <c r="F601" i="14"/>
  <c r="E601" i="14"/>
  <c r="D601" i="14"/>
  <c r="C601" i="14"/>
  <c r="B601" i="14"/>
  <c r="A601" i="14"/>
  <c r="G600" i="14"/>
  <c r="F600" i="14"/>
  <c r="E600" i="14"/>
  <c r="D600" i="14"/>
  <c r="C600" i="14"/>
  <c r="B600" i="14"/>
  <c r="A600" i="14"/>
  <c r="G599" i="14"/>
  <c r="F599" i="14"/>
  <c r="E599" i="14"/>
  <c r="D599" i="14"/>
  <c r="C599" i="14"/>
  <c r="B599" i="14"/>
  <c r="A599" i="14"/>
  <c r="G598" i="14"/>
  <c r="F598" i="14"/>
  <c r="E598" i="14"/>
  <c r="D598" i="14"/>
  <c r="C598" i="14"/>
  <c r="B598" i="14"/>
  <c r="A598" i="14"/>
  <c r="G597" i="14"/>
  <c r="F597" i="14"/>
  <c r="E597" i="14"/>
  <c r="D597" i="14"/>
  <c r="C597" i="14"/>
  <c r="B597" i="14"/>
  <c r="A597" i="14"/>
  <c r="G596" i="14"/>
  <c r="F596" i="14"/>
  <c r="E596" i="14"/>
  <c r="D596" i="14"/>
  <c r="C596" i="14"/>
  <c r="B596" i="14"/>
  <c r="A596" i="14"/>
  <c r="G595" i="14"/>
  <c r="F595" i="14"/>
  <c r="E595" i="14"/>
  <c r="D595" i="14"/>
  <c r="C595" i="14"/>
  <c r="B595" i="14"/>
  <c r="A595" i="14"/>
  <c r="G594" i="14"/>
  <c r="F594" i="14"/>
  <c r="E594" i="14"/>
  <c r="D594" i="14"/>
  <c r="C594" i="14"/>
  <c r="B594" i="14"/>
  <c r="A594" i="14"/>
  <c r="G593" i="14"/>
  <c r="F593" i="14"/>
  <c r="E593" i="14"/>
  <c r="D593" i="14"/>
  <c r="C593" i="14"/>
  <c r="B593" i="14"/>
  <c r="A593" i="14"/>
  <c r="G592" i="14"/>
  <c r="F592" i="14"/>
  <c r="E592" i="14"/>
  <c r="D592" i="14"/>
  <c r="C592" i="14"/>
  <c r="B592" i="14"/>
  <c r="A592" i="14"/>
  <c r="G591" i="14"/>
  <c r="F591" i="14"/>
  <c r="E591" i="14"/>
  <c r="D591" i="14"/>
  <c r="C591" i="14"/>
  <c r="B591" i="14"/>
  <c r="A591" i="14"/>
  <c r="G590" i="14"/>
  <c r="F590" i="14"/>
  <c r="E590" i="14"/>
  <c r="D590" i="14"/>
  <c r="C590" i="14"/>
  <c r="B590" i="14"/>
  <c r="A590" i="14"/>
  <c r="G589" i="14"/>
  <c r="F589" i="14"/>
  <c r="E589" i="14"/>
  <c r="D589" i="14"/>
  <c r="C589" i="14"/>
  <c r="B589" i="14"/>
  <c r="A589" i="14"/>
  <c r="G588" i="14"/>
  <c r="F588" i="14"/>
  <c r="E588" i="14"/>
  <c r="D588" i="14"/>
  <c r="C588" i="14"/>
  <c r="B588" i="14"/>
  <c r="A588" i="14"/>
  <c r="G587" i="14"/>
  <c r="F587" i="14"/>
  <c r="E587" i="14"/>
  <c r="D587" i="14"/>
  <c r="C587" i="14"/>
  <c r="B587" i="14"/>
  <c r="A587" i="14"/>
  <c r="G586" i="14"/>
  <c r="F586" i="14"/>
  <c r="E586" i="14"/>
  <c r="D586" i="14"/>
  <c r="C586" i="14"/>
  <c r="B586" i="14"/>
  <c r="A586" i="14"/>
  <c r="G585" i="14"/>
  <c r="F585" i="14"/>
  <c r="E585" i="14"/>
  <c r="D585" i="14"/>
  <c r="C585" i="14"/>
  <c r="B585" i="14"/>
  <c r="A585" i="14"/>
  <c r="G584" i="14"/>
  <c r="F584" i="14"/>
  <c r="E584" i="14"/>
  <c r="D584" i="14"/>
  <c r="C584" i="14"/>
  <c r="B584" i="14"/>
  <c r="A584" i="14"/>
  <c r="G583" i="14"/>
  <c r="F583" i="14"/>
  <c r="E583" i="14"/>
  <c r="D583" i="14"/>
  <c r="C583" i="14"/>
  <c r="B583" i="14"/>
  <c r="A583" i="14"/>
  <c r="G582" i="14"/>
  <c r="F582" i="14"/>
  <c r="E582" i="14"/>
  <c r="D582" i="14"/>
  <c r="C582" i="14"/>
  <c r="B582" i="14"/>
  <c r="A582" i="14"/>
  <c r="G581" i="14"/>
  <c r="F581" i="14"/>
  <c r="E581" i="14"/>
  <c r="D581" i="14"/>
  <c r="C581" i="14"/>
  <c r="B581" i="14"/>
  <c r="A581" i="14"/>
  <c r="G580" i="14"/>
  <c r="F580" i="14"/>
  <c r="E580" i="14"/>
  <c r="D580" i="14"/>
  <c r="C580" i="14"/>
  <c r="B580" i="14"/>
  <c r="A580" i="14"/>
  <c r="G579" i="14"/>
  <c r="F579" i="14"/>
  <c r="E579" i="14"/>
  <c r="D579" i="14"/>
  <c r="C579" i="14"/>
  <c r="B579" i="14"/>
  <c r="A579" i="14"/>
  <c r="G578" i="14"/>
  <c r="F578" i="14"/>
  <c r="E578" i="14"/>
  <c r="D578" i="14"/>
  <c r="C578" i="14"/>
  <c r="B578" i="14"/>
  <c r="A578" i="14"/>
  <c r="G577" i="14"/>
  <c r="F577" i="14"/>
  <c r="E577" i="14"/>
  <c r="D577" i="14"/>
  <c r="C577" i="14"/>
  <c r="B577" i="14"/>
  <c r="A577" i="14"/>
  <c r="G576" i="14"/>
  <c r="F576" i="14"/>
  <c r="E576" i="14"/>
  <c r="D576" i="14"/>
  <c r="C576" i="14"/>
  <c r="B576" i="14"/>
  <c r="A576" i="14"/>
  <c r="G575" i="14"/>
  <c r="F575" i="14"/>
  <c r="E575" i="14"/>
  <c r="D575" i="14"/>
  <c r="C575" i="14"/>
  <c r="B575" i="14"/>
  <c r="A575" i="14"/>
  <c r="G574" i="14"/>
  <c r="F574" i="14"/>
  <c r="E574" i="14"/>
  <c r="D574" i="14"/>
  <c r="C574" i="14"/>
  <c r="B574" i="14"/>
  <c r="A574" i="14"/>
  <c r="G573" i="14"/>
  <c r="F573" i="14"/>
  <c r="E573" i="14"/>
  <c r="D573" i="14"/>
  <c r="C573" i="14"/>
  <c r="B573" i="14"/>
  <c r="A573" i="14"/>
  <c r="G572" i="14"/>
  <c r="F572" i="14"/>
  <c r="E572" i="14"/>
  <c r="D572" i="14"/>
  <c r="C572" i="14"/>
  <c r="B572" i="14"/>
  <c r="A572" i="14"/>
  <c r="G571" i="14"/>
  <c r="F571" i="14"/>
  <c r="E571" i="14"/>
  <c r="D571" i="14"/>
  <c r="C571" i="14"/>
  <c r="B571" i="14"/>
  <c r="A571" i="14"/>
  <c r="G570" i="14"/>
  <c r="F570" i="14"/>
  <c r="E570" i="14"/>
  <c r="D570" i="14"/>
  <c r="C570" i="14"/>
  <c r="B570" i="14"/>
  <c r="A570" i="14"/>
  <c r="G569" i="14"/>
  <c r="F569" i="14"/>
  <c r="E569" i="14"/>
  <c r="D569" i="14"/>
  <c r="C569" i="14"/>
  <c r="B569" i="14"/>
  <c r="A569" i="14"/>
  <c r="G568" i="14"/>
  <c r="F568" i="14"/>
  <c r="E568" i="14"/>
  <c r="D568" i="14"/>
  <c r="C568" i="14"/>
  <c r="B568" i="14"/>
  <c r="A568" i="14"/>
  <c r="G567" i="14"/>
  <c r="F567" i="14"/>
  <c r="E567" i="14"/>
  <c r="D567" i="14"/>
  <c r="C567" i="14"/>
  <c r="B567" i="14"/>
  <c r="A567" i="14"/>
  <c r="G566" i="14"/>
  <c r="F566" i="14"/>
  <c r="E566" i="14"/>
  <c r="D566" i="14"/>
  <c r="C566" i="14"/>
  <c r="B566" i="14"/>
  <c r="A566" i="14"/>
  <c r="G565" i="14"/>
  <c r="F565" i="14"/>
  <c r="E565" i="14"/>
  <c r="D565" i="14"/>
  <c r="C565" i="14"/>
  <c r="B565" i="14"/>
  <c r="A565" i="14"/>
  <c r="G564" i="14"/>
  <c r="F564" i="14"/>
  <c r="E564" i="14"/>
  <c r="D564" i="14"/>
  <c r="C564" i="14"/>
  <c r="B564" i="14"/>
  <c r="A564" i="14"/>
  <c r="G563" i="14"/>
  <c r="F563" i="14"/>
  <c r="E563" i="14"/>
  <c r="D563" i="14"/>
  <c r="C563" i="14"/>
  <c r="B563" i="14"/>
  <c r="A563" i="14"/>
  <c r="G562" i="14"/>
  <c r="F562" i="14"/>
  <c r="E562" i="14"/>
  <c r="D562" i="14"/>
  <c r="C562" i="14"/>
  <c r="B562" i="14"/>
  <c r="A562" i="14"/>
  <c r="G561" i="14"/>
  <c r="F561" i="14"/>
  <c r="E561" i="14"/>
  <c r="D561" i="14"/>
  <c r="C561" i="14"/>
  <c r="B561" i="14"/>
  <c r="A561" i="14"/>
  <c r="G560" i="14"/>
  <c r="F560" i="14"/>
  <c r="E560" i="14"/>
  <c r="D560" i="14"/>
  <c r="C560" i="14"/>
  <c r="B560" i="14"/>
  <c r="A560" i="14"/>
  <c r="G559" i="14"/>
  <c r="F559" i="14"/>
  <c r="E559" i="14"/>
  <c r="D559" i="14"/>
  <c r="C559" i="14"/>
  <c r="B559" i="14"/>
  <c r="A559" i="14"/>
  <c r="G558" i="14"/>
  <c r="F558" i="14"/>
  <c r="E558" i="14"/>
  <c r="D558" i="14"/>
  <c r="C558" i="14"/>
  <c r="B558" i="14"/>
  <c r="A558" i="14"/>
  <c r="G557" i="14"/>
  <c r="F557" i="14"/>
  <c r="E557" i="14"/>
  <c r="D557" i="14"/>
  <c r="C557" i="14"/>
  <c r="B557" i="14"/>
  <c r="A557" i="14"/>
  <c r="G556" i="14"/>
  <c r="F556" i="14"/>
  <c r="E556" i="14"/>
  <c r="D556" i="14"/>
  <c r="C556" i="14"/>
  <c r="B556" i="14"/>
  <c r="A556" i="14"/>
  <c r="G555" i="14"/>
  <c r="F555" i="14"/>
  <c r="E555" i="14"/>
  <c r="D555" i="14"/>
  <c r="C555" i="14"/>
  <c r="B555" i="14"/>
  <c r="A555" i="14"/>
  <c r="G554" i="14"/>
  <c r="F554" i="14"/>
  <c r="E554" i="14"/>
  <c r="D554" i="14"/>
  <c r="C554" i="14"/>
  <c r="B554" i="14"/>
  <c r="A554" i="14"/>
  <c r="G553" i="14"/>
  <c r="F553" i="14"/>
  <c r="E553" i="14"/>
  <c r="D553" i="14"/>
  <c r="C553" i="14"/>
  <c r="B553" i="14"/>
  <c r="A553" i="14"/>
  <c r="G552" i="14"/>
  <c r="F552" i="14"/>
  <c r="E552" i="14"/>
  <c r="D552" i="14"/>
  <c r="C552" i="14"/>
  <c r="B552" i="14"/>
  <c r="A552" i="14"/>
  <c r="G551" i="14"/>
  <c r="F551" i="14"/>
  <c r="E551" i="14"/>
  <c r="D551" i="14"/>
  <c r="C551" i="14"/>
  <c r="B551" i="14"/>
  <c r="A551" i="14"/>
  <c r="G550" i="14"/>
  <c r="F550" i="14"/>
  <c r="E550" i="14"/>
  <c r="D550" i="14"/>
  <c r="C550" i="14"/>
  <c r="B550" i="14"/>
  <c r="A550" i="14"/>
  <c r="G549" i="14"/>
  <c r="F549" i="14"/>
  <c r="E549" i="14"/>
  <c r="D549" i="14"/>
  <c r="C549" i="14"/>
  <c r="B549" i="14"/>
  <c r="A549" i="14"/>
  <c r="G548" i="14"/>
  <c r="F548" i="14"/>
  <c r="E548" i="14"/>
  <c r="D548" i="14"/>
  <c r="C548" i="14"/>
  <c r="B548" i="14"/>
  <c r="A548" i="14"/>
  <c r="G547" i="14"/>
  <c r="F547" i="14"/>
  <c r="E547" i="14"/>
  <c r="D547" i="14"/>
  <c r="C547" i="14"/>
  <c r="B547" i="14"/>
  <c r="A547" i="14"/>
  <c r="G546" i="14"/>
  <c r="F546" i="14"/>
  <c r="E546" i="14"/>
  <c r="D546" i="14"/>
  <c r="C546" i="14"/>
  <c r="B546" i="14"/>
  <c r="A546" i="14"/>
  <c r="G545" i="14"/>
  <c r="F545" i="14"/>
  <c r="E545" i="14"/>
  <c r="D545" i="14"/>
  <c r="C545" i="14"/>
  <c r="B545" i="14"/>
  <c r="A545" i="14"/>
  <c r="G544" i="14"/>
  <c r="F544" i="14"/>
  <c r="E544" i="14"/>
  <c r="D544" i="14"/>
  <c r="C544" i="14"/>
  <c r="B544" i="14"/>
  <c r="A544" i="14"/>
  <c r="G543" i="14"/>
  <c r="F543" i="14"/>
  <c r="E543" i="14"/>
  <c r="D543" i="14"/>
  <c r="C543" i="14"/>
  <c r="B543" i="14"/>
  <c r="A543" i="14"/>
  <c r="G542" i="14"/>
  <c r="F542" i="14"/>
  <c r="E542" i="14"/>
  <c r="D542" i="14"/>
  <c r="C542" i="14"/>
  <c r="B542" i="14"/>
  <c r="A542" i="14"/>
  <c r="G541" i="14"/>
  <c r="F541" i="14"/>
  <c r="E541" i="14"/>
  <c r="D541" i="14"/>
  <c r="C541" i="14"/>
  <c r="B541" i="14"/>
  <c r="A541" i="14"/>
  <c r="G540" i="14"/>
  <c r="F540" i="14"/>
  <c r="E540" i="14"/>
  <c r="D540" i="14"/>
  <c r="C540" i="14"/>
  <c r="B540" i="14"/>
  <c r="A540" i="14"/>
  <c r="G539" i="14"/>
  <c r="F539" i="14"/>
  <c r="E539" i="14"/>
  <c r="D539" i="14"/>
  <c r="C539" i="14"/>
  <c r="B539" i="14"/>
  <c r="A539" i="14"/>
  <c r="G538" i="14"/>
  <c r="F538" i="14"/>
  <c r="E538" i="14"/>
  <c r="D538" i="14"/>
  <c r="C538" i="14"/>
  <c r="B538" i="14"/>
  <c r="A538" i="14"/>
  <c r="G537" i="14"/>
  <c r="F537" i="14"/>
  <c r="E537" i="14"/>
  <c r="D537" i="14"/>
  <c r="C537" i="14"/>
  <c r="B537" i="14"/>
  <c r="A537" i="14"/>
  <c r="G536" i="14"/>
  <c r="F536" i="14"/>
  <c r="E536" i="14"/>
  <c r="D536" i="14"/>
  <c r="C536" i="14"/>
  <c r="B536" i="14"/>
  <c r="A536" i="14"/>
  <c r="G535" i="14"/>
  <c r="F535" i="14"/>
  <c r="E535" i="14"/>
  <c r="D535" i="14"/>
  <c r="C535" i="14"/>
  <c r="B535" i="14"/>
  <c r="A535" i="14"/>
  <c r="G534" i="14"/>
  <c r="F534" i="14"/>
  <c r="E534" i="14"/>
  <c r="D534" i="14"/>
  <c r="C534" i="14"/>
  <c r="B534" i="14"/>
  <c r="A534" i="14"/>
  <c r="G533" i="14"/>
  <c r="F533" i="14"/>
  <c r="E533" i="14"/>
  <c r="D533" i="14"/>
  <c r="C533" i="14"/>
  <c r="B533" i="14"/>
  <c r="A533" i="14"/>
  <c r="G532" i="14"/>
  <c r="F532" i="14"/>
  <c r="E532" i="14"/>
  <c r="D532" i="14"/>
  <c r="C532" i="14"/>
  <c r="B532" i="14"/>
  <c r="A532" i="14"/>
  <c r="G531" i="14"/>
  <c r="F531" i="14"/>
  <c r="E531" i="14"/>
  <c r="D531" i="14"/>
  <c r="C531" i="14"/>
  <c r="B531" i="14"/>
  <c r="A531" i="14"/>
  <c r="G530" i="14"/>
  <c r="F530" i="14"/>
  <c r="E530" i="14"/>
  <c r="D530" i="14"/>
  <c r="C530" i="14"/>
  <c r="B530" i="14"/>
  <c r="A530" i="14"/>
  <c r="G529" i="14"/>
  <c r="F529" i="14"/>
  <c r="E529" i="14"/>
  <c r="D529" i="14"/>
  <c r="C529" i="14"/>
  <c r="B529" i="14"/>
  <c r="A529" i="14"/>
  <c r="G528" i="14"/>
  <c r="F528" i="14"/>
  <c r="E528" i="14"/>
  <c r="D528" i="14"/>
  <c r="C528" i="14"/>
  <c r="B528" i="14"/>
  <c r="A528" i="14"/>
  <c r="G527" i="14"/>
  <c r="F527" i="14"/>
  <c r="E527" i="14"/>
  <c r="D527" i="14"/>
  <c r="C527" i="14"/>
  <c r="B527" i="14"/>
  <c r="A527" i="14"/>
  <c r="G526" i="14"/>
  <c r="F526" i="14"/>
  <c r="E526" i="14"/>
  <c r="D526" i="14"/>
  <c r="C526" i="14"/>
  <c r="B526" i="14"/>
  <c r="A526" i="14"/>
  <c r="G525" i="14"/>
  <c r="F525" i="14"/>
  <c r="E525" i="14"/>
  <c r="D525" i="14"/>
  <c r="C525" i="14"/>
  <c r="B525" i="14"/>
  <c r="A525" i="14"/>
  <c r="G524" i="14"/>
  <c r="F524" i="14"/>
  <c r="E524" i="14"/>
  <c r="D524" i="14"/>
  <c r="C524" i="14"/>
  <c r="B524" i="14"/>
  <c r="A524" i="14"/>
  <c r="G523" i="14"/>
  <c r="F523" i="14"/>
  <c r="E523" i="14"/>
  <c r="D523" i="14"/>
  <c r="C523" i="14"/>
  <c r="B523" i="14"/>
  <c r="A523" i="14"/>
  <c r="G522" i="14"/>
  <c r="F522" i="14"/>
  <c r="E522" i="14"/>
  <c r="D522" i="14"/>
  <c r="C522" i="14"/>
  <c r="B522" i="14"/>
  <c r="A522" i="14"/>
  <c r="G521" i="14"/>
  <c r="F521" i="14"/>
  <c r="E521" i="14"/>
  <c r="D521" i="14"/>
  <c r="C521" i="14"/>
  <c r="B521" i="14"/>
  <c r="A521" i="14"/>
  <c r="G520" i="14"/>
  <c r="F520" i="14"/>
  <c r="E520" i="14"/>
  <c r="D520" i="14"/>
  <c r="C520" i="14"/>
  <c r="B520" i="14"/>
  <c r="A520" i="14"/>
  <c r="G519" i="14"/>
  <c r="F519" i="14"/>
  <c r="E519" i="14"/>
  <c r="D519" i="14"/>
  <c r="C519" i="14"/>
  <c r="B519" i="14"/>
  <c r="A519" i="14"/>
  <c r="G518" i="14"/>
  <c r="F518" i="14"/>
  <c r="E518" i="14"/>
  <c r="D518" i="14"/>
  <c r="C518" i="14"/>
  <c r="B518" i="14"/>
  <c r="A518" i="14"/>
  <c r="G517" i="14"/>
  <c r="F517" i="14"/>
  <c r="E517" i="14"/>
  <c r="D517" i="14"/>
  <c r="C517" i="14"/>
  <c r="B517" i="14"/>
  <c r="A517" i="14"/>
  <c r="G516" i="14"/>
  <c r="F516" i="14"/>
  <c r="E516" i="14"/>
  <c r="D516" i="14"/>
  <c r="C516" i="14"/>
  <c r="B516" i="14"/>
  <c r="A516" i="14"/>
  <c r="G515" i="14"/>
  <c r="F515" i="14"/>
  <c r="E515" i="14"/>
  <c r="D515" i="14"/>
  <c r="C515" i="14"/>
  <c r="B515" i="14"/>
  <c r="A515" i="14"/>
  <c r="G514" i="14"/>
  <c r="F514" i="14"/>
  <c r="E514" i="14"/>
  <c r="D514" i="14"/>
  <c r="C514" i="14"/>
  <c r="B514" i="14"/>
  <c r="A514" i="14"/>
  <c r="G513" i="14"/>
  <c r="F513" i="14"/>
  <c r="E513" i="14"/>
  <c r="D513" i="14"/>
  <c r="C513" i="14"/>
  <c r="B513" i="14"/>
  <c r="A513" i="14"/>
  <c r="G512" i="14"/>
  <c r="F512" i="14"/>
  <c r="E512" i="14"/>
  <c r="D512" i="14"/>
  <c r="C512" i="14"/>
  <c r="B512" i="14"/>
  <c r="A512" i="14"/>
  <c r="G511" i="14"/>
  <c r="F511" i="14"/>
  <c r="E511" i="14"/>
  <c r="D511" i="14"/>
  <c r="C511" i="14"/>
  <c r="B511" i="14"/>
  <c r="A511" i="14"/>
  <c r="G510" i="14"/>
  <c r="F510" i="14"/>
  <c r="E510" i="14"/>
  <c r="D510" i="14"/>
  <c r="C510" i="14"/>
  <c r="B510" i="14"/>
  <c r="A510" i="14"/>
  <c r="G509" i="14"/>
  <c r="F509" i="14"/>
  <c r="E509" i="14"/>
  <c r="D509" i="14"/>
  <c r="C509" i="14"/>
  <c r="B509" i="14"/>
  <c r="A509" i="14"/>
  <c r="G508" i="14"/>
  <c r="F508" i="14"/>
  <c r="E508" i="14"/>
  <c r="D508" i="14"/>
  <c r="C508" i="14"/>
  <c r="B508" i="14"/>
  <c r="A508" i="14"/>
  <c r="G507" i="14"/>
  <c r="F507" i="14"/>
  <c r="E507" i="14"/>
  <c r="D507" i="14"/>
  <c r="C507" i="14"/>
  <c r="B507" i="14"/>
  <c r="A507" i="14"/>
  <c r="G506" i="14"/>
  <c r="F506" i="14"/>
  <c r="E506" i="14"/>
  <c r="D506" i="14"/>
  <c r="C506" i="14"/>
  <c r="B506" i="14"/>
  <c r="A506" i="14"/>
  <c r="G505" i="14"/>
  <c r="F505" i="14"/>
  <c r="E505" i="14"/>
  <c r="D505" i="14"/>
  <c r="C505" i="14"/>
  <c r="B505" i="14"/>
  <c r="A505" i="14"/>
  <c r="G504" i="14"/>
  <c r="F504" i="14"/>
  <c r="E504" i="14"/>
  <c r="D504" i="14"/>
  <c r="C504" i="14"/>
  <c r="B504" i="14"/>
  <c r="A504" i="14"/>
  <c r="G503" i="14"/>
  <c r="F503" i="14"/>
  <c r="E503" i="14"/>
  <c r="D503" i="14"/>
  <c r="C503" i="14"/>
  <c r="B503" i="14"/>
  <c r="A503" i="14"/>
  <c r="G502" i="14"/>
  <c r="F502" i="14"/>
  <c r="E502" i="14"/>
  <c r="D502" i="14"/>
  <c r="C502" i="14"/>
  <c r="B502" i="14"/>
  <c r="A502" i="14"/>
  <c r="G501" i="14"/>
  <c r="F501" i="14"/>
  <c r="E501" i="14"/>
  <c r="D501" i="14"/>
  <c r="C501" i="14"/>
  <c r="B501" i="14"/>
  <c r="A501" i="14"/>
  <c r="G500" i="14"/>
  <c r="F500" i="14"/>
  <c r="E500" i="14"/>
  <c r="D500" i="14"/>
  <c r="C500" i="14"/>
  <c r="B500" i="14"/>
  <c r="A500" i="14"/>
  <c r="G499" i="14"/>
  <c r="F499" i="14"/>
  <c r="E499" i="14"/>
  <c r="D499" i="14"/>
  <c r="C499" i="14"/>
  <c r="B499" i="14"/>
  <c r="A499" i="14"/>
  <c r="G498" i="14"/>
  <c r="F498" i="14"/>
  <c r="E498" i="14"/>
  <c r="D498" i="14"/>
  <c r="C498" i="14"/>
  <c r="B498" i="14"/>
  <c r="A498" i="14"/>
  <c r="G497" i="14"/>
  <c r="F497" i="14"/>
  <c r="E497" i="14"/>
  <c r="D497" i="14"/>
  <c r="C497" i="14"/>
  <c r="B497" i="14"/>
  <c r="A497" i="14"/>
  <c r="G496" i="14"/>
  <c r="F496" i="14"/>
  <c r="E496" i="14"/>
  <c r="D496" i="14"/>
  <c r="C496" i="14"/>
  <c r="B496" i="14"/>
  <c r="A496" i="14"/>
  <c r="G495" i="14"/>
  <c r="F495" i="14"/>
  <c r="E495" i="14"/>
  <c r="D495" i="14"/>
  <c r="C495" i="14"/>
  <c r="B495" i="14"/>
  <c r="A495" i="14"/>
  <c r="G494" i="14"/>
  <c r="F494" i="14"/>
  <c r="E494" i="14"/>
  <c r="D494" i="14"/>
  <c r="C494" i="14"/>
  <c r="B494" i="14"/>
  <c r="A494" i="14"/>
  <c r="G493" i="14"/>
  <c r="F493" i="14"/>
  <c r="E493" i="14"/>
  <c r="D493" i="14"/>
  <c r="C493" i="14"/>
  <c r="B493" i="14"/>
  <c r="A493" i="14"/>
  <c r="G492" i="14"/>
  <c r="F492" i="14"/>
  <c r="E492" i="14"/>
  <c r="D492" i="14"/>
  <c r="C492" i="14"/>
  <c r="B492" i="14"/>
  <c r="A492" i="14"/>
  <c r="G491" i="14"/>
  <c r="F491" i="14"/>
  <c r="E491" i="14"/>
  <c r="D491" i="14"/>
  <c r="C491" i="14"/>
  <c r="B491" i="14"/>
  <c r="A491" i="14"/>
  <c r="G490" i="14"/>
  <c r="F490" i="14"/>
  <c r="E490" i="14"/>
  <c r="D490" i="14"/>
  <c r="C490" i="14"/>
  <c r="B490" i="14"/>
  <c r="A490" i="14"/>
  <c r="G489" i="14"/>
  <c r="F489" i="14"/>
  <c r="E489" i="14"/>
  <c r="D489" i="14"/>
  <c r="C489" i="14"/>
  <c r="B489" i="14"/>
  <c r="A489" i="14"/>
  <c r="G488" i="14"/>
  <c r="F488" i="14"/>
  <c r="E488" i="14"/>
  <c r="D488" i="14"/>
  <c r="C488" i="14"/>
  <c r="B488" i="14"/>
  <c r="A488" i="14"/>
  <c r="G487" i="14"/>
  <c r="F487" i="14"/>
  <c r="E487" i="14"/>
  <c r="D487" i="14"/>
  <c r="C487" i="14"/>
  <c r="B487" i="14"/>
  <c r="A487" i="14"/>
  <c r="G486" i="14"/>
  <c r="F486" i="14"/>
  <c r="E486" i="14"/>
  <c r="D486" i="14"/>
  <c r="C486" i="14"/>
  <c r="B486" i="14"/>
  <c r="A486" i="14"/>
  <c r="G485" i="14"/>
  <c r="F485" i="14"/>
  <c r="E485" i="14"/>
  <c r="D485" i="14"/>
  <c r="C485" i="14"/>
  <c r="B485" i="14"/>
  <c r="A485" i="14"/>
  <c r="G484" i="14"/>
  <c r="F484" i="14"/>
  <c r="E484" i="14"/>
  <c r="D484" i="14"/>
  <c r="C484" i="14"/>
  <c r="B484" i="14"/>
  <c r="A484" i="14"/>
  <c r="G483" i="14"/>
  <c r="F483" i="14"/>
  <c r="E483" i="14"/>
  <c r="D483" i="14"/>
  <c r="C483" i="14"/>
  <c r="B483" i="14"/>
  <c r="A483" i="14"/>
  <c r="G482" i="14"/>
  <c r="F482" i="14"/>
  <c r="E482" i="14"/>
  <c r="D482" i="14"/>
  <c r="C482" i="14"/>
  <c r="B482" i="14"/>
  <c r="A482" i="14"/>
  <c r="G481" i="14"/>
  <c r="F481" i="14"/>
  <c r="E481" i="14"/>
  <c r="D481" i="14"/>
  <c r="C481" i="14"/>
  <c r="B481" i="14"/>
  <c r="A481" i="14"/>
  <c r="G480" i="14"/>
  <c r="F480" i="14"/>
  <c r="E480" i="14"/>
  <c r="D480" i="14"/>
  <c r="C480" i="14"/>
  <c r="B480" i="14"/>
  <c r="A480" i="14"/>
  <c r="G479" i="14"/>
  <c r="F479" i="14"/>
  <c r="E479" i="14"/>
  <c r="D479" i="14"/>
  <c r="C479" i="14"/>
  <c r="B479" i="14"/>
  <c r="A479" i="14"/>
  <c r="G478" i="14"/>
  <c r="F478" i="14"/>
  <c r="E478" i="14"/>
  <c r="D478" i="14"/>
  <c r="C478" i="14"/>
  <c r="B478" i="14"/>
  <c r="A478" i="14"/>
  <c r="G477" i="14"/>
  <c r="F477" i="14"/>
  <c r="E477" i="14"/>
  <c r="D477" i="14"/>
  <c r="C477" i="14"/>
  <c r="B477" i="14"/>
  <c r="A477" i="14"/>
  <c r="G476" i="14"/>
  <c r="F476" i="14"/>
  <c r="E476" i="14"/>
  <c r="D476" i="14"/>
  <c r="C476" i="14"/>
  <c r="B476" i="14"/>
  <c r="A476" i="14"/>
  <c r="G475" i="14"/>
  <c r="F475" i="14"/>
  <c r="E475" i="14"/>
  <c r="D475" i="14"/>
  <c r="C475" i="14"/>
  <c r="B475" i="14"/>
  <c r="A475" i="14"/>
  <c r="G474" i="14"/>
  <c r="F474" i="14"/>
  <c r="E474" i="14"/>
  <c r="D474" i="14"/>
  <c r="C474" i="14"/>
  <c r="B474" i="14"/>
  <c r="A474" i="14"/>
  <c r="G473" i="14"/>
  <c r="F473" i="14"/>
  <c r="E473" i="14"/>
  <c r="D473" i="14"/>
  <c r="C473" i="14"/>
  <c r="B473" i="14"/>
  <c r="A473" i="14"/>
  <c r="G472" i="14"/>
  <c r="F472" i="14"/>
  <c r="E472" i="14"/>
  <c r="D472" i="14"/>
  <c r="C472" i="14"/>
  <c r="B472" i="14"/>
  <c r="A472" i="14"/>
  <c r="G471" i="14"/>
  <c r="F471" i="14"/>
  <c r="E471" i="14"/>
  <c r="D471" i="14"/>
  <c r="C471" i="14"/>
  <c r="B471" i="14"/>
  <c r="A471" i="14"/>
  <c r="G470" i="14"/>
  <c r="F470" i="14"/>
  <c r="E470" i="14"/>
  <c r="D470" i="14"/>
  <c r="C470" i="14"/>
  <c r="B470" i="14"/>
  <c r="A470" i="14"/>
  <c r="G469" i="14"/>
  <c r="F469" i="14"/>
  <c r="E469" i="14"/>
  <c r="D469" i="14"/>
  <c r="C469" i="14"/>
  <c r="B469" i="14"/>
  <c r="A469" i="14"/>
  <c r="G468" i="14"/>
  <c r="F468" i="14"/>
  <c r="E468" i="14"/>
  <c r="D468" i="14"/>
  <c r="C468" i="14"/>
  <c r="B468" i="14"/>
  <c r="A468" i="14"/>
  <c r="G467" i="14"/>
  <c r="F467" i="14"/>
  <c r="E467" i="14"/>
  <c r="D467" i="14"/>
  <c r="C467" i="14"/>
  <c r="B467" i="14"/>
  <c r="A467" i="14"/>
  <c r="G466" i="14"/>
  <c r="F466" i="14"/>
  <c r="E466" i="14"/>
  <c r="D466" i="14"/>
  <c r="C466" i="14"/>
  <c r="B466" i="14"/>
  <c r="A466" i="14"/>
  <c r="G465" i="14"/>
  <c r="F465" i="14"/>
  <c r="E465" i="14"/>
  <c r="D465" i="14"/>
  <c r="C465" i="14"/>
  <c r="B465" i="14"/>
  <c r="A465" i="14"/>
  <c r="G464" i="14"/>
  <c r="F464" i="14"/>
  <c r="E464" i="14"/>
  <c r="D464" i="14"/>
  <c r="C464" i="14"/>
  <c r="B464" i="14"/>
  <c r="A464" i="14"/>
  <c r="G463" i="14"/>
  <c r="F463" i="14"/>
  <c r="E463" i="14"/>
  <c r="D463" i="14"/>
  <c r="C463" i="14"/>
  <c r="B463" i="14"/>
  <c r="A463" i="14"/>
  <c r="G462" i="14"/>
  <c r="F462" i="14"/>
  <c r="E462" i="14"/>
  <c r="D462" i="14"/>
  <c r="C462" i="14"/>
  <c r="B462" i="14"/>
  <c r="A462" i="14"/>
  <c r="G461" i="14"/>
  <c r="F461" i="14"/>
  <c r="E461" i="14"/>
  <c r="D461" i="14"/>
  <c r="C461" i="14"/>
  <c r="B461" i="14"/>
  <c r="A461" i="14"/>
  <c r="G460" i="14"/>
  <c r="F460" i="14"/>
  <c r="E460" i="14"/>
  <c r="D460" i="14"/>
  <c r="C460" i="14"/>
  <c r="B460" i="14"/>
  <c r="A460" i="14"/>
  <c r="G459" i="14"/>
  <c r="F459" i="14"/>
  <c r="E459" i="14"/>
  <c r="D459" i="14"/>
  <c r="C459" i="14"/>
  <c r="B459" i="14"/>
  <c r="A459" i="14"/>
  <c r="G458" i="14"/>
  <c r="F458" i="14"/>
  <c r="E458" i="14"/>
  <c r="D458" i="14"/>
  <c r="C458" i="14"/>
  <c r="B458" i="14"/>
  <c r="A458" i="14"/>
  <c r="G457" i="14"/>
  <c r="F457" i="14"/>
  <c r="E457" i="14"/>
  <c r="D457" i="14"/>
  <c r="C457" i="14"/>
  <c r="B457" i="14"/>
  <c r="A457" i="14"/>
  <c r="G456" i="14"/>
  <c r="F456" i="14"/>
  <c r="E456" i="14"/>
  <c r="D456" i="14"/>
  <c r="C456" i="14"/>
  <c r="B456" i="14"/>
  <c r="A456" i="14"/>
  <c r="G455" i="14"/>
  <c r="F455" i="14"/>
  <c r="E455" i="14"/>
  <c r="D455" i="14"/>
  <c r="C455" i="14"/>
  <c r="B455" i="14"/>
  <c r="A455" i="14"/>
  <c r="G454" i="14"/>
  <c r="F454" i="14"/>
  <c r="E454" i="14"/>
  <c r="D454" i="14"/>
  <c r="C454" i="14"/>
  <c r="B454" i="14"/>
  <c r="A454" i="14"/>
  <c r="G453" i="14"/>
  <c r="F453" i="14"/>
  <c r="E453" i="14"/>
  <c r="D453" i="14"/>
  <c r="C453" i="14"/>
  <c r="B453" i="14"/>
  <c r="A453" i="14"/>
  <c r="G452" i="14"/>
  <c r="F452" i="14"/>
  <c r="E452" i="14"/>
  <c r="D452" i="14"/>
  <c r="C452" i="14"/>
  <c r="B452" i="14"/>
  <c r="A452" i="14"/>
  <c r="G451" i="14"/>
  <c r="F451" i="14"/>
  <c r="E451" i="14"/>
  <c r="D451" i="14"/>
  <c r="C451" i="14"/>
  <c r="B451" i="14"/>
  <c r="A451" i="14"/>
  <c r="G450" i="14"/>
  <c r="F450" i="14"/>
  <c r="E450" i="14"/>
  <c r="D450" i="14"/>
  <c r="C450" i="14"/>
  <c r="B450" i="14"/>
  <c r="A450" i="14"/>
  <c r="G449" i="14"/>
  <c r="F449" i="14"/>
  <c r="E449" i="14"/>
  <c r="D449" i="14"/>
  <c r="C449" i="14"/>
  <c r="B449" i="14"/>
  <c r="A449" i="14"/>
  <c r="G448" i="14"/>
  <c r="F448" i="14"/>
  <c r="E448" i="14"/>
  <c r="D448" i="14"/>
  <c r="C448" i="14"/>
  <c r="B448" i="14"/>
  <c r="A448" i="14"/>
  <c r="G447" i="14"/>
  <c r="F447" i="14"/>
  <c r="E447" i="14"/>
  <c r="D447" i="14"/>
  <c r="C447" i="14"/>
  <c r="B447" i="14"/>
  <c r="A447" i="14"/>
  <c r="G446" i="14"/>
  <c r="F446" i="14"/>
  <c r="E446" i="14"/>
  <c r="D446" i="14"/>
  <c r="C446" i="14"/>
  <c r="B446" i="14"/>
  <c r="A446" i="14"/>
  <c r="G445" i="14"/>
  <c r="F445" i="14"/>
  <c r="E445" i="14"/>
  <c r="D445" i="14"/>
  <c r="C445" i="14"/>
  <c r="B445" i="14"/>
  <c r="A445" i="14"/>
  <c r="G444" i="14"/>
  <c r="F444" i="14"/>
  <c r="E444" i="14"/>
  <c r="D444" i="14"/>
  <c r="C444" i="14"/>
  <c r="B444" i="14"/>
  <c r="A444" i="14"/>
  <c r="G443" i="14"/>
  <c r="F443" i="14"/>
  <c r="E443" i="14"/>
  <c r="D443" i="14"/>
  <c r="C443" i="14"/>
  <c r="B443" i="14"/>
  <c r="A443" i="14"/>
  <c r="G442" i="14"/>
  <c r="F442" i="14"/>
  <c r="E442" i="14"/>
  <c r="D442" i="14"/>
  <c r="C442" i="14"/>
  <c r="B442" i="14"/>
  <c r="A442" i="14"/>
  <c r="G441" i="14"/>
  <c r="F441" i="14"/>
  <c r="E441" i="14"/>
  <c r="D441" i="14"/>
  <c r="C441" i="14"/>
  <c r="B441" i="14"/>
  <c r="A441" i="14"/>
  <c r="G440" i="14"/>
  <c r="F440" i="14"/>
  <c r="E440" i="14"/>
  <c r="D440" i="14"/>
  <c r="C440" i="14"/>
  <c r="B440" i="14"/>
  <c r="A440" i="14"/>
  <c r="G439" i="14"/>
  <c r="F439" i="14"/>
  <c r="E439" i="14"/>
  <c r="D439" i="14"/>
  <c r="C439" i="14"/>
  <c r="B439" i="14"/>
  <c r="A439" i="14"/>
  <c r="G438" i="14"/>
  <c r="F438" i="14"/>
  <c r="E438" i="14"/>
  <c r="D438" i="14"/>
  <c r="C438" i="14"/>
  <c r="B438" i="14"/>
  <c r="A438" i="14"/>
  <c r="G437" i="14"/>
  <c r="F437" i="14"/>
  <c r="E437" i="14"/>
  <c r="D437" i="14"/>
  <c r="C437" i="14"/>
  <c r="B437" i="14"/>
  <c r="A437" i="14"/>
  <c r="G436" i="14"/>
  <c r="F436" i="14"/>
  <c r="E436" i="14"/>
  <c r="D436" i="14"/>
  <c r="C436" i="14"/>
  <c r="B436" i="14"/>
  <c r="A436" i="14"/>
  <c r="G435" i="14"/>
  <c r="F435" i="14"/>
  <c r="E435" i="14"/>
  <c r="D435" i="14"/>
  <c r="C435" i="14"/>
  <c r="B435" i="14"/>
  <c r="A435" i="14"/>
  <c r="G434" i="14"/>
  <c r="F434" i="14"/>
  <c r="E434" i="14"/>
  <c r="D434" i="14"/>
  <c r="C434" i="14"/>
  <c r="B434" i="14"/>
  <c r="A434" i="14"/>
  <c r="G433" i="14"/>
  <c r="F433" i="14"/>
  <c r="E433" i="14"/>
  <c r="D433" i="14"/>
  <c r="C433" i="14"/>
  <c r="B433" i="14"/>
  <c r="A433" i="14"/>
  <c r="G432" i="14"/>
  <c r="F432" i="14"/>
  <c r="E432" i="14"/>
  <c r="D432" i="14"/>
  <c r="C432" i="14"/>
  <c r="B432" i="14"/>
  <c r="A432" i="14"/>
  <c r="G431" i="14"/>
  <c r="F431" i="14"/>
  <c r="E431" i="14"/>
  <c r="D431" i="14"/>
  <c r="C431" i="14"/>
  <c r="B431" i="14"/>
  <c r="A431" i="14"/>
  <c r="G430" i="14"/>
  <c r="F430" i="14"/>
  <c r="E430" i="14"/>
  <c r="D430" i="14"/>
  <c r="C430" i="14"/>
  <c r="B430" i="14"/>
  <c r="A430" i="14"/>
  <c r="G429" i="14"/>
  <c r="F429" i="14"/>
  <c r="E429" i="14"/>
  <c r="D429" i="14"/>
  <c r="C429" i="14"/>
  <c r="B429" i="14"/>
  <c r="A429" i="14"/>
  <c r="G428" i="14"/>
  <c r="F428" i="14"/>
  <c r="E428" i="14"/>
  <c r="D428" i="14"/>
  <c r="C428" i="14"/>
  <c r="B428" i="14"/>
  <c r="A428" i="14"/>
  <c r="G427" i="14"/>
  <c r="F427" i="14"/>
  <c r="E427" i="14"/>
  <c r="D427" i="14"/>
  <c r="C427" i="14"/>
  <c r="B427" i="14"/>
  <c r="A427" i="14"/>
  <c r="G426" i="14"/>
  <c r="F426" i="14"/>
  <c r="E426" i="14"/>
  <c r="D426" i="14"/>
  <c r="C426" i="14"/>
  <c r="B426" i="14"/>
  <c r="A426" i="14"/>
  <c r="G425" i="14"/>
  <c r="F425" i="14"/>
  <c r="E425" i="14"/>
  <c r="D425" i="14"/>
  <c r="C425" i="14"/>
  <c r="B425" i="14"/>
  <c r="A425" i="14"/>
  <c r="G424" i="14"/>
  <c r="F424" i="14"/>
  <c r="E424" i="14"/>
  <c r="D424" i="14"/>
  <c r="C424" i="14"/>
  <c r="B424" i="14"/>
  <c r="A424" i="14"/>
  <c r="G423" i="14"/>
  <c r="F423" i="14"/>
  <c r="E423" i="14"/>
  <c r="D423" i="14"/>
  <c r="C423" i="14"/>
  <c r="B423" i="14"/>
  <c r="A423" i="14"/>
  <c r="G422" i="14"/>
  <c r="F422" i="14"/>
  <c r="E422" i="14"/>
  <c r="D422" i="14"/>
  <c r="C422" i="14"/>
  <c r="B422" i="14"/>
  <c r="A422" i="14"/>
  <c r="G421" i="14"/>
  <c r="F421" i="14"/>
  <c r="E421" i="14"/>
  <c r="D421" i="14"/>
  <c r="C421" i="14"/>
  <c r="B421" i="14"/>
  <c r="A421" i="14"/>
  <c r="G420" i="14"/>
  <c r="F420" i="14"/>
  <c r="E420" i="14"/>
  <c r="D420" i="14"/>
  <c r="C420" i="14"/>
  <c r="B420" i="14"/>
  <c r="A420" i="14"/>
  <c r="G419" i="14"/>
  <c r="F419" i="14"/>
  <c r="E419" i="14"/>
  <c r="D419" i="14"/>
  <c r="C419" i="14"/>
  <c r="B419" i="14"/>
  <c r="A419" i="14"/>
  <c r="G418" i="14"/>
  <c r="F418" i="14"/>
  <c r="E418" i="14"/>
  <c r="D418" i="14"/>
  <c r="C418" i="14"/>
  <c r="B418" i="14"/>
  <c r="A418" i="14"/>
  <c r="G417" i="14"/>
  <c r="F417" i="14"/>
  <c r="E417" i="14"/>
  <c r="D417" i="14"/>
  <c r="C417" i="14"/>
  <c r="B417" i="14"/>
  <c r="A417" i="14"/>
  <c r="G416" i="14"/>
  <c r="F416" i="14"/>
  <c r="E416" i="14"/>
  <c r="D416" i="14"/>
  <c r="C416" i="14"/>
  <c r="B416" i="14"/>
  <c r="A416" i="14"/>
  <c r="G415" i="14"/>
  <c r="F415" i="14"/>
  <c r="E415" i="14"/>
  <c r="D415" i="14"/>
  <c r="C415" i="14"/>
  <c r="B415" i="14"/>
  <c r="A415" i="14"/>
  <c r="G414" i="14"/>
  <c r="F414" i="14"/>
  <c r="E414" i="14"/>
  <c r="D414" i="14"/>
  <c r="C414" i="14"/>
  <c r="B414" i="14"/>
  <c r="A414" i="14"/>
  <c r="G413" i="14"/>
  <c r="F413" i="14"/>
  <c r="E413" i="14"/>
  <c r="D413" i="14"/>
  <c r="C413" i="14"/>
  <c r="B413" i="14"/>
  <c r="A413" i="14"/>
  <c r="G412" i="14"/>
  <c r="F412" i="14"/>
  <c r="E412" i="14"/>
  <c r="D412" i="14"/>
  <c r="C412" i="14"/>
  <c r="B412" i="14"/>
  <c r="A412" i="14"/>
  <c r="G411" i="14"/>
  <c r="F411" i="14"/>
  <c r="E411" i="14"/>
  <c r="D411" i="14"/>
  <c r="C411" i="14"/>
  <c r="B411" i="14"/>
  <c r="A411" i="14"/>
  <c r="G410" i="14"/>
  <c r="F410" i="14"/>
  <c r="E410" i="14"/>
  <c r="D410" i="14"/>
  <c r="C410" i="14"/>
  <c r="B410" i="14"/>
  <c r="A410" i="14"/>
  <c r="G409" i="14"/>
  <c r="F409" i="14"/>
  <c r="E409" i="14"/>
  <c r="D409" i="14"/>
  <c r="C409" i="14"/>
  <c r="B409" i="14"/>
  <c r="A409" i="14"/>
  <c r="G408" i="14"/>
  <c r="F408" i="14"/>
  <c r="E408" i="14"/>
  <c r="D408" i="14"/>
  <c r="C408" i="14"/>
  <c r="B408" i="14"/>
  <c r="A408" i="14"/>
  <c r="G407" i="14"/>
  <c r="F407" i="14"/>
  <c r="E407" i="14"/>
  <c r="D407" i="14"/>
  <c r="C407" i="14"/>
  <c r="B407" i="14"/>
  <c r="A407" i="14"/>
  <c r="G406" i="14"/>
  <c r="F406" i="14"/>
  <c r="E406" i="14"/>
  <c r="D406" i="14"/>
  <c r="C406" i="14"/>
  <c r="B406" i="14"/>
  <c r="A406" i="14"/>
  <c r="G405" i="14"/>
  <c r="F405" i="14"/>
  <c r="E405" i="14"/>
  <c r="D405" i="14"/>
  <c r="C405" i="14"/>
  <c r="B405" i="14"/>
  <c r="A405" i="14"/>
  <c r="G404" i="14"/>
  <c r="F404" i="14"/>
  <c r="E404" i="14"/>
  <c r="D404" i="14"/>
  <c r="C404" i="14"/>
  <c r="B404" i="14"/>
  <c r="A404" i="14"/>
  <c r="G403" i="14"/>
  <c r="F403" i="14"/>
  <c r="E403" i="14"/>
  <c r="D403" i="14"/>
  <c r="C403" i="14"/>
  <c r="B403" i="14"/>
  <c r="A403" i="14"/>
  <c r="G402" i="14"/>
  <c r="F402" i="14"/>
  <c r="E402" i="14"/>
  <c r="D402" i="14"/>
  <c r="C402" i="14"/>
  <c r="B402" i="14"/>
  <c r="A402" i="14"/>
  <c r="G401" i="14"/>
  <c r="F401" i="14"/>
  <c r="E401" i="14"/>
  <c r="D401" i="14"/>
  <c r="C401" i="14"/>
  <c r="B401" i="14"/>
  <c r="A401" i="14"/>
  <c r="G400" i="14"/>
  <c r="F400" i="14"/>
  <c r="E400" i="14"/>
  <c r="D400" i="14"/>
  <c r="C400" i="14"/>
  <c r="B400" i="14"/>
  <c r="A400" i="14"/>
  <c r="G399" i="14"/>
  <c r="F399" i="14"/>
  <c r="E399" i="14"/>
  <c r="D399" i="14"/>
  <c r="C399" i="14"/>
  <c r="B399" i="14"/>
  <c r="A399" i="14"/>
  <c r="G398" i="14"/>
  <c r="F398" i="14"/>
  <c r="E398" i="14"/>
  <c r="D398" i="14"/>
  <c r="C398" i="14"/>
  <c r="B398" i="14"/>
  <c r="A398" i="14"/>
  <c r="G397" i="14"/>
  <c r="F397" i="14"/>
  <c r="E397" i="14"/>
  <c r="D397" i="14"/>
  <c r="C397" i="14"/>
  <c r="B397" i="14"/>
  <c r="A397" i="14"/>
  <c r="G396" i="14"/>
  <c r="F396" i="14"/>
  <c r="E396" i="14"/>
  <c r="D396" i="14"/>
  <c r="C396" i="14"/>
  <c r="B396" i="14"/>
  <c r="A396" i="14"/>
  <c r="G395" i="14"/>
  <c r="F395" i="14"/>
  <c r="E395" i="14"/>
  <c r="D395" i="14"/>
  <c r="C395" i="14"/>
  <c r="B395" i="14"/>
  <c r="A395" i="14"/>
  <c r="G394" i="14"/>
  <c r="F394" i="14"/>
  <c r="E394" i="14"/>
  <c r="D394" i="14"/>
  <c r="C394" i="14"/>
  <c r="B394" i="14"/>
  <c r="A394" i="14"/>
  <c r="G393" i="14"/>
  <c r="F393" i="14"/>
  <c r="E393" i="14"/>
  <c r="D393" i="14"/>
  <c r="C393" i="14"/>
  <c r="B393" i="14"/>
  <c r="A393" i="14"/>
  <c r="G392" i="14"/>
  <c r="F392" i="14"/>
  <c r="E392" i="14"/>
  <c r="D392" i="14"/>
  <c r="C392" i="14"/>
  <c r="B392" i="14"/>
  <c r="A392" i="14"/>
  <c r="G391" i="14"/>
  <c r="F391" i="14"/>
  <c r="E391" i="14"/>
  <c r="D391" i="14"/>
  <c r="C391" i="14"/>
  <c r="B391" i="14"/>
  <c r="A391" i="14"/>
  <c r="G390" i="14"/>
  <c r="F390" i="14"/>
  <c r="E390" i="14"/>
  <c r="D390" i="14"/>
  <c r="C390" i="14"/>
  <c r="B390" i="14"/>
  <c r="A390" i="14"/>
  <c r="G389" i="14"/>
  <c r="F389" i="14"/>
  <c r="E389" i="14"/>
  <c r="D389" i="14"/>
  <c r="C389" i="14"/>
  <c r="B389" i="14"/>
  <c r="A389" i="14"/>
  <c r="G388" i="14"/>
  <c r="F388" i="14"/>
  <c r="E388" i="14"/>
  <c r="D388" i="14"/>
  <c r="C388" i="14"/>
  <c r="B388" i="14"/>
  <c r="A388" i="14"/>
  <c r="G387" i="14"/>
  <c r="F387" i="14"/>
  <c r="E387" i="14"/>
  <c r="D387" i="14"/>
  <c r="C387" i="14"/>
  <c r="B387" i="14"/>
  <c r="A387" i="14"/>
  <c r="G386" i="14"/>
  <c r="F386" i="14"/>
  <c r="E386" i="14"/>
  <c r="D386" i="14"/>
  <c r="C386" i="14"/>
  <c r="B386" i="14"/>
  <c r="A386" i="14"/>
  <c r="G385" i="14"/>
  <c r="F385" i="14"/>
  <c r="E385" i="14"/>
  <c r="D385" i="14"/>
  <c r="C385" i="14"/>
  <c r="B385" i="14"/>
  <c r="A385" i="14"/>
  <c r="G384" i="14"/>
  <c r="F384" i="14"/>
  <c r="E384" i="14"/>
  <c r="D384" i="14"/>
  <c r="C384" i="14"/>
  <c r="B384" i="14"/>
  <c r="A384" i="14"/>
  <c r="G383" i="14"/>
  <c r="F383" i="14"/>
  <c r="E383" i="14"/>
  <c r="D383" i="14"/>
  <c r="C383" i="14"/>
  <c r="B383" i="14"/>
  <c r="A383" i="14"/>
  <c r="G382" i="14"/>
  <c r="F382" i="14"/>
  <c r="E382" i="14"/>
  <c r="D382" i="14"/>
  <c r="C382" i="14"/>
  <c r="B382" i="14"/>
  <c r="A382" i="14"/>
  <c r="G381" i="14"/>
  <c r="F381" i="14"/>
  <c r="E381" i="14"/>
  <c r="D381" i="14"/>
  <c r="C381" i="14"/>
  <c r="B381" i="14"/>
  <c r="A381" i="14"/>
  <c r="G380" i="14"/>
  <c r="F380" i="14"/>
  <c r="E380" i="14"/>
  <c r="D380" i="14"/>
  <c r="C380" i="14"/>
  <c r="B380" i="14"/>
  <c r="A380" i="14"/>
  <c r="G379" i="14"/>
  <c r="F379" i="14"/>
  <c r="E379" i="14"/>
  <c r="D379" i="14"/>
  <c r="C379" i="14"/>
  <c r="B379" i="14"/>
  <c r="A379" i="14"/>
  <c r="G378" i="14"/>
  <c r="F378" i="14"/>
  <c r="E378" i="14"/>
  <c r="D378" i="14"/>
  <c r="C378" i="14"/>
  <c r="B378" i="14"/>
  <c r="A378" i="14"/>
  <c r="G377" i="14"/>
  <c r="F377" i="14"/>
  <c r="E377" i="14"/>
  <c r="D377" i="14"/>
  <c r="C377" i="14"/>
  <c r="B377" i="14"/>
  <c r="A377" i="14"/>
  <c r="G376" i="14"/>
  <c r="F376" i="14"/>
  <c r="E376" i="14"/>
  <c r="D376" i="14"/>
  <c r="C376" i="14"/>
  <c r="B376" i="14"/>
  <c r="A376" i="14"/>
  <c r="G375" i="14"/>
  <c r="F375" i="14"/>
  <c r="E375" i="14"/>
  <c r="D375" i="14"/>
  <c r="C375" i="14"/>
  <c r="B375" i="14"/>
  <c r="A375" i="14"/>
  <c r="G374" i="14"/>
  <c r="F374" i="14"/>
  <c r="E374" i="14"/>
  <c r="D374" i="14"/>
  <c r="C374" i="14"/>
  <c r="B374" i="14"/>
  <c r="A374" i="14"/>
  <c r="G373" i="14"/>
  <c r="F373" i="14"/>
  <c r="E373" i="14"/>
  <c r="D373" i="14"/>
  <c r="C373" i="14"/>
  <c r="B373" i="14"/>
  <c r="A373" i="14"/>
  <c r="G372" i="14"/>
  <c r="F372" i="14"/>
  <c r="E372" i="14"/>
  <c r="D372" i="14"/>
  <c r="C372" i="14"/>
  <c r="B372" i="14"/>
  <c r="A372" i="14"/>
  <c r="G371" i="14"/>
  <c r="F371" i="14"/>
  <c r="E371" i="14"/>
  <c r="D371" i="14"/>
  <c r="C371" i="14"/>
  <c r="B371" i="14"/>
  <c r="A371" i="14"/>
  <c r="G370" i="14"/>
  <c r="F370" i="14"/>
  <c r="E370" i="14"/>
  <c r="D370" i="14"/>
  <c r="C370" i="14"/>
  <c r="B370" i="14"/>
  <c r="A370" i="14"/>
  <c r="G369" i="14"/>
  <c r="F369" i="14"/>
  <c r="E369" i="14"/>
  <c r="D369" i="14"/>
  <c r="C369" i="14"/>
  <c r="B369" i="14"/>
  <c r="A369" i="14"/>
  <c r="G368" i="14"/>
  <c r="F368" i="14"/>
  <c r="E368" i="14"/>
  <c r="D368" i="14"/>
  <c r="C368" i="14"/>
  <c r="B368" i="14"/>
  <c r="A368" i="14"/>
  <c r="G367" i="14"/>
  <c r="F367" i="14"/>
  <c r="E367" i="14"/>
  <c r="D367" i="14"/>
  <c r="C367" i="14"/>
  <c r="B367" i="14"/>
  <c r="A367" i="14"/>
  <c r="G366" i="14"/>
  <c r="F366" i="14"/>
  <c r="E366" i="14"/>
  <c r="D366" i="14"/>
  <c r="C366" i="14"/>
  <c r="B366" i="14"/>
  <c r="A366" i="14"/>
  <c r="G365" i="14"/>
  <c r="F365" i="14"/>
  <c r="E365" i="14"/>
  <c r="D365" i="14"/>
  <c r="C365" i="14"/>
  <c r="B365" i="14"/>
  <c r="A365" i="14"/>
  <c r="G364" i="14"/>
  <c r="F364" i="14"/>
  <c r="E364" i="14"/>
  <c r="D364" i="14"/>
  <c r="C364" i="14"/>
  <c r="B364" i="14"/>
  <c r="A364" i="14"/>
  <c r="G363" i="14"/>
  <c r="F363" i="14"/>
  <c r="E363" i="14"/>
  <c r="D363" i="14"/>
  <c r="C363" i="14"/>
  <c r="B363" i="14"/>
  <c r="A363" i="14"/>
  <c r="G362" i="14"/>
  <c r="F362" i="14"/>
  <c r="E362" i="14"/>
  <c r="D362" i="14"/>
  <c r="C362" i="14"/>
  <c r="B362" i="14"/>
  <c r="A362" i="14"/>
  <c r="G361" i="14"/>
  <c r="F361" i="14"/>
  <c r="E361" i="14"/>
  <c r="D361" i="14"/>
  <c r="C361" i="14"/>
  <c r="B361" i="14"/>
  <c r="A361" i="14"/>
  <c r="G360" i="14"/>
  <c r="F360" i="14"/>
  <c r="E360" i="14"/>
  <c r="D360" i="14"/>
  <c r="C360" i="14"/>
  <c r="B360" i="14"/>
  <c r="A360" i="14"/>
  <c r="G359" i="14"/>
  <c r="F359" i="14"/>
  <c r="E359" i="14"/>
  <c r="D359" i="14"/>
  <c r="C359" i="14"/>
  <c r="B359" i="14"/>
  <c r="A359" i="14"/>
  <c r="G358" i="14"/>
  <c r="F358" i="14"/>
  <c r="E358" i="14"/>
  <c r="D358" i="14"/>
  <c r="C358" i="14"/>
  <c r="B358" i="14"/>
  <c r="A358" i="14"/>
  <c r="G357" i="14"/>
  <c r="F357" i="14"/>
  <c r="E357" i="14"/>
  <c r="D357" i="14"/>
  <c r="C357" i="14"/>
  <c r="B357" i="14"/>
  <c r="A357" i="14"/>
  <c r="G356" i="14"/>
  <c r="F356" i="14"/>
  <c r="E356" i="14"/>
  <c r="D356" i="14"/>
  <c r="C356" i="14"/>
  <c r="B356" i="14"/>
  <c r="A356" i="14"/>
  <c r="G355" i="14"/>
  <c r="F355" i="14"/>
  <c r="E355" i="14"/>
  <c r="D355" i="14"/>
  <c r="C355" i="14"/>
  <c r="B355" i="14"/>
  <c r="A355" i="14"/>
  <c r="G354" i="14"/>
  <c r="F354" i="14"/>
  <c r="E354" i="14"/>
  <c r="D354" i="14"/>
  <c r="C354" i="14"/>
  <c r="B354" i="14"/>
  <c r="A354" i="14"/>
  <c r="G353" i="14"/>
  <c r="F353" i="14"/>
  <c r="E353" i="14"/>
  <c r="D353" i="14"/>
  <c r="C353" i="14"/>
  <c r="B353" i="14"/>
  <c r="A353" i="14"/>
  <c r="G352" i="14"/>
  <c r="F352" i="14"/>
  <c r="E352" i="14"/>
  <c r="D352" i="14"/>
  <c r="C352" i="14"/>
  <c r="B352" i="14"/>
  <c r="A352" i="14"/>
  <c r="G351" i="14"/>
  <c r="F351" i="14"/>
  <c r="E351" i="14"/>
  <c r="D351" i="14"/>
  <c r="C351" i="14"/>
  <c r="B351" i="14"/>
  <c r="A351" i="14"/>
  <c r="G350" i="14"/>
  <c r="F350" i="14"/>
  <c r="E350" i="14"/>
  <c r="D350" i="14"/>
  <c r="C350" i="14"/>
  <c r="B350" i="14"/>
  <c r="A350" i="14"/>
  <c r="G349" i="14"/>
  <c r="F349" i="14"/>
  <c r="E349" i="14"/>
  <c r="D349" i="14"/>
  <c r="C349" i="14"/>
  <c r="B349" i="14"/>
  <c r="A349" i="14"/>
  <c r="G348" i="14"/>
  <c r="F348" i="14"/>
  <c r="E348" i="14"/>
  <c r="D348" i="14"/>
  <c r="C348" i="14"/>
  <c r="B348" i="14"/>
  <c r="A348" i="14"/>
  <c r="G347" i="14"/>
  <c r="F347" i="14"/>
  <c r="E347" i="14"/>
  <c r="D347" i="14"/>
  <c r="C347" i="14"/>
  <c r="B347" i="14"/>
  <c r="A347" i="14"/>
  <c r="G346" i="14"/>
  <c r="F346" i="14"/>
  <c r="E346" i="14"/>
  <c r="D346" i="14"/>
  <c r="C346" i="14"/>
  <c r="B346" i="14"/>
  <c r="A346" i="14"/>
  <c r="G345" i="14"/>
  <c r="F345" i="14"/>
  <c r="E345" i="14"/>
  <c r="D345" i="14"/>
  <c r="C345" i="14"/>
  <c r="B345" i="14"/>
  <c r="A345" i="14"/>
  <c r="G344" i="14"/>
  <c r="F344" i="14"/>
  <c r="E344" i="14"/>
  <c r="D344" i="14"/>
  <c r="C344" i="14"/>
  <c r="B344" i="14"/>
  <c r="A344" i="14"/>
  <c r="G343" i="14"/>
  <c r="F343" i="14"/>
  <c r="E343" i="14"/>
  <c r="D343" i="14"/>
  <c r="C343" i="14"/>
  <c r="B343" i="14"/>
  <c r="A343" i="14"/>
  <c r="G342" i="14"/>
  <c r="F342" i="14"/>
  <c r="E342" i="14"/>
  <c r="D342" i="14"/>
  <c r="C342" i="14"/>
  <c r="B342" i="14"/>
  <c r="A342" i="14"/>
  <c r="G341" i="14"/>
  <c r="F341" i="14"/>
  <c r="E341" i="14"/>
  <c r="D341" i="14"/>
  <c r="C341" i="14"/>
  <c r="B341" i="14"/>
  <c r="A341" i="14"/>
  <c r="G340" i="14"/>
  <c r="F340" i="14"/>
  <c r="E340" i="14"/>
  <c r="D340" i="14"/>
  <c r="C340" i="14"/>
  <c r="B340" i="14"/>
  <c r="A340" i="14"/>
  <c r="G339" i="14"/>
  <c r="F339" i="14"/>
  <c r="E339" i="14"/>
  <c r="D339" i="14"/>
  <c r="C339" i="14"/>
  <c r="B339" i="14"/>
  <c r="A339" i="14"/>
  <c r="G338" i="14"/>
  <c r="F338" i="14"/>
  <c r="E338" i="14"/>
  <c r="D338" i="14"/>
  <c r="C338" i="14"/>
  <c r="B338" i="14"/>
  <c r="A338" i="14"/>
  <c r="G337" i="14"/>
  <c r="F337" i="14"/>
  <c r="E337" i="14"/>
  <c r="D337" i="14"/>
  <c r="C337" i="14"/>
  <c r="B337" i="14"/>
  <c r="A337" i="14"/>
  <c r="G336" i="14"/>
  <c r="F336" i="14"/>
  <c r="E336" i="14"/>
  <c r="D336" i="14"/>
  <c r="C336" i="14"/>
  <c r="B336" i="14"/>
  <c r="A336" i="14"/>
  <c r="G335" i="14"/>
  <c r="F335" i="14"/>
  <c r="E335" i="14"/>
  <c r="D335" i="14"/>
  <c r="C335" i="14"/>
  <c r="B335" i="14"/>
  <c r="A335" i="14"/>
  <c r="G334" i="14"/>
  <c r="F334" i="14"/>
  <c r="E334" i="14"/>
  <c r="D334" i="14"/>
  <c r="C334" i="14"/>
  <c r="B334" i="14"/>
  <c r="A334" i="14"/>
  <c r="G333" i="14"/>
  <c r="F333" i="14"/>
  <c r="E333" i="14"/>
  <c r="D333" i="14"/>
  <c r="C333" i="14"/>
  <c r="B333" i="14"/>
  <c r="A333" i="14"/>
  <c r="G332" i="14"/>
  <c r="F332" i="14"/>
  <c r="E332" i="14"/>
  <c r="D332" i="14"/>
  <c r="C332" i="14"/>
  <c r="B332" i="14"/>
  <c r="A332" i="14"/>
  <c r="G331" i="14"/>
  <c r="F331" i="14"/>
  <c r="E331" i="14"/>
  <c r="D331" i="14"/>
  <c r="C331" i="14"/>
  <c r="B331" i="14"/>
  <c r="A331" i="14"/>
  <c r="G330" i="14"/>
  <c r="F330" i="14"/>
  <c r="E330" i="14"/>
  <c r="D330" i="14"/>
  <c r="C330" i="14"/>
  <c r="B330" i="14"/>
  <c r="A330" i="14"/>
  <c r="G329" i="14"/>
  <c r="F329" i="14"/>
  <c r="E329" i="14"/>
  <c r="D329" i="14"/>
  <c r="C329" i="14"/>
  <c r="B329" i="14"/>
  <c r="A329" i="14"/>
  <c r="G328" i="14"/>
  <c r="F328" i="14"/>
  <c r="E328" i="14"/>
  <c r="D328" i="14"/>
  <c r="C328" i="14"/>
  <c r="B328" i="14"/>
  <c r="A328" i="14"/>
  <c r="G327" i="14"/>
  <c r="F327" i="14"/>
  <c r="E327" i="14"/>
  <c r="D327" i="14"/>
  <c r="C327" i="14"/>
  <c r="B327" i="14"/>
  <c r="A327" i="14"/>
  <c r="G326" i="14"/>
  <c r="F326" i="14"/>
  <c r="E326" i="14"/>
  <c r="D326" i="14"/>
  <c r="C326" i="14"/>
  <c r="B326" i="14"/>
  <c r="A326" i="14"/>
  <c r="G325" i="14"/>
  <c r="F325" i="14"/>
  <c r="E325" i="14"/>
  <c r="D325" i="14"/>
  <c r="C325" i="14"/>
  <c r="B325" i="14"/>
  <c r="A325" i="14"/>
  <c r="G324" i="14"/>
  <c r="F324" i="14"/>
  <c r="E324" i="14"/>
  <c r="D324" i="14"/>
  <c r="C324" i="14"/>
  <c r="B324" i="14"/>
  <c r="A324" i="14"/>
  <c r="G323" i="14"/>
  <c r="F323" i="14"/>
  <c r="E323" i="14"/>
  <c r="D323" i="14"/>
  <c r="C323" i="14"/>
  <c r="B323" i="14"/>
  <c r="A323" i="14"/>
  <c r="G322" i="14"/>
  <c r="F322" i="14"/>
  <c r="E322" i="14"/>
  <c r="D322" i="14"/>
  <c r="C322" i="14"/>
  <c r="B322" i="14"/>
  <c r="A322" i="14"/>
  <c r="G321" i="14"/>
  <c r="F321" i="14"/>
  <c r="E321" i="14"/>
  <c r="D321" i="14"/>
  <c r="C321" i="14"/>
  <c r="B321" i="14"/>
  <c r="A321" i="14"/>
  <c r="G320" i="14"/>
  <c r="F320" i="14"/>
  <c r="E320" i="14"/>
  <c r="D320" i="14"/>
  <c r="C320" i="14"/>
  <c r="B320" i="14"/>
  <c r="A320" i="14"/>
  <c r="G319" i="14"/>
  <c r="F319" i="14"/>
  <c r="E319" i="14"/>
  <c r="D319" i="14"/>
  <c r="C319" i="14"/>
  <c r="B319" i="14"/>
  <c r="A319" i="14"/>
  <c r="G318" i="14"/>
  <c r="F318" i="14"/>
  <c r="E318" i="14"/>
  <c r="D318" i="14"/>
  <c r="C318" i="14"/>
  <c r="B318" i="14"/>
  <c r="A318" i="14"/>
  <c r="G317" i="14"/>
  <c r="F317" i="14"/>
  <c r="E317" i="14"/>
  <c r="D317" i="14"/>
  <c r="C317" i="14"/>
  <c r="B317" i="14"/>
  <c r="A317" i="14"/>
  <c r="G316" i="14"/>
  <c r="F316" i="14"/>
  <c r="E316" i="14"/>
  <c r="D316" i="14"/>
  <c r="C316" i="14"/>
  <c r="B316" i="14"/>
  <c r="A316" i="14"/>
  <c r="G315" i="14"/>
  <c r="F315" i="14"/>
  <c r="E315" i="14"/>
  <c r="D315" i="14"/>
  <c r="C315" i="14"/>
  <c r="B315" i="14"/>
  <c r="A315" i="14"/>
  <c r="G314" i="14"/>
  <c r="F314" i="14"/>
  <c r="E314" i="14"/>
  <c r="D314" i="14"/>
  <c r="C314" i="14"/>
  <c r="B314" i="14"/>
  <c r="A314" i="14"/>
  <c r="G313" i="14"/>
  <c r="F313" i="14"/>
  <c r="E313" i="14"/>
  <c r="D313" i="14"/>
  <c r="C313" i="14"/>
  <c r="B313" i="14"/>
  <c r="A313" i="14"/>
  <c r="G312" i="14"/>
  <c r="F312" i="14"/>
  <c r="E312" i="14"/>
  <c r="D312" i="14"/>
  <c r="C312" i="14"/>
  <c r="B312" i="14"/>
  <c r="A312" i="14"/>
  <c r="G311" i="14"/>
  <c r="F311" i="14"/>
  <c r="E311" i="14"/>
  <c r="D311" i="14"/>
  <c r="C311" i="14"/>
  <c r="B311" i="14"/>
  <c r="A311" i="14"/>
  <c r="G310" i="14"/>
  <c r="F310" i="14"/>
  <c r="E310" i="14"/>
  <c r="D310" i="14"/>
  <c r="C310" i="14"/>
  <c r="B310" i="14"/>
  <c r="A310" i="14"/>
  <c r="G309" i="14"/>
  <c r="F309" i="14"/>
  <c r="E309" i="14"/>
  <c r="D309" i="14"/>
  <c r="C309" i="14"/>
  <c r="B309" i="14"/>
  <c r="A309" i="14"/>
  <c r="G308" i="14"/>
  <c r="F308" i="14"/>
  <c r="E308" i="14"/>
  <c r="D308" i="14"/>
  <c r="C308" i="14"/>
  <c r="B308" i="14"/>
  <c r="A308" i="14"/>
  <c r="G307" i="14"/>
  <c r="F307" i="14"/>
  <c r="E307" i="14"/>
  <c r="D307" i="14"/>
  <c r="C307" i="14"/>
  <c r="B307" i="14"/>
  <c r="A307" i="14"/>
  <c r="G306" i="14"/>
  <c r="F306" i="14"/>
  <c r="E306" i="14"/>
  <c r="D306" i="14"/>
  <c r="C306" i="14"/>
  <c r="B306" i="14"/>
  <c r="A306" i="14"/>
  <c r="G305" i="14"/>
  <c r="F305" i="14"/>
  <c r="E305" i="14"/>
  <c r="D305" i="14"/>
  <c r="C305" i="14"/>
  <c r="B305" i="14"/>
  <c r="A305" i="14"/>
  <c r="G304" i="14"/>
  <c r="F304" i="14"/>
  <c r="E304" i="14"/>
  <c r="D304" i="14"/>
  <c r="C304" i="14"/>
  <c r="B304" i="14"/>
  <c r="A304" i="14"/>
  <c r="G303" i="14"/>
  <c r="F303" i="14"/>
  <c r="E303" i="14"/>
  <c r="D303" i="14"/>
  <c r="C303" i="14"/>
  <c r="B303" i="14"/>
  <c r="A303" i="14"/>
  <c r="G302" i="14"/>
  <c r="F302" i="14"/>
  <c r="E302" i="14"/>
  <c r="D302" i="14"/>
  <c r="C302" i="14"/>
  <c r="B302" i="14"/>
  <c r="A302" i="14"/>
  <c r="G301" i="14"/>
  <c r="F301" i="14"/>
  <c r="E301" i="14"/>
  <c r="D301" i="14"/>
  <c r="C301" i="14"/>
  <c r="B301" i="14"/>
  <c r="A301" i="14"/>
  <c r="G300" i="14"/>
  <c r="F300" i="14"/>
  <c r="E300" i="14"/>
  <c r="D300" i="14"/>
  <c r="C300" i="14"/>
  <c r="B300" i="14"/>
  <c r="A300" i="14"/>
  <c r="G299" i="14"/>
  <c r="F299" i="14"/>
  <c r="E299" i="14"/>
  <c r="D299" i="14"/>
  <c r="C299" i="14"/>
  <c r="B299" i="14"/>
  <c r="A299" i="14"/>
  <c r="G298" i="14"/>
  <c r="F298" i="14"/>
  <c r="E298" i="14"/>
  <c r="D298" i="14"/>
  <c r="C298" i="14"/>
  <c r="B298" i="14"/>
  <c r="A298" i="14"/>
  <c r="G297" i="14"/>
  <c r="F297" i="14"/>
  <c r="E297" i="14"/>
  <c r="D297" i="14"/>
  <c r="C297" i="14"/>
  <c r="B297" i="14"/>
  <c r="A297" i="14"/>
  <c r="G296" i="14"/>
  <c r="F296" i="14"/>
  <c r="E296" i="14"/>
  <c r="D296" i="14"/>
  <c r="C296" i="14"/>
  <c r="B296" i="14"/>
  <c r="A296" i="14"/>
  <c r="G295" i="14"/>
  <c r="F295" i="14"/>
  <c r="E295" i="14"/>
  <c r="D295" i="14"/>
  <c r="C295" i="14"/>
  <c r="B295" i="14"/>
  <c r="A295" i="14"/>
  <c r="G294" i="14"/>
  <c r="F294" i="14"/>
  <c r="E294" i="14"/>
  <c r="D294" i="14"/>
  <c r="C294" i="14"/>
  <c r="B294" i="14"/>
  <c r="A294" i="14"/>
  <c r="G293" i="14"/>
  <c r="F293" i="14"/>
  <c r="E293" i="14"/>
  <c r="D293" i="14"/>
  <c r="C293" i="14"/>
  <c r="B293" i="14"/>
  <c r="A293" i="14"/>
  <c r="G292" i="14"/>
  <c r="F292" i="14"/>
  <c r="E292" i="14"/>
  <c r="D292" i="14"/>
  <c r="C292" i="14"/>
  <c r="B292" i="14"/>
  <c r="A292" i="14"/>
  <c r="G291" i="14"/>
  <c r="F291" i="14"/>
  <c r="E291" i="14"/>
  <c r="D291" i="14"/>
  <c r="C291" i="14"/>
  <c r="B291" i="14"/>
  <c r="A291" i="14"/>
  <c r="G290" i="14"/>
  <c r="F290" i="14"/>
  <c r="E290" i="14"/>
  <c r="D290" i="14"/>
  <c r="C290" i="14"/>
  <c r="B290" i="14"/>
  <c r="A290" i="14"/>
  <c r="G289" i="14"/>
  <c r="F289" i="14"/>
  <c r="E289" i="14"/>
  <c r="D289" i="14"/>
  <c r="C289" i="14"/>
  <c r="B289" i="14"/>
  <c r="A289" i="14"/>
  <c r="G288" i="14"/>
  <c r="F288" i="14"/>
  <c r="E288" i="14"/>
  <c r="D288" i="14"/>
  <c r="C288" i="14"/>
  <c r="B288" i="14"/>
  <c r="A288" i="14"/>
  <c r="G287" i="14"/>
  <c r="F287" i="14"/>
  <c r="E287" i="14"/>
  <c r="D287" i="14"/>
  <c r="C287" i="14"/>
  <c r="B287" i="14"/>
  <c r="A287" i="14"/>
  <c r="G286" i="14"/>
  <c r="F286" i="14"/>
  <c r="E286" i="14"/>
  <c r="D286" i="14"/>
  <c r="C286" i="14"/>
  <c r="B286" i="14"/>
  <c r="A286" i="14"/>
  <c r="G285" i="14"/>
  <c r="F285" i="14"/>
  <c r="E285" i="14"/>
  <c r="D285" i="14"/>
  <c r="C285" i="14"/>
  <c r="B285" i="14"/>
  <c r="A285" i="14"/>
  <c r="G284" i="14"/>
  <c r="F284" i="14"/>
  <c r="E284" i="14"/>
  <c r="D284" i="14"/>
  <c r="C284" i="14"/>
  <c r="B284" i="14"/>
  <c r="A284" i="14"/>
  <c r="G283" i="14"/>
  <c r="F283" i="14"/>
  <c r="E283" i="14"/>
  <c r="D283" i="14"/>
  <c r="C283" i="14"/>
  <c r="B283" i="14"/>
  <c r="A283" i="14"/>
  <c r="G282" i="14"/>
  <c r="F282" i="14"/>
  <c r="E282" i="14"/>
  <c r="D282" i="14"/>
  <c r="C282" i="14"/>
  <c r="B282" i="14"/>
  <c r="A282" i="14"/>
  <c r="G281" i="14"/>
  <c r="F281" i="14"/>
  <c r="E281" i="14"/>
  <c r="D281" i="14"/>
  <c r="C281" i="14"/>
  <c r="B281" i="14"/>
  <c r="A281" i="14"/>
  <c r="G280" i="14"/>
  <c r="F280" i="14"/>
  <c r="E280" i="14"/>
  <c r="D280" i="14"/>
  <c r="C280" i="14"/>
  <c r="B280" i="14"/>
  <c r="A280" i="14"/>
  <c r="G279" i="14"/>
  <c r="F279" i="14"/>
  <c r="E279" i="14"/>
  <c r="D279" i="14"/>
  <c r="C279" i="14"/>
  <c r="B279" i="14"/>
  <c r="A279" i="14"/>
  <c r="G278" i="14"/>
  <c r="F278" i="14"/>
  <c r="E278" i="14"/>
  <c r="D278" i="14"/>
  <c r="C278" i="14"/>
  <c r="B278" i="14"/>
  <c r="A278" i="14"/>
  <c r="G277" i="14"/>
  <c r="F277" i="14"/>
  <c r="E277" i="14"/>
  <c r="D277" i="14"/>
  <c r="C277" i="14"/>
  <c r="B277" i="14"/>
  <c r="A277" i="14"/>
  <c r="G276" i="14"/>
  <c r="F276" i="14"/>
  <c r="E276" i="14"/>
  <c r="D276" i="14"/>
  <c r="C276" i="14"/>
  <c r="B276" i="14"/>
  <c r="A276" i="14"/>
  <c r="G275" i="14"/>
  <c r="F275" i="14"/>
  <c r="E275" i="14"/>
  <c r="D275" i="14"/>
  <c r="C275" i="14"/>
  <c r="B275" i="14"/>
  <c r="A275" i="14"/>
  <c r="G274" i="14"/>
  <c r="F274" i="14"/>
  <c r="E274" i="14"/>
  <c r="D274" i="14"/>
  <c r="C274" i="14"/>
  <c r="B274" i="14"/>
  <c r="A274" i="14"/>
  <c r="G273" i="14"/>
  <c r="F273" i="14"/>
  <c r="E273" i="14"/>
  <c r="D273" i="14"/>
  <c r="C273" i="14"/>
  <c r="B273" i="14"/>
  <c r="A273" i="14"/>
  <c r="G272" i="14"/>
  <c r="F272" i="14"/>
  <c r="E272" i="14"/>
  <c r="D272" i="14"/>
  <c r="C272" i="14"/>
  <c r="B272" i="14"/>
  <c r="A272" i="14"/>
  <c r="G271" i="14"/>
  <c r="F271" i="14"/>
  <c r="E271" i="14"/>
  <c r="D271" i="14"/>
  <c r="C271" i="14"/>
  <c r="B271" i="14"/>
  <c r="A271" i="14"/>
  <c r="G270" i="14"/>
  <c r="F270" i="14"/>
  <c r="E270" i="14"/>
  <c r="D270" i="14"/>
  <c r="C270" i="14"/>
  <c r="B270" i="14"/>
  <c r="A270" i="14"/>
  <c r="G269" i="14"/>
  <c r="F269" i="14"/>
  <c r="E269" i="14"/>
  <c r="D269" i="14"/>
  <c r="C269" i="14"/>
  <c r="B269" i="14"/>
  <c r="A269" i="14"/>
  <c r="G268" i="14"/>
  <c r="F268" i="14"/>
  <c r="E268" i="14"/>
  <c r="D268" i="14"/>
  <c r="C268" i="14"/>
  <c r="B268" i="14"/>
  <c r="A268" i="14"/>
  <c r="G267" i="14"/>
  <c r="F267" i="14"/>
  <c r="E267" i="14"/>
  <c r="D267" i="14"/>
  <c r="C267" i="14"/>
  <c r="B267" i="14"/>
  <c r="A267" i="14"/>
  <c r="G266" i="14"/>
  <c r="F266" i="14"/>
  <c r="E266" i="14"/>
  <c r="D266" i="14"/>
  <c r="C266" i="14"/>
  <c r="B266" i="14"/>
  <c r="A266" i="14"/>
  <c r="G265" i="14"/>
  <c r="F265" i="14"/>
  <c r="E265" i="14"/>
  <c r="D265" i="14"/>
  <c r="C265" i="14"/>
  <c r="B265" i="14"/>
  <c r="A265" i="14"/>
  <c r="G264" i="14"/>
  <c r="F264" i="14"/>
  <c r="E264" i="14"/>
  <c r="D264" i="14"/>
  <c r="C264" i="14"/>
  <c r="B264" i="14"/>
  <c r="A264" i="14"/>
  <c r="G263" i="14"/>
  <c r="F263" i="14"/>
  <c r="E263" i="14"/>
  <c r="D263" i="14"/>
  <c r="C263" i="14"/>
  <c r="B263" i="14"/>
  <c r="A263" i="14"/>
  <c r="G262" i="14"/>
  <c r="F262" i="14"/>
  <c r="E262" i="14"/>
  <c r="D262" i="14"/>
  <c r="C262" i="14"/>
  <c r="B262" i="14"/>
  <c r="A262" i="14"/>
  <c r="G261" i="14"/>
  <c r="F261" i="14"/>
  <c r="E261" i="14"/>
  <c r="D261" i="14"/>
  <c r="C261" i="14"/>
  <c r="B261" i="14"/>
  <c r="A261" i="14"/>
  <c r="G260" i="14"/>
  <c r="F260" i="14"/>
  <c r="E260" i="14"/>
  <c r="D260" i="14"/>
  <c r="C260" i="14"/>
  <c r="B260" i="14"/>
  <c r="A260" i="14"/>
  <c r="G259" i="14"/>
  <c r="F259" i="14"/>
  <c r="E259" i="14"/>
  <c r="D259" i="14"/>
  <c r="C259" i="14"/>
  <c r="B259" i="14"/>
  <c r="A259" i="14"/>
  <c r="G258" i="14"/>
  <c r="F258" i="14"/>
  <c r="E258" i="14"/>
  <c r="D258" i="14"/>
  <c r="C258" i="14"/>
  <c r="B258" i="14"/>
  <c r="A258" i="14"/>
  <c r="G257" i="14"/>
  <c r="F257" i="14"/>
  <c r="E257" i="14"/>
  <c r="D257" i="14"/>
  <c r="C257" i="14"/>
  <c r="B257" i="14"/>
  <c r="A257" i="14"/>
  <c r="G256" i="14"/>
  <c r="F256" i="14"/>
  <c r="E256" i="14"/>
  <c r="D256" i="14"/>
  <c r="C256" i="14"/>
  <c r="B256" i="14"/>
  <c r="A256" i="14"/>
  <c r="G255" i="14"/>
  <c r="F255" i="14"/>
  <c r="E255" i="14"/>
  <c r="D255" i="14"/>
  <c r="C255" i="14"/>
  <c r="B255" i="14"/>
  <c r="A255" i="14"/>
  <c r="G254" i="14"/>
  <c r="F254" i="14"/>
  <c r="E254" i="14"/>
  <c r="D254" i="14"/>
  <c r="C254" i="14"/>
  <c r="B254" i="14"/>
  <c r="A254" i="14"/>
  <c r="G253" i="14"/>
  <c r="F253" i="14"/>
  <c r="E253" i="14"/>
  <c r="D253" i="14"/>
  <c r="C253" i="14"/>
  <c r="B253" i="14"/>
  <c r="A253" i="14"/>
  <c r="G252" i="14"/>
  <c r="F252" i="14"/>
  <c r="E252" i="14"/>
  <c r="D252" i="14"/>
  <c r="C252" i="14"/>
  <c r="B252" i="14"/>
  <c r="A252" i="14"/>
  <c r="G251" i="14"/>
  <c r="F251" i="14"/>
  <c r="E251" i="14"/>
  <c r="D251" i="14"/>
  <c r="C251" i="14"/>
  <c r="B251" i="14"/>
  <c r="A251" i="14"/>
  <c r="G250" i="14"/>
  <c r="F250" i="14"/>
  <c r="E250" i="14"/>
  <c r="D250" i="14"/>
  <c r="C250" i="14"/>
  <c r="B250" i="14"/>
  <c r="A250" i="14"/>
  <c r="G249" i="14"/>
  <c r="F249" i="14"/>
  <c r="E249" i="14"/>
  <c r="D249" i="14"/>
  <c r="C249" i="14"/>
  <c r="B249" i="14"/>
  <c r="A249" i="14"/>
  <c r="G248" i="14"/>
  <c r="F248" i="14"/>
  <c r="E248" i="14"/>
  <c r="D248" i="14"/>
  <c r="C248" i="14"/>
  <c r="B248" i="14"/>
  <c r="A248" i="14"/>
  <c r="G247" i="14"/>
  <c r="F247" i="14"/>
  <c r="E247" i="14"/>
  <c r="D247" i="14"/>
  <c r="C247" i="14"/>
  <c r="B247" i="14"/>
  <c r="A247" i="14"/>
  <c r="G246" i="14"/>
  <c r="F246" i="14"/>
  <c r="E246" i="14"/>
  <c r="D246" i="14"/>
  <c r="C246" i="14"/>
  <c r="B246" i="14"/>
  <c r="A246" i="14"/>
  <c r="G245" i="14"/>
  <c r="F245" i="14"/>
  <c r="E245" i="14"/>
  <c r="D245" i="14"/>
  <c r="C245" i="14"/>
  <c r="B245" i="14"/>
  <c r="A245" i="14"/>
  <c r="G244" i="14"/>
  <c r="F244" i="14"/>
  <c r="E244" i="14"/>
  <c r="D244" i="14"/>
  <c r="C244" i="14"/>
  <c r="B244" i="14"/>
  <c r="A244" i="14"/>
  <c r="G243" i="14"/>
  <c r="F243" i="14"/>
  <c r="E243" i="14"/>
  <c r="D243" i="14"/>
  <c r="C243" i="14"/>
  <c r="B243" i="14"/>
  <c r="A243" i="14"/>
  <c r="G242" i="14"/>
  <c r="F242" i="14"/>
  <c r="E242" i="14"/>
  <c r="D242" i="14"/>
  <c r="C242" i="14"/>
  <c r="B242" i="14"/>
  <c r="A242" i="14"/>
  <c r="G241" i="14"/>
  <c r="F241" i="14"/>
  <c r="E241" i="14"/>
  <c r="D241" i="14"/>
  <c r="C241" i="14"/>
  <c r="B241" i="14"/>
  <c r="A241" i="14"/>
  <c r="G240" i="14"/>
  <c r="F240" i="14"/>
  <c r="E240" i="14"/>
  <c r="D240" i="14"/>
  <c r="C240" i="14"/>
  <c r="B240" i="14"/>
  <c r="A240" i="14"/>
  <c r="G239" i="14"/>
  <c r="F239" i="14"/>
  <c r="E239" i="14"/>
  <c r="D239" i="14"/>
  <c r="C239" i="14"/>
  <c r="B239" i="14"/>
  <c r="A239" i="14"/>
  <c r="G238" i="14"/>
  <c r="F238" i="14"/>
  <c r="E238" i="14"/>
  <c r="D238" i="14"/>
  <c r="C238" i="14"/>
  <c r="B238" i="14"/>
  <c r="A238" i="14"/>
  <c r="G237" i="14"/>
  <c r="F237" i="14"/>
  <c r="E237" i="14"/>
  <c r="D237" i="14"/>
  <c r="C237" i="14"/>
  <c r="B237" i="14"/>
  <c r="A237" i="14"/>
  <c r="G236" i="14"/>
  <c r="F236" i="14"/>
  <c r="E236" i="14"/>
  <c r="D236" i="14"/>
  <c r="C236" i="14"/>
  <c r="B236" i="14"/>
  <c r="A236" i="14"/>
  <c r="G235" i="14"/>
  <c r="F235" i="14"/>
  <c r="E235" i="14"/>
  <c r="D235" i="14"/>
  <c r="C235" i="14"/>
  <c r="B235" i="14"/>
  <c r="A235" i="14"/>
  <c r="G234" i="14"/>
  <c r="F234" i="14"/>
  <c r="E234" i="14"/>
  <c r="D234" i="14"/>
  <c r="C234" i="14"/>
  <c r="B234" i="14"/>
  <c r="A234" i="14"/>
  <c r="G233" i="14"/>
  <c r="F233" i="14"/>
  <c r="E233" i="14"/>
  <c r="D233" i="14"/>
  <c r="C233" i="14"/>
  <c r="B233" i="14"/>
  <c r="A233" i="14"/>
  <c r="G232" i="14"/>
  <c r="F232" i="14"/>
  <c r="E232" i="14"/>
  <c r="D232" i="14"/>
  <c r="C232" i="14"/>
  <c r="B232" i="14"/>
  <c r="A232" i="14"/>
  <c r="G231" i="14"/>
  <c r="F231" i="14"/>
  <c r="E231" i="14"/>
  <c r="D231" i="14"/>
  <c r="C231" i="14"/>
  <c r="B231" i="14"/>
  <c r="A231" i="14"/>
  <c r="G230" i="14"/>
  <c r="F230" i="14"/>
  <c r="E230" i="14"/>
  <c r="D230" i="14"/>
  <c r="C230" i="14"/>
  <c r="B230" i="14"/>
  <c r="A230" i="14"/>
  <c r="G229" i="14"/>
  <c r="F229" i="14"/>
  <c r="E229" i="14"/>
  <c r="D229" i="14"/>
  <c r="C229" i="14"/>
  <c r="B229" i="14"/>
  <c r="A229" i="14"/>
  <c r="G228" i="14"/>
  <c r="F228" i="14"/>
  <c r="E228" i="14"/>
  <c r="D228" i="14"/>
  <c r="C228" i="14"/>
  <c r="B228" i="14"/>
  <c r="A228" i="14"/>
  <c r="G227" i="14"/>
  <c r="F227" i="14"/>
  <c r="E227" i="14"/>
  <c r="D227" i="14"/>
  <c r="C227" i="14"/>
  <c r="B227" i="14"/>
  <c r="A227" i="14"/>
  <c r="G226" i="14"/>
  <c r="F226" i="14"/>
  <c r="E226" i="14"/>
  <c r="D226" i="14"/>
  <c r="C226" i="14"/>
  <c r="B226" i="14"/>
  <c r="A226" i="14"/>
  <c r="G225" i="14"/>
  <c r="F225" i="14"/>
  <c r="E225" i="14"/>
  <c r="D225" i="14"/>
  <c r="C225" i="14"/>
  <c r="B225" i="14"/>
  <c r="A225" i="14"/>
  <c r="G224" i="14"/>
  <c r="F224" i="14"/>
  <c r="E224" i="14"/>
  <c r="D224" i="14"/>
  <c r="C224" i="14"/>
  <c r="B224" i="14"/>
  <c r="A224" i="14"/>
  <c r="G223" i="14"/>
  <c r="F223" i="14"/>
  <c r="E223" i="14"/>
  <c r="D223" i="14"/>
  <c r="C223" i="14"/>
  <c r="B223" i="14"/>
  <c r="A223" i="14"/>
  <c r="G222" i="14"/>
  <c r="F222" i="14"/>
  <c r="E222" i="14"/>
  <c r="D222" i="14"/>
  <c r="C222" i="14"/>
  <c r="B222" i="14"/>
  <c r="A222" i="14"/>
  <c r="G221" i="14"/>
  <c r="F221" i="14"/>
  <c r="E221" i="14"/>
  <c r="D221" i="14"/>
  <c r="C221" i="14"/>
  <c r="B221" i="14"/>
  <c r="A221" i="14"/>
  <c r="G220" i="14"/>
  <c r="F220" i="14"/>
  <c r="E220" i="14"/>
  <c r="D220" i="14"/>
  <c r="C220" i="14"/>
  <c r="B220" i="14"/>
  <c r="A220" i="14"/>
  <c r="G219" i="14"/>
  <c r="F219" i="14"/>
  <c r="E219" i="14"/>
  <c r="D219" i="14"/>
  <c r="C219" i="14"/>
  <c r="B219" i="14"/>
  <c r="A219" i="14"/>
  <c r="G218" i="14"/>
  <c r="F218" i="14"/>
  <c r="E218" i="14"/>
  <c r="D218" i="14"/>
  <c r="C218" i="14"/>
  <c r="B218" i="14"/>
  <c r="A218" i="14"/>
  <c r="G217" i="14"/>
  <c r="F217" i="14"/>
  <c r="E217" i="14"/>
  <c r="D217" i="14"/>
  <c r="C217" i="14"/>
  <c r="B217" i="14"/>
  <c r="A217" i="14"/>
  <c r="G216" i="14"/>
  <c r="F216" i="14"/>
  <c r="E216" i="14"/>
  <c r="D216" i="14"/>
  <c r="C216" i="14"/>
  <c r="B216" i="14"/>
  <c r="A216" i="14"/>
  <c r="G215" i="14"/>
  <c r="F215" i="14"/>
  <c r="E215" i="14"/>
  <c r="D215" i="14"/>
  <c r="C215" i="14"/>
  <c r="B215" i="14"/>
  <c r="A215" i="14"/>
  <c r="G214" i="14"/>
  <c r="F214" i="14"/>
  <c r="E214" i="14"/>
  <c r="D214" i="14"/>
  <c r="C214" i="14"/>
  <c r="B214" i="14"/>
  <c r="A214" i="14"/>
  <c r="G213" i="14"/>
  <c r="F213" i="14"/>
  <c r="E213" i="14"/>
  <c r="D213" i="14"/>
  <c r="C213" i="14"/>
  <c r="B213" i="14"/>
  <c r="A213" i="14"/>
  <c r="G212" i="14"/>
  <c r="F212" i="14"/>
  <c r="E212" i="14"/>
  <c r="D212" i="14"/>
  <c r="C212" i="14"/>
  <c r="B212" i="14"/>
  <c r="A212" i="14"/>
  <c r="G211" i="14"/>
  <c r="F211" i="14"/>
  <c r="E211" i="14"/>
  <c r="D211" i="14"/>
  <c r="C211" i="14"/>
  <c r="B211" i="14"/>
  <c r="A211" i="14"/>
  <c r="G210" i="14"/>
  <c r="F210" i="14"/>
  <c r="E210" i="14"/>
  <c r="D210" i="14"/>
  <c r="C210" i="14"/>
  <c r="B210" i="14"/>
  <c r="A210" i="14"/>
  <c r="G209" i="14"/>
  <c r="F209" i="14"/>
  <c r="E209" i="14"/>
  <c r="D209" i="14"/>
  <c r="C209" i="14"/>
  <c r="B209" i="14"/>
  <c r="A209" i="14"/>
  <c r="G208" i="14"/>
  <c r="F208" i="14"/>
  <c r="E208" i="14"/>
  <c r="D208" i="14"/>
  <c r="C208" i="14"/>
  <c r="B208" i="14"/>
  <c r="A208" i="14"/>
  <c r="G207" i="14"/>
  <c r="F207" i="14"/>
  <c r="E207" i="14"/>
  <c r="D207" i="14"/>
  <c r="C207" i="14"/>
  <c r="B207" i="14"/>
  <c r="A207" i="14"/>
  <c r="G206" i="14"/>
  <c r="F206" i="14"/>
  <c r="E206" i="14"/>
  <c r="D206" i="14"/>
  <c r="C206" i="14"/>
  <c r="B206" i="14"/>
  <c r="A206" i="14"/>
  <c r="G205" i="14"/>
  <c r="F205" i="14"/>
  <c r="E205" i="14"/>
  <c r="D205" i="14"/>
  <c r="C205" i="14"/>
  <c r="B205" i="14"/>
  <c r="A205" i="14"/>
  <c r="G204" i="14"/>
  <c r="F204" i="14"/>
  <c r="E204" i="14"/>
  <c r="D204" i="14"/>
  <c r="C204" i="14"/>
  <c r="B204" i="14"/>
  <c r="A204" i="14"/>
  <c r="G203" i="14"/>
  <c r="F203" i="14"/>
  <c r="E203" i="14"/>
  <c r="D203" i="14"/>
  <c r="C203" i="14"/>
  <c r="B203" i="14"/>
  <c r="A203" i="14"/>
  <c r="G202" i="14"/>
  <c r="F202" i="14"/>
  <c r="E202" i="14"/>
  <c r="D202" i="14"/>
  <c r="C202" i="14"/>
  <c r="B202" i="14"/>
  <c r="A202" i="14"/>
  <c r="G201" i="14"/>
  <c r="F201" i="14"/>
  <c r="E201" i="14"/>
  <c r="D201" i="14"/>
  <c r="C201" i="14"/>
  <c r="B201" i="14"/>
  <c r="A201" i="14"/>
  <c r="G200" i="14"/>
  <c r="F200" i="14"/>
  <c r="E200" i="14"/>
  <c r="D200" i="14"/>
  <c r="C200" i="14"/>
  <c r="B200" i="14"/>
  <c r="A200" i="14"/>
  <c r="G199" i="14"/>
  <c r="F199" i="14"/>
  <c r="E199" i="14"/>
  <c r="D199" i="14"/>
  <c r="C199" i="14"/>
  <c r="B199" i="14"/>
  <c r="A199" i="14"/>
  <c r="G198" i="14"/>
  <c r="F198" i="14"/>
  <c r="E198" i="14"/>
  <c r="D198" i="14"/>
  <c r="C198" i="14"/>
  <c r="B198" i="14"/>
  <c r="A198" i="14"/>
  <c r="G197" i="14"/>
  <c r="F197" i="14"/>
  <c r="E197" i="14"/>
  <c r="D197" i="14"/>
  <c r="C197" i="14"/>
  <c r="B197" i="14"/>
  <c r="A197" i="14"/>
  <c r="G196" i="14"/>
  <c r="F196" i="14"/>
  <c r="E196" i="14"/>
  <c r="D196" i="14"/>
  <c r="C196" i="14"/>
  <c r="B196" i="14"/>
  <c r="A196" i="14"/>
  <c r="G195" i="14"/>
  <c r="F195" i="14"/>
  <c r="E195" i="14"/>
  <c r="D195" i="14"/>
  <c r="C195" i="14"/>
  <c r="B195" i="14"/>
  <c r="A195" i="14"/>
  <c r="G194" i="14"/>
  <c r="F194" i="14"/>
  <c r="E194" i="14"/>
  <c r="D194" i="14"/>
  <c r="C194" i="14"/>
  <c r="B194" i="14"/>
  <c r="A194" i="14"/>
  <c r="G193" i="14"/>
  <c r="F193" i="14"/>
  <c r="E193" i="14"/>
  <c r="D193" i="14"/>
  <c r="C193" i="14"/>
  <c r="B193" i="14"/>
  <c r="A193" i="14"/>
  <c r="G192" i="14"/>
  <c r="F192" i="14"/>
  <c r="E192" i="14"/>
  <c r="D192" i="14"/>
  <c r="C192" i="14"/>
  <c r="B192" i="14"/>
  <c r="A192" i="14"/>
  <c r="G191" i="14"/>
  <c r="F191" i="14"/>
  <c r="E191" i="14"/>
  <c r="D191" i="14"/>
  <c r="C191" i="14"/>
  <c r="B191" i="14"/>
  <c r="A191" i="14"/>
  <c r="G190" i="14"/>
  <c r="F190" i="14"/>
  <c r="E190" i="14"/>
  <c r="D190" i="14"/>
  <c r="C190" i="14"/>
  <c r="B190" i="14"/>
  <c r="A190" i="14"/>
  <c r="G189" i="14"/>
  <c r="F189" i="14"/>
  <c r="E189" i="14"/>
  <c r="D189" i="14"/>
  <c r="C189" i="14"/>
  <c r="B189" i="14"/>
  <c r="A189" i="14"/>
  <c r="G188" i="14"/>
  <c r="F188" i="14"/>
  <c r="E188" i="14"/>
  <c r="D188" i="14"/>
  <c r="C188" i="14"/>
  <c r="B188" i="14"/>
  <c r="A188" i="14"/>
  <c r="G187" i="14"/>
  <c r="F187" i="14"/>
  <c r="E187" i="14"/>
  <c r="D187" i="14"/>
  <c r="C187" i="14"/>
  <c r="B187" i="14"/>
  <c r="A187" i="14"/>
  <c r="G186" i="14"/>
  <c r="F186" i="14"/>
  <c r="E186" i="14"/>
  <c r="D186" i="14"/>
  <c r="C186" i="14"/>
  <c r="B186" i="14"/>
  <c r="A186" i="14"/>
  <c r="G185" i="14"/>
  <c r="F185" i="14"/>
  <c r="E185" i="14"/>
  <c r="D185" i="14"/>
  <c r="C185" i="14"/>
  <c r="B185" i="14"/>
  <c r="A185" i="14"/>
  <c r="G184" i="14"/>
  <c r="F184" i="14"/>
  <c r="E184" i="14"/>
  <c r="D184" i="14"/>
  <c r="C184" i="14"/>
  <c r="B184" i="14"/>
  <c r="A184" i="14"/>
  <c r="G183" i="14"/>
  <c r="F183" i="14"/>
  <c r="E183" i="14"/>
  <c r="D183" i="14"/>
  <c r="C183" i="14"/>
  <c r="B183" i="14"/>
  <c r="A183" i="14"/>
  <c r="G182" i="14"/>
  <c r="F182" i="14"/>
  <c r="E182" i="14"/>
  <c r="D182" i="14"/>
  <c r="C182" i="14"/>
  <c r="B182" i="14"/>
  <c r="A182" i="14"/>
  <c r="G181" i="14"/>
  <c r="F181" i="14"/>
  <c r="E181" i="14"/>
  <c r="D181" i="14"/>
  <c r="C181" i="14"/>
  <c r="B181" i="14"/>
  <c r="A181" i="14"/>
  <c r="G180" i="14"/>
  <c r="F180" i="14"/>
  <c r="E180" i="14"/>
  <c r="D180" i="14"/>
  <c r="C180" i="14"/>
  <c r="B180" i="14"/>
  <c r="A180" i="14"/>
  <c r="G179" i="14"/>
  <c r="F179" i="14"/>
  <c r="E179" i="14"/>
  <c r="D179" i="14"/>
  <c r="C179" i="14"/>
  <c r="B179" i="14"/>
  <c r="A179" i="14"/>
  <c r="G178" i="14"/>
  <c r="F178" i="14"/>
  <c r="E178" i="14"/>
  <c r="D178" i="14"/>
  <c r="C178" i="14"/>
  <c r="B178" i="14"/>
  <c r="A178" i="14"/>
  <c r="G177" i="14"/>
  <c r="F177" i="14"/>
  <c r="E177" i="14"/>
  <c r="D177" i="14"/>
  <c r="C177" i="14"/>
  <c r="B177" i="14"/>
  <c r="A177" i="14"/>
  <c r="G176" i="14"/>
  <c r="F176" i="14"/>
  <c r="E176" i="14"/>
  <c r="D176" i="14"/>
  <c r="C176" i="14"/>
  <c r="B176" i="14"/>
  <c r="A176" i="14"/>
  <c r="G175" i="14"/>
  <c r="F175" i="14"/>
  <c r="E175" i="14"/>
  <c r="D175" i="14"/>
  <c r="C175" i="14"/>
  <c r="B175" i="14"/>
  <c r="A175" i="14"/>
  <c r="G174" i="14"/>
  <c r="F174" i="14"/>
  <c r="E174" i="14"/>
  <c r="D174" i="14"/>
  <c r="C174" i="14"/>
  <c r="B174" i="14"/>
  <c r="A174" i="14"/>
  <c r="G173" i="14"/>
  <c r="F173" i="14"/>
  <c r="E173" i="14"/>
  <c r="D173" i="14"/>
  <c r="C173" i="14"/>
  <c r="B173" i="14"/>
  <c r="A173" i="14"/>
  <c r="G172" i="14"/>
  <c r="F172" i="14"/>
  <c r="E172" i="14"/>
  <c r="D172" i="14"/>
  <c r="C172" i="14"/>
  <c r="B172" i="14"/>
  <c r="A172" i="14"/>
  <c r="G171" i="14"/>
  <c r="F171" i="14"/>
  <c r="E171" i="14"/>
  <c r="D171" i="14"/>
  <c r="C171" i="14"/>
  <c r="B171" i="14"/>
  <c r="A171" i="14"/>
  <c r="G170" i="14"/>
  <c r="F170" i="14"/>
  <c r="E170" i="14"/>
  <c r="D170" i="14"/>
  <c r="C170" i="14"/>
  <c r="B170" i="14"/>
  <c r="A170" i="14"/>
  <c r="G169" i="14"/>
  <c r="F169" i="14"/>
  <c r="E169" i="14"/>
  <c r="D169" i="14"/>
  <c r="C169" i="14"/>
  <c r="B169" i="14"/>
  <c r="A169" i="14"/>
  <c r="G168" i="14"/>
  <c r="F168" i="14"/>
  <c r="E168" i="14"/>
  <c r="D168" i="14"/>
  <c r="C168" i="14"/>
  <c r="B168" i="14"/>
  <c r="A168" i="14"/>
  <c r="G167" i="14"/>
  <c r="F167" i="14"/>
  <c r="E167" i="14"/>
  <c r="D167" i="14"/>
  <c r="C167" i="14"/>
  <c r="B167" i="14"/>
  <c r="A167" i="14"/>
  <c r="G166" i="14"/>
  <c r="F166" i="14"/>
  <c r="E166" i="14"/>
  <c r="D166" i="14"/>
  <c r="C166" i="14"/>
  <c r="B166" i="14"/>
  <c r="A166" i="14"/>
  <c r="G165" i="14"/>
  <c r="F165" i="14"/>
  <c r="E165" i="14"/>
  <c r="D165" i="14"/>
  <c r="C165" i="14"/>
  <c r="B165" i="14"/>
  <c r="A165" i="14"/>
  <c r="G164" i="14"/>
  <c r="F164" i="14"/>
  <c r="E164" i="14"/>
  <c r="D164" i="14"/>
  <c r="C164" i="14"/>
  <c r="B164" i="14"/>
  <c r="A164" i="14"/>
  <c r="G163" i="14"/>
  <c r="F163" i="14"/>
  <c r="E163" i="14"/>
  <c r="D163" i="14"/>
  <c r="C163" i="14"/>
  <c r="B163" i="14"/>
  <c r="A163" i="14"/>
  <c r="G162" i="14"/>
  <c r="F162" i="14"/>
  <c r="E162" i="14"/>
  <c r="D162" i="14"/>
  <c r="C162" i="14"/>
  <c r="B162" i="14"/>
  <c r="A162" i="14"/>
  <c r="G161" i="14"/>
  <c r="F161" i="14"/>
  <c r="E161" i="14"/>
  <c r="D161" i="14"/>
  <c r="C161" i="14"/>
  <c r="B161" i="14"/>
  <c r="A161" i="14"/>
  <c r="G160" i="14"/>
  <c r="F160" i="14"/>
  <c r="E160" i="14"/>
  <c r="D160" i="14"/>
  <c r="C160" i="14"/>
  <c r="B160" i="14"/>
  <c r="A160" i="14"/>
  <c r="G159" i="14"/>
  <c r="F159" i="14"/>
  <c r="E159" i="14"/>
  <c r="D159" i="14"/>
  <c r="C159" i="14"/>
  <c r="B159" i="14"/>
  <c r="A159" i="14"/>
  <c r="G158" i="14"/>
  <c r="F158" i="14"/>
  <c r="E158" i="14"/>
  <c r="D158" i="14"/>
  <c r="C158" i="14"/>
  <c r="B158" i="14"/>
  <c r="A158" i="14"/>
  <c r="G157" i="14"/>
  <c r="F157" i="14"/>
  <c r="E157" i="14"/>
  <c r="D157" i="14"/>
  <c r="C157" i="14"/>
  <c r="B157" i="14"/>
  <c r="A157" i="14"/>
  <c r="G156" i="14"/>
  <c r="F156" i="14"/>
  <c r="E156" i="14"/>
  <c r="D156" i="14"/>
  <c r="C156" i="14"/>
  <c r="B156" i="14"/>
  <c r="A156" i="14"/>
  <c r="G155" i="14"/>
  <c r="F155" i="14"/>
  <c r="E155" i="14"/>
  <c r="D155" i="14"/>
  <c r="C155" i="14"/>
  <c r="B155" i="14"/>
  <c r="A155" i="14"/>
  <c r="G154" i="14"/>
  <c r="F154" i="14"/>
  <c r="E154" i="14"/>
  <c r="D154" i="14"/>
  <c r="C154" i="14"/>
  <c r="B154" i="14"/>
  <c r="A154" i="14"/>
  <c r="G153" i="14"/>
  <c r="F153" i="14"/>
  <c r="E153" i="14"/>
  <c r="D153" i="14"/>
  <c r="C153" i="14"/>
  <c r="B153" i="14"/>
  <c r="A153" i="14"/>
  <c r="G152" i="14"/>
  <c r="F152" i="14"/>
  <c r="E152" i="14"/>
  <c r="D152" i="14"/>
  <c r="C152" i="14"/>
  <c r="B152" i="14"/>
  <c r="A152" i="14"/>
  <c r="G151" i="14"/>
  <c r="F151" i="14"/>
  <c r="E151" i="14"/>
  <c r="D151" i="14"/>
  <c r="C151" i="14"/>
  <c r="B151" i="14"/>
  <c r="A151" i="14"/>
  <c r="G150" i="14"/>
  <c r="F150" i="14"/>
  <c r="E150" i="14"/>
  <c r="D150" i="14"/>
  <c r="C150" i="14"/>
  <c r="B150" i="14"/>
  <c r="A150" i="14"/>
  <c r="G149" i="14"/>
  <c r="F149" i="14"/>
  <c r="E149" i="14"/>
  <c r="D149" i="14"/>
  <c r="C149" i="14"/>
  <c r="B149" i="14"/>
  <c r="A149" i="14"/>
  <c r="G148" i="14"/>
  <c r="F148" i="14"/>
  <c r="E148" i="14"/>
  <c r="D148" i="14"/>
  <c r="C148" i="14"/>
  <c r="B148" i="14"/>
  <c r="A148" i="14"/>
  <c r="G147" i="14"/>
  <c r="F147" i="14"/>
  <c r="E147" i="14"/>
  <c r="D147" i="14"/>
  <c r="C147" i="14"/>
  <c r="B147" i="14"/>
  <c r="A147" i="14"/>
  <c r="G146" i="14"/>
  <c r="F146" i="14"/>
  <c r="E146" i="14"/>
  <c r="D146" i="14"/>
  <c r="C146" i="14"/>
  <c r="B146" i="14"/>
  <c r="A146" i="14"/>
  <c r="G145" i="14"/>
  <c r="F145" i="14"/>
  <c r="E145" i="14"/>
  <c r="D145" i="14"/>
  <c r="C145" i="14"/>
  <c r="B145" i="14"/>
  <c r="A145" i="14"/>
  <c r="G144" i="14"/>
  <c r="F144" i="14"/>
  <c r="E144" i="14"/>
  <c r="D144" i="14"/>
  <c r="C144" i="14"/>
  <c r="B144" i="14"/>
  <c r="A144" i="14"/>
  <c r="G143" i="14"/>
  <c r="F143" i="14"/>
  <c r="E143" i="14"/>
  <c r="D143" i="14"/>
  <c r="C143" i="14"/>
  <c r="B143" i="14"/>
  <c r="A143" i="14"/>
  <c r="G142" i="14"/>
  <c r="F142" i="14"/>
  <c r="E142" i="14"/>
  <c r="D142" i="14"/>
  <c r="C142" i="14"/>
  <c r="B142" i="14"/>
  <c r="A142" i="14"/>
  <c r="G141" i="14"/>
  <c r="F141" i="14"/>
  <c r="E141" i="14"/>
  <c r="D141" i="14"/>
  <c r="C141" i="14"/>
  <c r="B141" i="14"/>
  <c r="A141" i="14"/>
  <c r="G140" i="14"/>
  <c r="F140" i="14"/>
  <c r="E140" i="14"/>
  <c r="D140" i="14"/>
  <c r="C140" i="14"/>
  <c r="B140" i="14"/>
  <c r="A140" i="14"/>
  <c r="G139" i="14"/>
  <c r="F139" i="14"/>
  <c r="E139" i="14"/>
  <c r="D139" i="14"/>
  <c r="C139" i="14"/>
  <c r="B139" i="14"/>
  <c r="A139" i="14"/>
  <c r="G138" i="14"/>
  <c r="F138" i="14"/>
  <c r="E138" i="14"/>
  <c r="D138" i="14"/>
  <c r="C138" i="14"/>
  <c r="B138" i="14"/>
  <c r="A138" i="14"/>
  <c r="G137" i="14"/>
  <c r="F137" i="14"/>
  <c r="E137" i="14"/>
  <c r="D137" i="14"/>
  <c r="C137" i="14"/>
  <c r="B137" i="14"/>
  <c r="A137" i="14"/>
  <c r="G136" i="14"/>
  <c r="F136" i="14"/>
  <c r="E136" i="14"/>
  <c r="D136" i="14"/>
  <c r="C136" i="14"/>
  <c r="B136" i="14"/>
  <c r="A136" i="14"/>
  <c r="G135" i="14"/>
  <c r="F135" i="14"/>
  <c r="E135" i="14"/>
  <c r="D135" i="14"/>
  <c r="C135" i="14"/>
  <c r="B135" i="14"/>
  <c r="A135" i="14"/>
  <c r="G134" i="14"/>
  <c r="F134" i="14"/>
  <c r="E134" i="14"/>
  <c r="D134" i="14"/>
  <c r="C134" i="14"/>
  <c r="B134" i="14"/>
  <c r="A134" i="14"/>
  <c r="G133" i="14"/>
  <c r="F133" i="14"/>
  <c r="E133" i="14"/>
  <c r="D133" i="14"/>
  <c r="C133" i="14"/>
  <c r="B133" i="14"/>
  <c r="A133" i="14"/>
  <c r="G132" i="14"/>
  <c r="F132" i="14"/>
  <c r="E132" i="14"/>
  <c r="D132" i="14"/>
  <c r="C132" i="14"/>
  <c r="B132" i="14"/>
  <c r="A132" i="14"/>
  <c r="G131" i="14"/>
  <c r="F131" i="14"/>
  <c r="E131" i="14"/>
  <c r="D131" i="14"/>
  <c r="C131" i="14"/>
  <c r="B131" i="14"/>
  <c r="A131" i="14"/>
  <c r="G130" i="14"/>
  <c r="F130" i="14"/>
  <c r="E130" i="14"/>
  <c r="D130" i="14"/>
  <c r="C130" i="14"/>
  <c r="B130" i="14"/>
  <c r="A130" i="14"/>
  <c r="G129" i="14"/>
  <c r="F129" i="14"/>
  <c r="E129" i="14"/>
  <c r="D129" i="14"/>
  <c r="C129" i="14"/>
  <c r="B129" i="14"/>
  <c r="A129" i="14"/>
  <c r="G128" i="14"/>
  <c r="F128" i="14"/>
  <c r="E128" i="14"/>
  <c r="D128" i="14"/>
  <c r="C128" i="14"/>
  <c r="B128" i="14"/>
  <c r="A128" i="14"/>
  <c r="G127" i="14"/>
  <c r="F127" i="14"/>
  <c r="E127" i="14"/>
  <c r="D127" i="14"/>
  <c r="C127" i="14"/>
  <c r="B127" i="14"/>
  <c r="A127" i="14"/>
  <c r="G126" i="14"/>
  <c r="F126" i="14"/>
  <c r="E126" i="14"/>
  <c r="D126" i="14"/>
  <c r="C126" i="14"/>
  <c r="B126" i="14"/>
  <c r="A126" i="14"/>
  <c r="G125" i="14"/>
  <c r="F125" i="14"/>
  <c r="E125" i="14"/>
  <c r="D125" i="14"/>
  <c r="C125" i="14"/>
  <c r="B125" i="14"/>
  <c r="A125" i="14"/>
  <c r="G124" i="14"/>
  <c r="F124" i="14"/>
  <c r="E124" i="14"/>
  <c r="D124" i="14"/>
  <c r="C124" i="14"/>
  <c r="B124" i="14"/>
  <c r="A124" i="14"/>
  <c r="G123" i="14"/>
  <c r="F123" i="14"/>
  <c r="E123" i="14"/>
  <c r="D123" i="14"/>
  <c r="C123" i="14"/>
  <c r="B123" i="14"/>
  <c r="A123" i="14"/>
  <c r="G122" i="14"/>
  <c r="F122" i="14"/>
  <c r="E122" i="14"/>
  <c r="D122" i="14"/>
  <c r="C122" i="14"/>
  <c r="B122" i="14"/>
  <c r="A122" i="14"/>
  <c r="G121" i="14"/>
  <c r="F121" i="14"/>
  <c r="E121" i="14"/>
  <c r="D121" i="14"/>
  <c r="C121" i="14"/>
  <c r="B121" i="14"/>
  <c r="A121" i="14"/>
  <c r="G120" i="14"/>
  <c r="F120" i="14"/>
  <c r="E120" i="14"/>
  <c r="D120" i="14"/>
  <c r="C120" i="14"/>
  <c r="B120" i="14"/>
  <c r="A120" i="14"/>
  <c r="G119" i="14"/>
  <c r="F119" i="14"/>
  <c r="E119" i="14"/>
  <c r="D119" i="14"/>
  <c r="C119" i="14"/>
  <c r="B119" i="14"/>
  <c r="A119" i="14"/>
  <c r="G118" i="14"/>
  <c r="F118" i="14"/>
  <c r="E118" i="14"/>
  <c r="D118" i="14"/>
  <c r="C118" i="14"/>
  <c r="B118" i="14"/>
  <c r="A118" i="14"/>
  <c r="G117" i="14"/>
  <c r="F117" i="14"/>
  <c r="E117" i="14"/>
  <c r="D117" i="14"/>
  <c r="C117" i="14"/>
  <c r="B117" i="14"/>
  <c r="A117" i="14"/>
  <c r="G116" i="14"/>
  <c r="F116" i="14"/>
  <c r="E116" i="14"/>
  <c r="D116" i="14"/>
  <c r="C116" i="14"/>
  <c r="B116" i="14"/>
  <c r="A116" i="14"/>
  <c r="G115" i="14"/>
  <c r="F115" i="14"/>
  <c r="E115" i="14"/>
  <c r="D115" i="14"/>
  <c r="C115" i="14"/>
  <c r="B115" i="14"/>
  <c r="A115" i="14"/>
  <c r="G114" i="14"/>
  <c r="F114" i="14"/>
  <c r="E114" i="14"/>
  <c r="D114" i="14"/>
  <c r="C114" i="14"/>
  <c r="B114" i="14"/>
  <c r="A114" i="14"/>
  <c r="G113" i="14"/>
  <c r="F113" i="14"/>
  <c r="E113" i="14"/>
  <c r="D113" i="14"/>
  <c r="C113" i="14"/>
  <c r="B113" i="14"/>
  <c r="A113" i="14"/>
  <c r="G112" i="14"/>
  <c r="F112" i="14"/>
  <c r="E112" i="14"/>
  <c r="D112" i="14"/>
  <c r="C112" i="14"/>
  <c r="B112" i="14"/>
  <c r="A112" i="14"/>
  <c r="G111" i="14"/>
  <c r="F111" i="14"/>
  <c r="E111" i="14"/>
  <c r="D111" i="14"/>
  <c r="C111" i="14"/>
  <c r="B111" i="14"/>
  <c r="A111" i="14"/>
  <c r="G110" i="14"/>
  <c r="F110" i="14"/>
  <c r="E110" i="14"/>
  <c r="D110" i="14"/>
  <c r="C110" i="14"/>
  <c r="B110" i="14"/>
  <c r="A110" i="14"/>
  <c r="G109" i="14"/>
  <c r="F109" i="14"/>
  <c r="E109" i="14"/>
  <c r="D109" i="14"/>
  <c r="C109" i="14"/>
  <c r="B109" i="14"/>
  <c r="A109" i="14"/>
  <c r="G108" i="14"/>
  <c r="F108" i="14"/>
  <c r="E108" i="14"/>
  <c r="D108" i="14"/>
  <c r="C108" i="14"/>
  <c r="B108" i="14"/>
  <c r="A108" i="14"/>
  <c r="G107" i="14"/>
  <c r="F107" i="14"/>
  <c r="E107" i="14"/>
  <c r="D107" i="14"/>
  <c r="C107" i="14"/>
  <c r="B107" i="14"/>
  <c r="A107" i="14"/>
  <c r="G106" i="14"/>
  <c r="F106" i="14"/>
  <c r="E106" i="14"/>
  <c r="D106" i="14"/>
  <c r="C106" i="14"/>
  <c r="B106" i="14"/>
  <c r="A106" i="14"/>
  <c r="G105" i="14"/>
  <c r="F105" i="14"/>
  <c r="E105" i="14"/>
  <c r="D105" i="14"/>
  <c r="C105" i="14"/>
  <c r="B105" i="14"/>
  <c r="A105" i="14"/>
  <c r="G104" i="14"/>
  <c r="F104" i="14"/>
  <c r="E104" i="14"/>
  <c r="D104" i="14"/>
  <c r="C104" i="14"/>
  <c r="B104" i="14"/>
  <c r="A104" i="14"/>
  <c r="G103" i="14"/>
  <c r="F103" i="14"/>
  <c r="E103" i="14"/>
  <c r="D103" i="14"/>
  <c r="C103" i="14"/>
  <c r="B103" i="14"/>
  <c r="A103" i="14"/>
  <c r="G102" i="14"/>
  <c r="F102" i="14"/>
  <c r="E102" i="14"/>
  <c r="D102" i="14"/>
  <c r="C102" i="14"/>
  <c r="B102" i="14"/>
  <c r="A102" i="14"/>
  <c r="G101" i="14"/>
  <c r="F101" i="14"/>
  <c r="E101" i="14"/>
  <c r="D101" i="14"/>
  <c r="C101" i="14"/>
  <c r="B101" i="14"/>
  <c r="A101" i="14"/>
  <c r="G100" i="14"/>
  <c r="F100" i="14"/>
  <c r="E100" i="14"/>
  <c r="D100" i="14"/>
  <c r="C100" i="14"/>
  <c r="B100" i="14"/>
  <c r="A100" i="14"/>
  <c r="G99" i="14"/>
  <c r="F99" i="14"/>
  <c r="E99" i="14"/>
  <c r="D99" i="14"/>
  <c r="C99" i="14"/>
  <c r="B99" i="14"/>
  <c r="A99" i="14"/>
  <c r="G98" i="14"/>
  <c r="F98" i="14"/>
  <c r="E98" i="14"/>
  <c r="D98" i="14"/>
  <c r="C98" i="14"/>
  <c r="B98" i="14"/>
  <c r="A98" i="14"/>
  <c r="G97" i="14"/>
  <c r="F97" i="14"/>
  <c r="E97" i="14"/>
  <c r="D97" i="14"/>
  <c r="C97" i="14"/>
  <c r="B97" i="14"/>
  <c r="A97" i="14"/>
  <c r="G96" i="14"/>
  <c r="F96" i="14"/>
  <c r="E96" i="14"/>
  <c r="D96" i="14"/>
  <c r="C96" i="14"/>
  <c r="B96" i="14"/>
  <c r="A96" i="14"/>
  <c r="G95" i="14"/>
  <c r="F95" i="14"/>
  <c r="E95" i="14"/>
  <c r="D95" i="14"/>
  <c r="C95" i="14"/>
  <c r="B95" i="14"/>
  <c r="A95" i="14"/>
  <c r="G94" i="14"/>
  <c r="F94" i="14"/>
  <c r="E94" i="14"/>
  <c r="D94" i="14"/>
  <c r="C94" i="14"/>
  <c r="B94" i="14"/>
  <c r="A94" i="14"/>
  <c r="G93" i="14"/>
  <c r="F93" i="14"/>
  <c r="E93" i="14"/>
  <c r="D93" i="14"/>
  <c r="C93" i="14"/>
  <c r="B93" i="14"/>
  <c r="A93" i="14"/>
  <c r="G92" i="14"/>
  <c r="F92" i="14"/>
  <c r="E92" i="14"/>
  <c r="D92" i="14"/>
  <c r="C92" i="14"/>
  <c r="B92" i="14"/>
  <c r="A92" i="14"/>
  <c r="G91" i="14"/>
  <c r="F91" i="14"/>
  <c r="E91" i="14"/>
  <c r="D91" i="14"/>
  <c r="C91" i="14"/>
  <c r="B91" i="14"/>
  <c r="A91" i="14"/>
  <c r="G90" i="14"/>
  <c r="F90" i="14"/>
  <c r="E90" i="14"/>
  <c r="D90" i="14"/>
  <c r="C90" i="14"/>
  <c r="B90" i="14"/>
  <c r="A90" i="14"/>
  <c r="G89" i="14"/>
  <c r="F89" i="14"/>
  <c r="E89" i="14"/>
  <c r="D89" i="14"/>
  <c r="C89" i="14"/>
  <c r="B89" i="14"/>
  <c r="A89" i="14"/>
  <c r="G88" i="14"/>
  <c r="F88" i="14"/>
  <c r="E88" i="14"/>
  <c r="D88" i="14"/>
  <c r="C88" i="14"/>
  <c r="B88" i="14"/>
  <c r="A88" i="14"/>
  <c r="G87" i="14"/>
  <c r="F87" i="14"/>
  <c r="E87" i="14"/>
  <c r="D87" i="14"/>
  <c r="C87" i="14"/>
  <c r="B87" i="14"/>
  <c r="A87" i="14"/>
  <c r="G86" i="14"/>
  <c r="F86" i="14"/>
  <c r="E86" i="14"/>
  <c r="D86" i="14"/>
  <c r="C86" i="14"/>
  <c r="B86" i="14"/>
  <c r="A86" i="14"/>
  <c r="G85" i="14"/>
  <c r="F85" i="14"/>
  <c r="E85" i="14"/>
  <c r="D85" i="14"/>
  <c r="C85" i="14"/>
  <c r="B85" i="14"/>
  <c r="A85" i="14"/>
  <c r="G84" i="14"/>
  <c r="F84" i="14"/>
  <c r="E84" i="14"/>
  <c r="D84" i="14"/>
  <c r="C84" i="14"/>
  <c r="B84" i="14"/>
  <c r="A84" i="14"/>
  <c r="G83" i="14"/>
  <c r="F83" i="14"/>
  <c r="E83" i="14"/>
  <c r="D83" i="14"/>
  <c r="C83" i="14"/>
  <c r="B83" i="14"/>
  <c r="A83" i="14"/>
  <c r="G82" i="14"/>
  <c r="F82" i="14"/>
  <c r="E82" i="14"/>
  <c r="D82" i="14"/>
  <c r="C82" i="14"/>
  <c r="B82" i="14"/>
  <c r="A82" i="14"/>
  <c r="G81" i="14"/>
  <c r="F81" i="14"/>
  <c r="E81" i="14"/>
  <c r="D81" i="14"/>
  <c r="C81" i="14"/>
  <c r="B81" i="14"/>
  <c r="A81" i="14"/>
  <c r="G80" i="14"/>
  <c r="F80" i="14"/>
  <c r="E80" i="14"/>
  <c r="D80" i="14"/>
  <c r="C80" i="14"/>
  <c r="B80" i="14"/>
  <c r="A80" i="14"/>
  <c r="G79" i="14"/>
  <c r="F79" i="14"/>
  <c r="E79" i="14"/>
  <c r="D79" i="14"/>
  <c r="C79" i="14"/>
  <c r="B79" i="14"/>
  <c r="A79" i="14"/>
  <c r="G78" i="14"/>
  <c r="F78" i="14"/>
  <c r="E78" i="14"/>
  <c r="D78" i="14"/>
  <c r="C78" i="14"/>
  <c r="B78" i="14"/>
  <c r="A78" i="14"/>
  <c r="G77" i="14"/>
  <c r="F77" i="14"/>
  <c r="E77" i="14"/>
  <c r="D77" i="14"/>
  <c r="C77" i="14"/>
  <c r="B77" i="14"/>
  <c r="A77" i="14"/>
  <c r="G76" i="14"/>
  <c r="F76" i="14"/>
  <c r="E76" i="14"/>
  <c r="D76" i="14"/>
  <c r="C76" i="14"/>
  <c r="B76" i="14"/>
  <c r="A76" i="14"/>
  <c r="G75" i="14"/>
  <c r="F75" i="14"/>
  <c r="E75" i="14"/>
  <c r="D75" i="14"/>
  <c r="C75" i="14"/>
  <c r="B75" i="14"/>
  <c r="A75" i="14"/>
  <c r="G74" i="14"/>
  <c r="F74" i="14"/>
  <c r="E74" i="14"/>
  <c r="D74" i="14"/>
  <c r="C74" i="14"/>
  <c r="B74" i="14"/>
  <c r="A74" i="14"/>
  <c r="G73" i="14"/>
  <c r="F73" i="14"/>
  <c r="E73" i="14"/>
  <c r="D73" i="14"/>
  <c r="C73" i="14"/>
  <c r="B73" i="14"/>
  <c r="A73" i="14"/>
  <c r="G72" i="14"/>
  <c r="F72" i="14"/>
  <c r="E72" i="14"/>
  <c r="D72" i="14"/>
  <c r="C72" i="14"/>
  <c r="B72" i="14"/>
  <c r="A72" i="14"/>
  <c r="G71" i="14"/>
  <c r="F71" i="14"/>
  <c r="E71" i="14"/>
  <c r="D71" i="14"/>
  <c r="C71" i="14"/>
  <c r="B71" i="14"/>
  <c r="A71" i="14"/>
  <c r="G70" i="14"/>
  <c r="F70" i="14"/>
  <c r="E70" i="14"/>
  <c r="D70" i="14"/>
  <c r="C70" i="14"/>
  <c r="B70" i="14"/>
  <c r="A70" i="14"/>
  <c r="G69" i="14"/>
  <c r="F69" i="14"/>
  <c r="E69" i="14"/>
  <c r="D69" i="14"/>
  <c r="C69" i="14"/>
  <c r="B69" i="14"/>
  <c r="A69" i="14"/>
  <c r="G68" i="14"/>
  <c r="F68" i="14"/>
  <c r="E68" i="14"/>
  <c r="D68" i="14"/>
  <c r="C68" i="14"/>
  <c r="B68" i="14"/>
  <c r="A68" i="14"/>
  <c r="G67" i="14"/>
  <c r="F67" i="14"/>
  <c r="E67" i="14"/>
  <c r="D67" i="14"/>
  <c r="C67" i="14"/>
  <c r="B67" i="14"/>
  <c r="A67" i="14"/>
  <c r="G66" i="14"/>
  <c r="F66" i="14"/>
  <c r="E66" i="14"/>
  <c r="D66" i="14"/>
  <c r="C66" i="14"/>
  <c r="B66" i="14"/>
  <c r="A66" i="14"/>
  <c r="G65" i="14"/>
  <c r="F65" i="14"/>
  <c r="E65" i="14"/>
  <c r="D65" i="14"/>
  <c r="C65" i="14"/>
  <c r="B65" i="14"/>
  <c r="A65" i="14"/>
  <c r="G64" i="14"/>
  <c r="F64" i="14"/>
  <c r="E64" i="14"/>
  <c r="D64" i="14"/>
  <c r="C64" i="14"/>
  <c r="B64" i="14"/>
  <c r="A64" i="14"/>
  <c r="G63" i="14"/>
  <c r="F63" i="14"/>
  <c r="E63" i="14"/>
  <c r="D63" i="14"/>
  <c r="C63" i="14"/>
  <c r="B63" i="14"/>
  <c r="A63" i="14"/>
  <c r="G62" i="14"/>
  <c r="F62" i="14"/>
  <c r="E62" i="14"/>
  <c r="D62" i="14"/>
  <c r="C62" i="14"/>
  <c r="B62" i="14"/>
  <c r="A62" i="14"/>
  <c r="G61" i="14"/>
  <c r="F61" i="14"/>
  <c r="E61" i="14"/>
  <c r="D61" i="14"/>
  <c r="C61" i="14"/>
  <c r="B61" i="14"/>
  <c r="A61" i="14"/>
  <c r="G60" i="14"/>
  <c r="F60" i="14"/>
  <c r="E60" i="14"/>
  <c r="D60" i="14"/>
  <c r="C60" i="14"/>
  <c r="B60" i="14"/>
  <c r="A60" i="14"/>
  <c r="G59" i="14"/>
  <c r="F59" i="14"/>
  <c r="E59" i="14"/>
  <c r="D59" i="14"/>
  <c r="C59" i="14"/>
  <c r="B59" i="14"/>
  <c r="A59" i="14"/>
  <c r="G58" i="14"/>
  <c r="F58" i="14"/>
  <c r="E58" i="14"/>
  <c r="D58" i="14"/>
  <c r="C58" i="14"/>
  <c r="B58" i="14"/>
  <c r="A58" i="14"/>
  <c r="G57" i="14"/>
  <c r="F57" i="14"/>
  <c r="E57" i="14"/>
  <c r="D57" i="14"/>
  <c r="C57" i="14"/>
  <c r="B57" i="14"/>
  <c r="A57" i="14"/>
  <c r="G56" i="14"/>
  <c r="F56" i="14"/>
  <c r="E56" i="14"/>
  <c r="D56" i="14"/>
  <c r="C56" i="14"/>
  <c r="B56" i="14"/>
  <c r="A56" i="14"/>
  <c r="G55" i="14"/>
  <c r="F55" i="14"/>
  <c r="E55" i="14"/>
  <c r="D55" i="14"/>
  <c r="C55" i="14"/>
  <c r="B55" i="14"/>
  <c r="A55" i="14"/>
  <c r="G54" i="14"/>
  <c r="F54" i="14"/>
  <c r="E54" i="14"/>
  <c r="D54" i="14"/>
  <c r="C54" i="14"/>
  <c r="B54" i="14"/>
  <c r="A54" i="14"/>
  <c r="G53" i="14"/>
  <c r="F53" i="14"/>
  <c r="E53" i="14"/>
  <c r="D53" i="14"/>
  <c r="C53" i="14"/>
  <c r="B53" i="14"/>
  <c r="A53" i="14"/>
  <c r="G52" i="14"/>
  <c r="F52" i="14"/>
  <c r="E52" i="14"/>
  <c r="D52" i="14"/>
  <c r="C52" i="14"/>
  <c r="B52" i="14"/>
  <c r="A52" i="14"/>
  <c r="G51" i="14"/>
  <c r="F51" i="14"/>
  <c r="E51" i="14"/>
  <c r="D51" i="14"/>
  <c r="C51" i="14"/>
  <c r="B51" i="14"/>
  <c r="A51" i="14"/>
  <c r="G50" i="14"/>
  <c r="F50" i="14"/>
  <c r="E50" i="14"/>
  <c r="D50" i="14"/>
  <c r="C50" i="14"/>
  <c r="B50" i="14"/>
  <c r="A50" i="14"/>
  <c r="G49" i="14"/>
  <c r="F49" i="14"/>
  <c r="E49" i="14"/>
  <c r="D49" i="14"/>
  <c r="C49" i="14"/>
  <c r="B49" i="14"/>
  <c r="A49" i="14"/>
  <c r="G48" i="14"/>
  <c r="F48" i="14"/>
  <c r="E48" i="14"/>
  <c r="D48" i="14"/>
  <c r="C48" i="14"/>
  <c r="B48" i="14"/>
  <c r="A48" i="14"/>
  <c r="G47" i="14"/>
  <c r="F47" i="14"/>
  <c r="E47" i="14"/>
  <c r="D47" i="14"/>
  <c r="C47" i="14"/>
  <c r="B47" i="14"/>
  <c r="A47" i="14"/>
  <c r="G46" i="14"/>
  <c r="F46" i="14"/>
  <c r="E46" i="14"/>
  <c r="D46" i="14"/>
  <c r="C46" i="14"/>
  <c r="B46" i="14"/>
  <c r="A46" i="14"/>
  <c r="G45" i="14"/>
  <c r="F45" i="14"/>
  <c r="E45" i="14"/>
  <c r="D45" i="14"/>
  <c r="C45" i="14"/>
  <c r="B45" i="14"/>
  <c r="A45" i="14"/>
  <c r="G44" i="14"/>
  <c r="F44" i="14"/>
  <c r="E44" i="14"/>
  <c r="D44" i="14"/>
  <c r="C44" i="14"/>
  <c r="B44" i="14"/>
  <c r="A44" i="14"/>
  <c r="G43" i="14"/>
  <c r="F43" i="14"/>
  <c r="E43" i="14"/>
  <c r="D43" i="14"/>
  <c r="C43" i="14"/>
  <c r="B43" i="14"/>
  <c r="A43" i="14"/>
  <c r="G42" i="14"/>
  <c r="F42" i="14"/>
  <c r="E42" i="14"/>
  <c r="D42" i="14"/>
  <c r="C42" i="14"/>
  <c r="B42" i="14"/>
  <c r="A42" i="14"/>
  <c r="G41" i="14"/>
  <c r="F41" i="14"/>
  <c r="E41" i="14"/>
  <c r="D41" i="14"/>
  <c r="C41" i="14"/>
  <c r="B41" i="14"/>
  <c r="A41" i="14"/>
  <c r="G40" i="14"/>
  <c r="F40" i="14"/>
  <c r="E40" i="14"/>
  <c r="D40" i="14"/>
  <c r="C40" i="14"/>
  <c r="B40" i="14"/>
  <c r="A40" i="14"/>
  <c r="G39" i="14"/>
  <c r="F39" i="14"/>
  <c r="E39" i="14"/>
  <c r="D39" i="14"/>
  <c r="C39" i="14"/>
  <c r="B39" i="14"/>
  <c r="A39" i="14"/>
  <c r="G38" i="14"/>
  <c r="F38" i="14"/>
  <c r="E38" i="14"/>
  <c r="D38" i="14"/>
  <c r="C38" i="14"/>
  <c r="B38" i="14"/>
  <c r="A38" i="14"/>
  <c r="G37" i="14"/>
  <c r="F37" i="14"/>
  <c r="E37" i="14"/>
  <c r="D37" i="14"/>
  <c r="C37" i="14"/>
  <c r="B37" i="14"/>
  <c r="A37" i="14"/>
  <c r="G36" i="14"/>
  <c r="F36" i="14"/>
  <c r="E36" i="14"/>
  <c r="D36" i="14"/>
  <c r="C36" i="14"/>
  <c r="B36" i="14"/>
  <c r="A36" i="14"/>
  <c r="G35" i="14"/>
  <c r="F35" i="14"/>
  <c r="E35" i="14"/>
  <c r="D35" i="14"/>
  <c r="C35" i="14"/>
  <c r="B35" i="14"/>
  <c r="A35" i="14"/>
  <c r="G34" i="14"/>
  <c r="F34" i="14"/>
  <c r="E34" i="14"/>
  <c r="D34" i="14"/>
  <c r="C34" i="14"/>
  <c r="B34" i="14"/>
  <c r="A34" i="14"/>
  <c r="G33" i="14"/>
  <c r="F33" i="14"/>
  <c r="E33" i="14"/>
  <c r="D33" i="14"/>
  <c r="C33" i="14"/>
  <c r="B33" i="14"/>
  <c r="A33" i="14"/>
  <c r="G32" i="14"/>
  <c r="F32" i="14"/>
  <c r="E32" i="14"/>
  <c r="D32" i="14"/>
  <c r="C32" i="14"/>
  <c r="B32" i="14"/>
  <c r="A32" i="14"/>
  <c r="G31" i="14"/>
  <c r="F31" i="14"/>
  <c r="E31" i="14"/>
  <c r="D31" i="14"/>
  <c r="C31" i="14"/>
  <c r="B31" i="14"/>
  <c r="A31" i="14"/>
  <c r="G30" i="14"/>
  <c r="F30" i="14"/>
  <c r="E30" i="14"/>
  <c r="D30" i="14"/>
  <c r="C30" i="14"/>
  <c r="B30" i="14"/>
  <c r="A30" i="14"/>
  <c r="G29" i="14"/>
  <c r="F29" i="14"/>
  <c r="E29" i="14"/>
  <c r="D29" i="14"/>
  <c r="C29" i="14"/>
  <c r="B29" i="14"/>
  <c r="A29" i="14"/>
  <c r="G28" i="14"/>
  <c r="F28" i="14"/>
  <c r="E28" i="14"/>
  <c r="D28" i="14"/>
  <c r="C28" i="14"/>
  <c r="B28" i="14"/>
  <c r="A28" i="14"/>
  <c r="G27" i="14"/>
  <c r="F27" i="14"/>
  <c r="E27" i="14"/>
  <c r="D27" i="14"/>
  <c r="C27" i="14"/>
  <c r="B27" i="14"/>
  <c r="A27" i="14"/>
  <c r="G26" i="14"/>
  <c r="F26" i="14"/>
  <c r="E26" i="14"/>
  <c r="D26" i="14"/>
  <c r="C26" i="14"/>
  <c r="B26" i="14"/>
  <c r="A26" i="14"/>
  <c r="G25" i="14"/>
  <c r="F25" i="14"/>
  <c r="E25" i="14"/>
  <c r="D25" i="14"/>
  <c r="C25" i="14"/>
  <c r="B25" i="14"/>
  <c r="A25" i="14"/>
  <c r="G24" i="14"/>
  <c r="F24" i="14"/>
  <c r="E24" i="14"/>
  <c r="D24" i="14"/>
  <c r="C24" i="14"/>
  <c r="B24" i="14"/>
  <c r="A24" i="14"/>
  <c r="G23" i="14"/>
  <c r="F23" i="14"/>
  <c r="E23" i="14"/>
  <c r="D23" i="14"/>
  <c r="C23" i="14"/>
  <c r="B23" i="14"/>
  <c r="A23" i="14"/>
  <c r="G22" i="14"/>
  <c r="F22" i="14"/>
  <c r="E22" i="14"/>
  <c r="D22" i="14"/>
  <c r="C22" i="14"/>
  <c r="B22" i="14"/>
  <c r="A22" i="14"/>
  <c r="G21" i="14"/>
  <c r="F21" i="14"/>
  <c r="E21" i="14"/>
  <c r="D21" i="14"/>
  <c r="C21" i="14"/>
  <c r="B21" i="14"/>
  <c r="A21" i="14"/>
  <c r="G20" i="14"/>
  <c r="F20" i="14"/>
  <c r="E20" i="14"/>
  <c r="D20" i="14"/>
  <c r="C20" i="14"/>
  <c r="B20" i="14"/>
  <c r="A20" i="14"/>
  <c r="G19" i="14"/>
  <c r="F19" i="14"/>
  <c r="E19" i="14"/>
  <c r="D19" i="14"/>
  <c r="C19" i="14"/>
  <c r="B19" i="14"/>
  <c r="A19" i="14"/>
  <c r="G18" i="14"/>
  <c r="F18" i="14"/>
  <c r="E18" i="14"/>
  <c r="D18" i="14"/>
  <c r="C18" i="14"/>
  <c r="B18" i="14"/>
  <c r="A18" i="14"/>
  <c r="G17" i="14"/>
  <c r="F17" i="14"/>
  <c r="E17" i="14"/>
  <c r="D17" i="14"/>
  <c r="C17" i="14"/>
  <c r="B17" i="14"/>
  <c r="A17" i="14"/>
  <c r="G16" i="14"/>
  <c r="F16" i="14"/>
  <c r="E16" i="14"/>
  <c r="D16" i="14"/>
  <c r="C16" i="14"/>
  <c r="B16" i="14"/>
  <c r="A16" i="14"/>
  <c r="G15" i="14"/>
  <c r="F15" i="14"/>
  <c r="E15" i="14"/>
  <c r="D15" i="14"/>
  <c r="C15" i="14"/>
  <c r="B15" i="14"/>
  <c r="A15" i="14"/>
  <c r="G14" i="14"/>
  <c r="F14" i="14"/>
  <c r="E14" i="14"/>
  <c r="D14" i="14"/>
  <c r="C14" i="14"/>
  <c r="B14" i="14"/>
  <c r="A14" i="14"/>
  <c r="G13" i="14"/>
  <c r="F13" i="14"/>
  <c r="E13" i="14"/>
  <c r="D13" i="14"/>
  <c r="C13" i="14"/>
  <c r="B13" i="14"/>
  <c r="A13" i="14"/>
  <c r="G12" i="14"/>
  <c r="F12" i="14"/>
  <c r="E12" i="14"/>
  <c r="D12" i="14"/>
  <c r="C12" i="14"/>
  <c r="B12" i="14"/>
  <c r="A12" i="14"/>
  <c r="G11" i="14"/>
  <c r="F11" i="14"/>
  <c r="E11" i="14"/>
  <c r="D11" i="14"/>
  <c r="C11" i="14"/>
  <c r="B11" i="14"/>
  <c r="A11" i="14"/>
  <c r="G10" i="14"/>
  <c r="F10" i="14"/>
  <c r="E10" i="14"/>
  <c r="D10" i="14"/>
  <c r="C10" i="14"/>
  <c r="B10" i="14"/>
  <c r="A10" i="14"/>
  <c r="G9" i="14"/>
  <c r="F9" i="14"/>
  <c r="E9" i="14"/>
  <c r="D9" i="14"/>
  <c r="C9" i="14"/>
  <c r="B9" i="14"/>
  <c r="A9" i="14"/>
  <c r="G8" i="14"/>
  <c r="F8" i="14"/>
  <c r="E8" i="14"/>
  <c r="D8" i="14"/>
  <c r="C8" i="14"/>
  <c r="B8" i="14"/>
  <c r="A8" i="14"/>
  <c r="G7" i="14"/>
  <c r="F7" i="14"/>
  <c r="E7" i="14"/>
  <c r="D7" i="14"/>
  <c r="C7" i="14"/>
  <c r="B7" i="14"/>
  <c r="A7" i="14"/>
  <c r="G6" i="14"/>
  <c r="F6" i="14"/>
  <c r="E6" i="14"/>
  <c r="D6" i="14"/>
  <c r="C6" i="14"/>
  <c r="B6" i="14"/>
  <c r="A6" i="14"/>
  <c r="G5" i="14"/>
  <c r="F5" i="14"/>
  <c r="E5" i="14"/>
  <c r="D5" i="14"/>
  <c r="C5" i="14"/>
  <c r="B5" i="14"/>
  <c r="A5" i="14"/>
  <c r="M3955" i="14"/>
  <c r="M3693" i="14"/>
  <c r="M3688" i="14"/>
  <c r="M3619" i="14"/>
  <c r="M3340" i="14"/>
  <c r="M3055" i="14"/>
  <c r="M2881" i="14"/>
  <c r="M2877" i="14"/>
  <c r="M2821" i="14"/>
  <c r="M2584" i="14"/>
  <c r="M2392" i="14"/>
  <c r="M2298" i="14"/>
  <c r="M2296" i="14"/>
  <c r="M2282" i="14"/>
  <c r="M2210" i="14"/>
  <c r="M2130" i="14"/>
  <c r="M2082" i="14"/>
  <c r="M2080" i="14"/>
  <c r="M2066" i="14"/>
  <c r="M1998" i="14"/>
  <c r="M1931" i="14"/>
  <c r="M1890" i="14"/>
  <c r="M1888" i="14"/>
  <c r="M1876" i="14"/>
  <c r="M1814" i="14"/>
  <c r="M1746" i="14"/>
  <c r="M1706" i="14"/>
  <c r="M1701" i="14"/>
  <c r="M1689" i="14"/>
  <c r="M1628" i="14"/>
  <c r="M1562" i="14"/>
  <c r="M1520" i="14"/>
  <c r="M1517" i="14"/>
  <c r="M1505" i="14"/>
  <c r="M1446" i="14"/>
  <c r="M1401" i="14"/>
  <c r="M1376" i="14"/>
  <c r="M1373" i="14"/>
  <c r="M1364" i="14"/>
  <c r="M1324" i="14"/>
  <c r="M1278" i="14"/>
  <c r="M1253" i="14"/>
  <c r="M1250" i="14"/>
  <c r="M1241" i="14"/>
  <c r="M1202" i="14"/>
  <c r="M1175" i="14"/>
  <c r="M1160" i="14"/>
  <c r="M1158" i="14"/>
  <c r="M1153" i="14"/>
  <c r="M1129" i="14"/>
  <c r="M1103" i="14"/>
  <c r="M1088" i="14"/>
  <c r="M1086" i="14"/>
  <c r="M1081" i="14"/>
  <c r="M1057" i="14"/>
  <c r="M1031" i="14"/>
  <c r="M1016" i="14"/>
  <c r="M1014" i="14"/>
  <c r="M1009" i="14"/>
  <c r="M985" i="14"/>
  <c r="M959" i="14"/>
  <c r="M944" i="14"/>
  <c r="M942" i="14"/>
  <c r="M937" i="14"/>
  <c r="M913" i="14"/>
  <c r="M888" i="14"/>
  <c r="M875" i="14"/>
  <c r="M874" i="14"/>
  <c r="M872" i="14"/>
  <c r="M851" i="14"/>
  <c r="M827" i="14"/>
  <c r="M814" i="14"/>
  <c r="M812" i="14"/>
  <c r="M810" i="14"/>
  <c r="M790" i="14"/>
  <c r="M766" i="14"/>
  <c r="M752" i="14"/>
  <c r="M750" i="14"/>
  <c r="M747" i="14"/>
  <c r="M728" i="14"/>
  <c r="M704" i="14"/>
  <c r="M690" i="14"/>
  <c r="M687" i="14"/>
  <c r="M685" i="14"/>
  <c r="M666" i="14"/>
  <c r="M642" i="14"/>
  <c r="M627" i="14"/>
  <c r="M625" i="14"/>
  <c r="M624" i="14"/>
  <c r="M603" i="14"/>
  <c r="M579" i="14"/>
  <c r="M565" i="14"/>
  <c r="M564" i="14"/>
  <c r="M563" i="14"/>
  <c r="M541" i="14"/>
  <c r="M517" i="14"/>
  <c r="M504" i="14"/>
  <c r="M503" i="14"/>
  <c r="M502" i="14"/>
  <c r="M480" i="14"/>
  <c r="M456" i="14"/>
  <c r="M443" i="14"/>
  <c r="M442" i="14"/>
  <c r="M440" i="14"/>
  <c r="M419" i="14"/>
  <c r="M395" i="14"/>
  <c r="M382" i="14"/>
  <c r="M380" i="14"/>
  <c r="M378" i="14"/>
  <c r="M358" i="14"/>
  <c r="M334" i="14"/>
  <c r="M320" i="14"/>
  <c r="M318" i="14"/>
  <c r="M315" i="14"/>
  <c r="M296" i="14"/>
  <c r="M272" i="14"/>
  <c r="M258" i="14"/>
  <c r="M255" i="14"/>
  <c r="M253" i="14"/>
  <c r="M234" i="14"/>
  <c r="M210" i="14"/>
  <c r="M200" i="14"/>
  <c r="M195" i="14"/>
  <c r="M193" i="14"/>
  <c r="M176" i="14"/>
  <c r="M155" i="14"/>
  <c r="M154" i="14"/>
  <c r="M152" i="14"/>
  <c r="M147" i="14"/>
  <c r="M131" i="14"/>
  <c r="M109" i="14"/>
  <c r="M107" i="14"/>
  <c r="M96" i="14"/>
  <c r="M94" i="14"/>
  <c r="M78" i="14"/>
  <c r="M66" i="14"/>
  <c r="M58" i="14"/>
  <c r="M56" i="14"/>
  <c r="M53" i="14"/>
  <c r="M44" i="14"/>
  <c r="M37" i="14"/>
  <c r="M32" i="14"/>
  <c r="M31" i="14"/>
  <c r="M29" i="14"/>
  <c r="M20" i="14"/>
  <c r="M13" i="14"/>
  <c r="M8" i="14"/>
  <c r="M7" i="14"/>
  <c r="M5" i="14"/>
  <c r="M4" i="14" a="1"/>
  <c r="G4" i="14"/>
  <c r="F4" i="14"/>
  <c r="E4" i="14"/>
  <c r="D4" i="14"/>
  <c r="C4" i="14"/>
  <c r="B4" i="14"/>
  <c r="A4" i="14"/>
  <c r="G3" i="14"/>
  <c r="F3" i="14"/>
  <c r="E3" i="14"/>
  <c r="D3" i="14"/>
  <c r="C3" i="14"/>
  <c r="B3" i="14"/>
  <c r="A3" i="14"/>
  <c r="G11" i="13"/>
  <c r="B11" i="13" s="1"/>
  <c r="C11" i="13"/>
  <c r="E11" i="13" s="1"/>
  <c r="G10" i="13"/>
  <c r="B10" i="13" s="1"/>
  <c r="C10" i="13"/>
  <c r="E10" i="13" s="1"/>
  <c r="C9" i="13"/>
  <c r="E9" i="13" s="1"/>
  <c r="B9" i="13"/>
  <c r="G8" i="13"/>
  <c r="B8" i="13" s="1"/>
  <c r="C8" i="13"/>
  <c r="E8" i="13" s="1"/>
  <c r="G7" i="13"/>
  <c r="B7" i="13" s="1"/>
  <c r="E7" i="13"/>
  <c r="C7" i="13"/>
  <c r="E6" i="13"/>
  <c r="C6" i="13"/>
  <c r="B6" i="13"/>
  <c r="E5" i="13"/>
  <c r="C5" i="13"/>
  <c r="B5" i="13"/>
  <c r="G4" i="13"/>
  <c r="B4" i="13" s="1"/>
  <c r="C4" i="13"/>
  <c r="E4" i="13" s="1"/>
  <c r="E3" i="13"/>
  <c r="A4" i="3"/>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 i="3"/>
  <c r="M3" i="14" l="1"/>
  <c r="L3" i="14"/>
  <c r="I3" i="14"/>
  <c r="H3" i="14"/>
  <c r="J3" i="14"/>
  <c r="K3" i="14"/>
  <c r="M7174" i="14"/>
  <c r="M7162" i="14"/>
  <c r="M7150" i="14"/>
  <c r="M7138" i="14"/>
  <c r="M7126" i="14"/>
  <c r="M7114" i="14"/>
  <c r="M7102" i="14"/>
  <c r="M7090" i="14"/>
  <c r="M7078" i="14"/>
  <c r="M7066" i="14"/>
  <c r="M7054" i="14"/>
  <c r="M7042" i="14"/>
  <c r="M7030" i="14"/>
  <c r="M7018" i="14"/>
  <c r="M7006" i="14"/>
  <c r="M6994" i="14"/>
  <c r="M6982" i="14"/>
  <c r="M6970" i="14"/>
  <c r="M6958" i="14"/>
  <c r="M6946" i="14"/>
  <c r="M6934" i="14"/>
  <c r="M6922" i="14"/>
  <c r="M6910" i="14"/>
  <c r="M6898" i="14"/>
  <c r="M6886" i="14"/>
  <c r="M6874" i="14"/>
  <c r="M6862" i="14"/>
  <c r="M6850" i="14"/>
  <c r="M6838" i="14"/>
  <c r="M6826" i="14"/>
  <c r="M6814" i="14"/>
  <c r="M6802" i="14"/>
  <c r="M6790" i="14"/>
  <c r="M6778" i="14"/>
  <c r="M6766" i="14"/>
  <c r="M6754" i="14"/>
  <c r="M6742" i="14"/>
  <c r="M6730" i="14"/>
  <c r="M6718" i="14"/>
  <c r="M6706" i="14"/>
  <c r="M6694" i="14"/>
  <c r="M6682" i="14"/>
  <c r="M6670" i="14"/>
  <c r="M6658" i="14"/>
  <c r="M6646" i="14"/>
  <c r="M6634" i="14"/>
  <c r="M6622" i="14"/>
  <c r="M6610" i="14"/>
  <c r="M6598" i="14"/>
  <c r="M6586" i="14"/>
  <c r="M6574" i="14"/>
  <c r="M6562" i="14"/>
  <c r="M7173" i="14"/>
  <c r="M7161" i="14"/>
  <c r="M7149" i="14"/>
  <c r="M7137" i="14"/>
  <c r="M7125" i="14"/>
  <c r="M7113" i="14"/>
  <c r="M7101" i="14"/>
  <c r="M7089" i="14"/>
  <c r="M7077" i="14"/>
  <c r="M7065" i="14"/>
  <c r="M7053" i="14"/>
  <c r="M7041" i="14"/>
  <c r="M7029" i="14"/>
  <c r="M7017" i="14"/>
  <c r="M7005" i="14"/>
  <c r="M6993" i="14"/>
  <c r="M6981" i="14"/>
  <c r="M6969" i="14"/>
  <c r="M6957" i="14"/>
  <c r="M6945" i="14"/>
  <c r="M6933" i="14"/>
  <c r="M6921" i="14"/>
  <c r="M6909" i="14"/>
  <c r="M6897" i="14"/>
  <c r="M6885" i="14"/>
  <c r="M6873" i="14"/>
  <c r="M6861" i="14"/>
  <c r="M6849" i="14"/>
  <c r="M6837" i="14"/>
  <c r="M6825" i="14"/>
  <c r="M6813" i="14"/>
  <c r="M6801" i="14"/>
  <c r="M6789" i="14"/>
  <c r="M6777" i="14"/>
  <c r="M6765" i="14"/>
  <c r="M6753" i="14"/>
  <c r="M6741" i="14"/>
  <c r="M6729" i="14"/>
  <c r="M6717" i="14"/>
  <c r="M6705" i="14"/>
  <c r="M6693" i="14"/>
  <c r="M6681" i="14"/>
  <c r="M6669" i="14"/>
  <c r="M6657" i="14"/>
  <c r="M6645" i="14"/>
  <c r="M6633" i="14"/>
  <c r="M6621" i="14"/>
  <c r="M6609" i="14"/>
  <c r="M6597" i="14"/>
  <c r="M6585" i="14"/>
  <c r="M6573" i="14"/>
  <c r="M6561" i="14"/>
  <c r="M6549" i="14"/>
  <c r="M6537" i="14"/>
  <c r="M6525" i="14"/>
  <c r="M6513" i="14"/>
  <c r="M6501" i="14"/>
  <c r="M6489" i="14"/>
  <c r="M6477" i="14"/>
  <c r="M6465" i="14"/>
  <c r="M6453" i="14"/>
  <c r="M6441" i="14"/>
  <c r="M6429" i="14"/>
  <c r="M6417" i="14"/>
  <c r="M6405" i="14"/>
  <c r="M6393" i="14"/>
  <c r="M6381" i="14"/>
  <c r="M6369" i="14"/>
  <c r="M6357" i="14"/>
  <c r="M6345" i="14"/>
  <c r="M6333" i="14"/>
  <c r="M6321" i="14"/>
  <c r="M6309" i="14"/>
  <c r="M6297" i="14"/>
  <c r="M6285" i="14"/>
  <c r="M6273" i="14"/>
  <c r="M6261" i="14"/>
  <c r="M6249" i="14"/>
  <c r="M6237" i="14"/>
  <c r="M6225" i="14"/>
  <c r="M6213" i="14"/>
  <c r="M6201" i="14"/>
  <c r="M6189" i="14"/>
  <c r="M6177" i="14"/>
  <c r="M6165" i="14"/>
  <c r="M7172" i="14"/>
  <c r="M7160" i="14"/>
  <c r="M7148" i="14"/>
  <c r="M7136" i="14"/>
  <c r="M7124" i="14"/>
  <c r="M7112" i="14"/>
  <c r="M7100" i="14"/>
  <c r="M7088" i="14"/>
  <c r="M7076" i="14"/>
  <c r="M7064" i="14"/>
  <c r="M7052" i="14"/>
  <c r="M7040" i="14"/>
  <c r="M7028" i="14"/>
  <c r="M7016" i="14"/>
  <c r="M7004" i="14"/>
  <c r="M6992" i="14"/>
  <c r="M6980" i="14"/>
  <c r="M6968" i="14"/>
  <c r="M6956" i="14"/>
  <c r="M6944" i="14"/>
  <c r="M6932" i="14"/>
  <c r="M6920" i="14"/>
  <c r="M6908" i="14"/>
  <c r="M6896" i="14"/>
  <c r="M6884" i="14"/>
  <c r="M6872" i="14"/>
  <c r="M6860" i="14"/>
  <c r="M6848" i="14"/>
  <c r="M6836" i="14"/>
  <c r="M6824" i="14"/>
  <c r="M6812" i="14"/>
  <c r="M6800" i="14"/>
  <c r="M6788" i="14"/>
  <c r="M6776" i="14"/>
  <c r="M6764" i="14"/>
  <c r="M6752" i="14"/>
  <c r="M6740" i="14"/>
  <c r="M6728" i="14"/>
  <c r="M6716" i="14"/>
  <c r="M6704" i="14"/>
  <c r="M6692" i="14"/>
  <c r="M6680" i="14"/>
  <c r="M6668" i="14"/>
  <c r="M6656" i="14"/>
  <c r="M6644" i="14"/>
  <c r="M6632" i="14"/>
  <c r="M6620" i="14"/>
  <c r="M6608" i="14"/>
  <c r="M6596" i="14"/>
  <c r="M6584" i="14"/>
  <c r="M6572" i="14"/>
  <c r="M6560" i="14"/>
  <c r="M6548" i="14"/>
  <c r="M6536" i="14"/>
  <c r="M6524" i="14"/>
  <c r="M6512" i="14"/>
  <c r="M6500" i="14"/>
  <c r="M6488" i="14"/>
  <c r="M6476" i="14"/>
  <c r="M6464" i="14"/>
  <c r="M6452" i="14"/>
  <c r="M6440" i="14"/>
  <c r="M6428" i="14"/>
  <c r="M6416" i="14"/>
  <c r="M6404" i="14"/>
  <c r="M7171" i="14"/>
  <c r="M7159" i="14"/>
  <c r="M7147" i="14"/>
  <c r="M7135" i="14"/>
  <c r="M7123" i="14"/>
  <c r="M7111" i="14"/>
  <c r="M7099" i="14"/>
  <c r="M7087" i="14"/>
  <c r="M7075" i="14"/>
  <c r="M7063" i="14"/>
  <c r="M7051" i="14"/>
  <c r="M7039" i="14"/>
  <c r="M7027" i="14"/>
  <c r="M7015" i="14"/>
  <c r="M7003" i="14"/>
  <c r="M6991" i="14"/>
  <c r="M6979" i="14"/>
  <c r="M6967" i="14"/>
  <c r="M6955" i="14"/>
  <c r="M6943" i="14"/>
  <c r="M6931" i="14"/>
  <c r="M6919" i="14"/>
  <c r="M6907" i="14"/>
  <c r="M6895" i="14"/>
  <c r="M6883" i="14"/>
  <c r="M6871" i="14"/>
  <c r="M6859" i="14"/>
  <c r="M6847" i="14"/>
  <c r="M6835" i="14"/>
  <c r="M6823" i="14"/>
  <c r="M6811" i="14"/>
  <c r="M6799" i="14"/>
  <c r="M6787" i="14"/>
  <c r="M6775" i="14"/>
  <c r="M6763" i="14"/>
  <c r="M6751" i="14"/>
  <c r="M6739" i="14"/>
  <c r="M7170" i="14"/>
  <c r="M7158" i="14"/>
  <c r="M7146" i="14"/>
  <c r="M7134" i="14"/>
  <c r="M7122" i="14"/>
  <c r="M7110" i="14"/>
  <c r="M7098" i="14"/>
  <c r="M7086" i="14"/>
  <c r="M7074" i="14"/>
  <c r="M7062" i="14"/>
  <c r="M7050" i="14"/>
  <c r="M7038" i="14"/>
  <c r="M7026" i="14"/>
  <c r="M7014" i="14"/>
  <c r="M7002" i="14"/>
  <c r="M6990" i="14"/>
  <c r="M6978" i="14"/>
  <c r="M6966" i="14"/>
  <c r="M6954" i="14"/>
  <c r="M6942" i="14"/>
  <c r="M6930" i="14"/>
  <c r="M6918" i="14"/>
  <c r="M6906" i="14"/>
  <c r="M6894" i="14"/>
  <c r="M6882" i="14"/>
  <c r="M6870" i="14"/>
  <c r="M6858" i="14"/>
  <c r="M6846" i="14"/>
  <c r="M6834" i="14"/>
  <c r="M6822" i="14"/>
  <c r="M6810" i="14"/>
  <c r="M6798" i="14"/>
  <c r="M6786" i="14"/>
  <c r="M6774" i="14"/>
  <c r="M6762" i="14"/>
  <c r="M6750" i="14"/>
  <c r="M6738" i="14"/>
  <c r="M6726" i="14"/>
  <c r="M6714" i="14"/>
  <c r="M7169" i="14"/>
  <c r="M7157" i="14"/>
  <c r="M7145" i="14"/>
  <c r="M7133" i="14"/>
  <c r="M7121" i="14"/>
  <c r="M7109" i="14"/>
  <c r="M7097" i="14"/>
  <c r="M7085" i="14"/>
  <c r="M7073" i="14"/>
  <c r="M7061" i="14"/>
  <c r="M7049" i="14"/>
  <c r="M7037" i="14"/>
  <c r="M7025" i="14"/>
  <c r="M7013" i="14"/>
  <c r="M7001" i="14"/>
  <c r="M6989" i="14"/>
  <c r="M6977" i="14"/>
  <c r="M6965" i="14"/>
  <c r="M6953" i="14"/>
  <c r="M6941" i="14"/>
  <c r="M6929" i="14"/>
  <c r="M6917" i="14"/>
  <c r="M6905" i="14"/>
  <c r="M6893" i="14"/>
  <c r="M6881" i="14"/>
  <c r="M6869" i="14"/>
  <c r="M6857" i="14"/>
  <c r="M6845" i="14"/>
  <c r="M6833" i="14"/>
  <c r="M6821" i="14"/>
  <c r="M6809" i="14"/>
  <c r="M6797" i="14"/>
  <c r="M6785" i="14"/>
  <c r="M6773" i="14"/>
  <c r="M6761" i="14"/>
  <c r="M6749" i="14"/>
  <c r="M6737" i="14"/>
  <c r="M6725" i="14"/>
  <c r="M6713" i="14"/>
  <c r="M6701" i="14"/>
  <c r="M6689" i="14"/>
  <c r="M6677" i="14"/>
  <c r="M6665" i="14"/>
  <c r="M6653" i="14"/>
  <c r="M6641" i="14"/>
  <c r="M6629" i="14"/>
  <c r="M6617" i="14"/>
  <c r="M6605" i="14"/>
  <c r="M6593" i="14"/>
  <c r="M6581" i="14"/>
  <c r="M6569" i="14"/>
  <c r="M6557" i="14"/>
  <c r="M6545" i="14"/>
  <c r="M6533" i="14"/>
  <c r="M6521" i="14"/>
  <c r="M6509" i="14"/>
  <c r="M6497" i="14"/>
  <c r="M6485" i="14"/>
  <c r="M6473" i="14"/>
  <c r="M6461" i="14"/>
  <c r="M6449" i="14"/>
  <c r="M6437" i="14"/>
  <c r="M6425" i="14"/>
  <c r="M6413" i="14"/>
  <c r="M6401" i="14"/>
  <c r="M6389" i="14"/>
  <c r="M6377" i="14"/>
  <c r="M6365" i="14"/>
  <c r="M6353" i="14"/>
  <c r="M6341" i="14"/>
  <c r="M6329" i="14"/>
  <c r="M6317" i="14"/>
  <c r="M6305" i="14"/>
  <c r="M6293" i="14"/>
  <c r="M6281" i="14"/>
  <c r="M6269" i="14"/>
  <c r="M6257" i="14"/>
  <c r="M6245" i="14"/>
  <c r="M6233" i="14"/>
  <c r="M6221" i="14"/>
  <c r="M6209" i="14"/>
  <c r="M6197" i="14"/>
  <c r="M6185" i="14"/>
  <c r="M6173" i="14"/>
  <c r="M6161" i="14"/>
  <c r="M7155" i="14"/>
  <c r="M7131" i="14"/>
  <c r="M7107" i="14"/>
  <c r="M7083" i="14"/>
  <c r="M7059" i="14"/>
  <c r="M7035" i="14"/>
  <c r="M7011" i="14"/>
  <c r="M6987" i="14"/>
  <c r="M6963" i="14"/>
  <c r="M6939" i="14"/>
  <c r="M6915" i="14"/>
  <c r="M6891" i="14"/>
  <c r="M6867" i="14"/>
  <c r="M6843" i="14"/>
  <c r="M6819" i="14"/>
  <c r="M6795" i="14"/>
  <c r="M6771" i="14"/>
  <c r="M6747" i="14"/>
  <c r="M6724" i="14"/>
  <c r="M6707" i="14"/>
  <c r="M6687" i="14"/>
  <c r="M6671" i="14"/>
  <c r="M6651" i="14"/>
  <c r="M6635" i="14"/>
  <c r="M6615" i="14"/>
  <c r="M6599" i="14"/>
  <c r="M6579" i="14"/>
  <c r="M6563" i="14"/>
  <c r="M6544" i="14"/>
  <c r="M6529" i="14"/>
  <c r="M6514" i="14"/>
  <c r="M6496" i="14"/>
  <c r="M6481" i="14"/>
  <c r="M6466" i="14"/>
  <c r="M6448" i="14"/>
  <c r="M6433" i="14"/>
  <c r="M6418" i="14"/>
  <c r="M6400" i="14"/>
  <c r="M6386" i="14"/>
  <c r="M6372" i="14"/>
  <c r="M6358" i="14"/>
  <c r="M6343" i="14"/>
  <c r="M6328" i="14"/>
  <c r="M6314" i="14"/>
  <c r="M6300" i="14"/>
  <c r="M6286" i="14"/>
  <c r="M6271" i="14"/>
  <c r="M6256" i="14"/>
  <c r="M6242" i="14"/>
  <c r="M6228" i="14"/>
  <c r="M6214" i="14"/>
  <c r="M6199" i="14"/>
  <c r="M6184" i="14"/>
  <c r="M6170" i="14"/>
  <c r="M6156" i="14"/>
  <c r="M6144" i="14"/>
  <c r="M7176" i="14"/>
  <c r="M7152" i="14"/>
  <c r="M7128" i="14"/>
  <c r="M7104" i="14"/>
  <c r="M7080" i="14"/>
  <c r="M7056" i="14"/>
  <c r="M7032" i="14"/>
  <c r="M7008" i="14"/>
  <c r="M6984" i="14"/>
  <c r="M6960" i="14"/>
  <c r="M6936" i="14"/>
  <c r="M6912" i="14"/>
  <c r="M6888" i="14"/>
  <c r="M6864" i="14"/>
  <c r="M6840" i="14"/>
  <c r="M6816" i="14"/>
  <c r="M6792" i="14"/>
  <c r="M6768" i="14"/>
  <c r="M6744" i="14"/>
  <c r="M6721" i="14"/>
  <c r="M6700" i="14"/>
  <c r="M6684" i="14"/>
  <c r="M6664" i="14"/>
  <c r="M6648" i="14"/>
  <c r="M6628" i="14"/>
  <c r="M6612" i="14"/>
  <c r="M6592" i="14"/>
  <c r="M6576" i="14"/>
  <c r="M6556" i="14"/>
  <c r="M6541" i="14"/>
  <c r="M6526" i="14"/>
  <c r="M6508" i="14"/>
  <c r="M6493" i="14"/>
  <c r="M6478" i="14"/>
  <c r="M6460" i="14"/>
  <c r="M6445" i="14"/>
  <c r="M6430" i="14"/>
  <c r="M6412" i="14"/>
  <c r="M6397" i="14"/>
  <c r="M6383" i="14"/>
  <c r="M6368" i="14"/>
  <c r="M6354" i="14"/>
  <c r="M6339" i="14"/>
  <c r="M6325" i="14"/>
  <c r="M6311" i="14"/>
  <c r="M6296" i="14"/>
  <c r="M6282" i="14"/>
  <c r="M6267" i="14"/>
  <c r="M6253" i="14"/>
  <c r="M6239" i="14"/>
  <c r="M6224" i="14"/>
  <c r="M6210" i="14"/>
  <c r="M6195" i="14"/>
  <c r="M6181" i="14"/>
  <c r="M6167" i="14"/>
  <c r="M6153" i="14"/>
  <c r="M6141" i="14"/>
  <c r="M6129" i="14"/>
  <c r="M6117" i="14"/>
  <c r="M6105" i="14"/>
  <c r="M6093" i="14"/>
  <c r="M6081" i="14"/>
  <c r="M6069" i="14"/>
  <c r="M6057" i="14"/>
  <c r="M6045" i="14"/>
  <c r="M6033" i="14"/>
  <c r="M6021" i="14"/>
  <c r="M6009" i="14"/>
  <c r="M5997" i="14"/>
  <c r="M5985" i="14"/>
  <c r="M5973" i="14"/>
  <c r="M5961" i="14"/>
  <c r="M5949" i="14"/>
  <c r="M5937" i="14"/>
  <c r="M5925" i="14"/>
  <c r="M5913" i="14"/>
  <c r="M5901" i="14"/>
  <c r="M5889" i="14"/>
  <c r="M5877" i="14"/>
  <c r="M5865" i="14"/>
  <c r="M5853" i="14"/>
  <c r="M5841" i="14"/>
  <c r="M5829" i="14"/>
  <c r="M5817" i="14"/>
  <c r="M5805" i="14"/>
  <c r="M7168" i="14"/>
  <c r="M7144" i="14"/>
  <c r="M7120" i="14"/>
  <c r="M7096" i="14"/>
  <c r="M7072" i="14"/>
  <c r="M7048" i="14"/>
  <c r="M7024" i="14"/>
  <c r="M7000" i="14"/>
  <c r="M6976" i="14"/>
  <c r="M6952" i="14"/>
  <c r="M6928" i="14"/>
  <c r="M6904" i="14"/>
  <c r="M6880" i="14"/>
  <c r="M6856" i="14"/>
  <c r="M6832" i="14"/>
  <c r="M6808" i="14"/>
  <c r="M6784" i="14"/>
  <c r="M6760" i="14"/>
  <c r="M6736" i="14"/>
  <c r="M6719" i="14"/>
  <c r="M6698" i="14"/>
  <c r="M6679" i="14"/>
  <c r="M6662" i="14"/>
  <c r="M6643" i="14"/>
  <c r="M6626" i="14"/>
  <c r="M6607" i="14"/>
  <c r="M6590" i="14"/>
  <c r="M6571" i="14"/>
  <c r="M6554" i="14"/>
  <c r="M6539" i="14"/>
  <c r="M6522" i="14"/>
  <c r="M6506" i="14"/>
  <c r="M6491" i="14"/>
  <c r="M6474" i="14"/>
  <c r="M6458" i="14"/>
  <c r="M6443" i="14"/>
  <c r="M6426" i="14"/>
  <c r="M6410" i="14"/>
  <c r="M6395" i="14"/>
  <c r="M6380" i="14"/>
  <c r="M6366" i="14"/>
  <c r="M6351" i="14"/>
  <c r="M6337" i="14"/>
  <c r="M6323" i="14"/>
  <c r="M6308" i="14"/>
  <c r="M6294" i="14"/>
  <c r="M6279" i="14"/>
  <c r="M6265" i="14"/>
  <c r="M6251" i="14"/>
  <c r="M6236" i="14"/>
  <c r="M6222" i="14"/>
  <c r="M6207" i="14"/>
  <c r="M6193" i="14"/>
  <c r="M6179" i="14"/>
  <c r="M6164" i="14"/>
  <c r="M6151" i="14"/>
  <c r="M6139" i="14"/>
  <c r="M6127" i="14"/>
  <c r="M6115" i="14"/>
  <c r="M6103" i="14"/>
  <c r="M6091" i="14"/>
  <c r="M6079" i="14"/>
  <c r="M6067" i="14"/>
  <c r="M6055" i="14"/>
  <c r="M6043" i="14"/>
  <c r="M6031" i="14"/>
  <c r="M6019" i="14"/>
  <c r="M6007" i="14"/>
  <c r="M5995" i="14"/>
  <c r="M5983" i="14"/>
  <c r="M5971" i="14"/>
  <c r="M5959" i="14"/>
  <c r="M5947" i="14"/>
  <c r="M5935" i="14"/>
  <c r="M5923" i="14"/>
  <c r="M5911" i="14"/>
  <c r="M5899" i="14"/>
  <c r="M5887" i="14"/>
  <c r="M5875" i="14"/>
  <c r="M5863" i="14"/>
  <c r="M5851" i="14"/>
  <c r="M5839" i="14"/>
  <c r="M5827" i="14"/>
  <c r="M5815" i="14"/>
  <c r="M5803" i="14"/>
  <c r="M7167" i="14"/>
  <c r="M7143" i="14"/>
  <c r="M7119" i="14"/>
  <c r="M7095" i="14"/>
  <c r="M7071" i="14"/>
  <c r="M7047" i="14"/>
  <c r="M7023" i="14"/>
  <c r="M6999" i="14"/>
  <c r="M6975" i="14"/>
  <c r="M6951" i="14"/>
  <c r="M6927" i="14"/>
  <c r="M6903" i="14"/>
  <c r="M6879" i="14"/>
  <c r="M6855" i="14"/>
  <c r="M6831" i="14"/>
  <c r="M6807" i="14"/>
  <c r="M6783" i="14"/>
  <c r="M6759" i="14"/>
  <c r="M6735" i="14"/>
  <c r="M6715" i="14"/>
  <c r="M6697" i="14"/>
  <c r="M6678" i="14"/>
  <c r="M6661" i="14"/>
  <c r="M6642" i="14"/>
  <c r="M6625" i="14"/>
  <c r="M6606" i="14"/>
  <c r="M6589" i="14"/>
  <c r="M6570" i="14"/>
  <c r="M6553" i="14"/>
  <c r="M6538" i="14"/>
  <c r="M6520" i="14"/>
  <c r="M6505" i="14"/>
  <c r="M6490" i="14"/>
  <c r="M6472" i="14"/>
  <c r="M6457" i="14"/>
  <c r="M6442" i="14"/>
  <c r="M6424" i="14"/>
  <c r="M6409" i="14"/>
  <c r="M6394" i="14"/>
  <c r="M6379" i="14"/>
  <c r="M6364" i="14"/>
  <c r="M6350" i="14"/>
  <c r="M6336" i="14"/>
  <c r="M6322" i="14"/>
  <c r="M6307" i="14"/>
  <c r="M6292" i="14"/>
  <c r="M6278" i="14"/>
  <c r="M6264" i="14"/>
  <c r="M6250" i="14"/>
  <c r="M6235" i="14"/>
  <c r="M6220" i="14"/>
  <c r="M6206" i="14"/>
  <c r="M6192" i="14"/>
  <c r="M6178" i="14"/>
  <c r="M6163" i="14"/>
  <c r="M6150" i="14"/>
  <c r="M6138" i="14"/>
  <c r="M6126" i="14"/>
  <c r="M6114" i="14"/>
  <c r="M6102" i="14"/>
  <c r="M6090" i="14"/>
  <c r="M6078" i="14"/>
  <c r="M6066" i="14"/>
  <c r="M6054" i="14"/>
  <c r="M6042" i="14"/>
  <c r="M6030" i="14"/>
  <c r="M6018" i="14"/>
  <c r="M6006" i="14"/>
  <c r="M5994" i="14"/>
  <c r="M5982" i="14"/>
  <c r="M5970" i="14"/>
  <c r="M5958" i="14"/>
  <c r="M5946" i="14"/>
  <c r="M5934" i="14"/>
  <c r="M5922" i="14"/>
  <c r="M5910" i="14"/>
  <c r="M5898" i="14"/>
  <c r="M5886" i="14"/>
  <c r="M5874" i="14"/>
  <c r="M5862" i="14"/>
  <c r="M5850" i="14"/>
  <c r="M5838" i="14"/>
  <c r="M5826" i="14"/>
  <c r="M5814" i="14"/>
  <c r="M5802" i="14"/>
  <c r="M7166" i="14"/>
  <c r="M7142" i="14"/>
  <c r="M7118" i="14"/>
  <c r="M7094" i="14"/>
  <c r="M7070" i="14"/>
  <c r="M7046" i="14"/>
  <c r="M7022" i="14"/>
  <c r="M6998" i="14"/>
  <c r="M6974" i="14"/>
  <c r="M6950" i="14"/>
  <c r="M6926" i="14"/>
  <c r="M6902" i="14"/>
  <c r="M6878" i="14"/>
  <c r="M6854" i="14"/>
  <c r="M6830" i="14"/>
  <c r="M6806" i="14"/>
  <c r="M6782" i="14"/>
  <c r="M6758" i="14"/>
  <c r="M6734" i="14"/>
  <c r="M6712" i="14"/>
  <c r="M6696" i="14"/>
  <c r="M6676" i="14"/>
  <c r="M6660" i="14"/>
  <c r="M6640" i="14"/>
  <c r="M6624" i="14"/>
  <c r="M6604" i="14"/>
  <c r="M6588" i="14"/>
  <c r="M6568" i="14"/>
  <c r="M6552" i="14"/>
  <c r="M6535" i="14"/>
  <c r="M6519" i="14"/>
  <c r="M6504" i="14"/>
  <c r="M6487" i="14"/>
  <c r="M6471" i="14"/>
  <c r="M6456" i="14"/>
  <c r="M6439" i="14"/>
  <c r="M6423" i="14"/>
  <c r="M6408" i="14"/>
  <c r="M6392" i="14"/>
  <c r="M6378" i="14"/>
  <c r="M6363" i="14"/>
  <c r="M6349" i="14"/>
  <c r="M6335" i="14"/>
  <c r="M6320" i="14"/>
  <c r="M6306" i="14"/>
  <c r="M6291" i="14"/>
  <c r="M6277" i="14"/>
  <c r="M6263" i="14"/>
  <c r="M6248" i="14"/>
  <c r="M6234" i="14"/>
  <c r="M6219" i="14"/>
  <c r="M6205" i="14"/>
  <c r="M6191" i="14"/>
  <c r="M6176" i="14"/>
  <c r="M6162" i="14"/>
  <c r="M6149" i="14"/>
  <c r="M6137" i="14"/>
  <c r="M6125" i="14"/>
  <c r="M6113" i="14"/>
  <c r="M6101" i="14"/>
  <c r="M6089" i="14"/>
  <c r="M6077" i="14"/>
  <c r="M6065" i="14"/>
  <c r="M6053" i="14"/>
  <c r="M6041" i="14"/>
  <c r="M6029" i="14"/>
  <c r="M6017" i="14"/>
  <c r="M6005" i="14"/>
  <c r="M5993" i="14"/>
  <c r="M5981" i="14"/>
  <c r="M5969" i="14"/>
  <c r="M5957" i="14"/>
  <c r="M5945" i="14"/>
  <c r="M5933" i="14"/>
  <c r="M5921" i="14"/>
  <c r="M5909" i="14"/>
  <c r="M5897" i="14"/>
  <c r="M5885" i="14"/>
  <c r="M5873" i="14"/>
  <c r="M5861" i="14"/>
  <c r="M5849" i="14"/>
  <c r="M5837" i="14"/>
  <c r="M5825" i="14"/>
  <c r="M5813" i="14"/>
  <c r="M5801" i="14"/>
  <c r="M7163" i="14"/>
  <c r="M7139" i="14"/>
  <c r="M7115" i="14"/>
  <c r="M7091" i="14"/>
  <c r="M7067" i="14"/>
  <c r="M7043" i="14"/>
  <c r="M7019" i="14"/>
  <c r="M6995" i="14"/>
  <c r="M6971" i="14"/>
  <c r="M6947" i="14"/>
  <c r="M6923" i="14"/>
  <c r="M6899" i="14"/>
  <c r="M6875" i="14"/>
  <c r="M6851" i="14"/>
  <c r="M6827" i="14"/>
  <c r="M6803" i="14"/>
  <c r="M6779" i="14"/>
  <c r="M6755" i="14"/>
  <c r="M6731" i="14"/>
  <c r="M6709" i="14"/>
  <c r="M6690" i="14"/>
  <c r="M6673" i="14"/>
  <c r="M6654" i="14"/>
  <c r="M6637" i="14"/>
  <c r="M6618" i="14"/>
  <c r="M6601" i="14"/>
  <c r="M6582" i="14"/>
  <c r="M6565" i="14"/>
  <c r="M6547" i="14"/>
  <c r="M6531" i="14"/>
  <c r="M6516" i="14"/>
  <c r="M6499" i="14"/>
  <c r="M6483" i="14"/>
  <c r="M6468" i="14"/>
  <c r="M6451" i="14"/>
  <c r="M6435" i="14"/>
  <c r="M6420" i="14"/>
  <c r="M6403" i="14"/>
  <c r="M6388" i="14"/>
  <c r="M6374" i="14"/>
  <c r="M6360" i="14"/>
  <c r="M6346" i="14"/>
  <c r="M6331" i="14"/>
  <c r="M6316" i="14"/>
  <c r="M6302" i="14"/>
  <c r="M6288" i="14"/>
  <c r="M6274" i="14"/>
  <c r="M6259" i="14"/>
  <c r="M6244" i="14"/>
  <c r="M6230" i="14"/>
  <c r="M6216" i="14"/>
  <c r="M6202" i="14"/>
  <c r="M6187" i="14"/>
  <c r="M6172" i="14"/>
  <c r="M6158" i="14"/>
  <c r="M6146" i="14"/>
  <c r="M6134" i="14"/>
  <c r="M6122" i="14"/>
  <c r="M6110" i="14"/>
  <c r="M6098" i="14"/>
  <c r="M6086" i="14"/>
  <c r="M6074" i="14"/>
  <c r="M6062" i="14"/>
  <c r="M6050" i="14"/>
  <c r="M6038" i="14"/>
  <c r="M6026" i="14"/>
  <c r="M6014" i="14"/>
  <c r="M6002" i="14"/>
  <c r="M5990" i="14"/>
  <c r="M5978" i="14"/>
  <c r="M5966" i="14"/>
  <c r="M5954" i="14"/>
  <c r="M5942" i="14"/>
  <c r="M5930" i="14"/>
  <c r="M5918" i="14"/>
  <c r="M5906" i="14"/>
  <c r="M5894" i="14"/>
  <c r="M5882" i="14"/>
  <c r="M5870" i="14"/>
  <c r="M5858" i="14"/>
  <c r="M5846" i="14"/>
  <c r="M5834" i="14"/>
  <c r="M5822" i="14"/>
  <c r="M5810" i="14"/>
  <c r="M7132" i="14"/>
  <c r="M7084" i="14"/>
  <c r="M7036" i="14"/>
  <c r="M6988" i="14"/>
  <c r="M6940" i="14"/>
  <c r="M6892" i="14"/>
  <c r="M6844" i="14"/>
  <c r="M6796" i="14"/>
  <c r="M6748" i="14"/>
  <c r="M6708" i="14"/>
  <c r="M6672" i="14"/>
  <c r="M6636" i="14"/>
  <c r="M6600" i="14"/>
  <c r="M6564" i="14"/>
  <c r="M6530" i="14"/>
  <c r="M6498" i="14"/>
  <c r="M6467" i="14"/>
  <c r="M6434" i="14"/>
  <c r="M6402" i="14"/>
  <c r="M6373" i="14"/>
  <c r="M6344" i="14"/>
  <c r="M6315" i="14"/>
  <c r="M6287" i="14"/>
  <c r="M6258" i="14"/>
  <c r="M6229" i="14"/>
  <c r="M6200" i="14"/>
  <c r="M6171" i="14"/>
  <c r="M6145" i="14"/>
  <c r="M6123" i="14"/>
  <c r="M6104" i="14"/>
  <c r="M6083" i="14"/>
  <c r="M6061" i="14"/>
  <c r="M6040" i="14"/>
  <c r="M6022" i="14"/>
  <c r="M6000" i="14"/>
  <c r="M5979" i="14"/>
  <c r="M5960" i="14"/>
  <c r="M5939" i="14"/>
  <c r="M5917" i="14"/>
  <c r="M5896" i="14"/>
  <c r="M5878" i="14"/>
  <c r="M5856" i="14"/>
  <c r="M5835" i="14"/>
  <c r="M5816" i="14"/>
  <c r="M5796" i="14"/>
  <c r="M5784" i="14"/>
  <c r="M5772" i="14"/>
  <c r="M5760" i="14"/>
  <c r="M5748" i="14"/>
  <c r="M5736" i="14"/>
  <c r="M5724" i="14"/>
  <c r="M5712" i="14"/>
  <c r="M5700" i="14"/>
  <c r="M5688" i="14"/>
  <c r="M5676" i="14"/>
  <c r="M5664" i="14"/>
  <c r="M5652" i="14"/>
  <c r="M5640" i="14"/>
  <c r="M5628" i="14"/>
  <c r="M5616" i="14"/>
  <c r="M5604" i="14"/>
  <c r="M5592" i="14"/>
  <c r="M5580" i="14"/>
  <c r="M5568" i="14"/>
  <c r="M5556" i="14"/>
  <c r="M5544" i="14"/>
  <c r="M5532" i="14"/>
  <c r="M5520" i="14"/>
  <c r="M5508" i="14"/>
  <c r="M5496" i="14"/>
  <c r="M5484" i="14"/>
  <c r="M5472" i="14"/>
  <c r="M5460" i="14"/>
  <c r="M5448" i="14"/>
  <c r="M5436" i="14"/>
  <c r="M5424" i="14"/>
  <c r="M5412" i="14"/>
  <c r="M5400" i="14"/>
  <c r="M5388" i="14"/>
  <c r="M5376" i="14"/>
  <c r="M5364" i="14"/>
  <c r="M5352" i="14"/>
  <c r="M5340" i="14"/>
  <c r="M5328" i="14"/>
  <c r="M5316" i="14"/>
  <c r="M7129" i="14"/>
  <c r="M7081" i="14"/>
  <c r="M7033" i="14"/>
  <c r="M6985" i="14"/>
  <c r="M6937" i="14"/>
  <c r="M6889" i="14"/>
  <c r="M6841" i="14"/>
  <c r="M6793" i="14"/>
  <c r="M6745" i="14"/>
  <c r="M6702" i="14"/>
  <c r="M6666" i="14"/>
  <c r="M6630" i="14"/>
  <c r="M6594" i="14"/>
  <c r="M6558" i="14"/>
  <c r="M6527" i="14"/>
  <c r="M6494" i="14"/>
  <c r="M6462" i="14"/>
  <c r="M6431" i="14"/>
  <c r="M6398" i="14"/>
  <c r="M6370" i="14"/>
  <c r="M6340" i="14"/>
  <c r="M6312" i="14"/>
  <c r="M6283" i="14"/>
  <c r="M6254" i="14"/>
  <c r="M6226" i="14"/>
  <c r="M6196" i="14"/>
  <c r="M6168" i="14"/>
  <c r="M6142" i="14"/>
  <c r="M6120" i="14"/>
  <c r="M6099" i="14"/>
  <c r="M6080" i="14"/>
  <c r="M6059" i="14"/>
  <c r="M6037" i="14"/>
  <c r="M6016" i="14"/>
  <c r="M5998" i="14"/>
  <c r="M5976" i="14"/>
  <c r="M5955" i="14"/>
  <c r="M5936" i="14"/>
  <c r="M5915" i="14"/>
  <c r="M5893" i="14"/>
  <c r="M5872" i="14"/>
  <c r="M5854" i="14"/>
  <c r="M5832" i="14"/>
  <c r="M5811" i="14"/>
  <c r="M5794" i="14"/>
  <c r="M5782" i="14"/>
  <c r="M5770" i="14"/>
  <c r="M5758" i="14"/>
  <c r="M5746" i="14"/>
  <c r="M5734" i="14"/>
  <c r="M5722" i="14"/>
  <c r="M5710" i="14"/>
  <c r="M5698" i="14"/>
  <c r="M5686" i="14"/>
  <c r="M5674" i="14"/>
  <c r="M5662" i="14"/>
  <c r="M5650" i="14"/>
  <c r="M5638" i="14"/>
  <c r="M5626" i="14"/>
  <c r="M7175" i="14"/>
  <c r="M7127" i="14"/>
  <c r="M7079" i="14"/>
  <c r="M7031" i="14"/>
  <c r="M6983" i="14"/>
  <c r="M6935" i="14"/>
  <c r="M6887" i="14"/>
  <c r="M6839" i="14"/>
  <c r="M6791" i="14"/>
  <c r="M6743" i="14"/>
  <c r="M6699" i="14"/>
  <c r="M6663" i="14"/>
  <c r="M6627" i="14"/>
  <c r="M6591" i="14"/>
  <c r="M6555" i="14"/>
  <c r="M6523" i="14"/>
  <c r="M6492" i="14"/>
  <c r="M6459" i="14"/>
  <c r="M6427" i="14"/>
  <c r="M6396" i="14"/>
  <c r="M6367" i="14"/>
  <c r="M6338" i="14"/>
  <c r="M6310" i="14"/>
  <c r="M6280" i="14"/>
  <c r="M6252" i="14"/>
  <c r="M6223" i="14"/>
  <c r="M6194" i="14"/>
  <c r="M6166" i="14"/>
  <c r="M6140" i="14"/>
  <c r="M6119" i="14"/>
  <c r="M6097" i="14"/>
  <c r="M6076" i="14"/>
  <c r="M6058" i="14"/>
  <c r="M6036" i="14"/>
  <c r="M6015" i="14"/>
  <c r="M5996" i="14"/>
  <c r="M5975" i="14"/>
  <c r="M5953" i="14"/>
  <c r="M5932" i="14"/>
  <c r="M5914" i="14"/>
  <c r="M5892" i="14"/>
  <c r="M5871" i="14"/>
  <c r="M5852" i="14"/>
  <c r="M5831" i="14"/>
  <c r="M5809" i="14"/>
  <c r="M5793" i="14"/>
  <c r="M5781" i="14"/>
  <c r="M5769" i="14"/>
  <c r="M5757" i="14"/>
  <c r="M5745" i="14"/>
  <c r="M5733" i="14"/>
  <c r="M5721" i="14"/>
  <c r="M5709" i="14"/>
  <c r="M5697" i="14"/>
  <c r="M5685" i="14"/>
  <c r="M5673" i="14"/>
  <c r="M5661" i="14"/>
  <c r="M5649" i="14"/>
  <c r="M5637" i="14"/>
  <c r="M5625" i="14"/>
  <c r="M5613" i="14"/>
  <c r="M5601" i="14"/>
  <c r="M5589" i="14"/>
  <c r="M5577" i="14"/>
  <c r="M5565" i="14"/>
  <c r="M5553" i="14"/>
  <c r="M5541" i="14"/>
  <c r="M5529" i="14"/>
  <c r="M5517" i="14"/>
  <c r="M5505" i="14"/>
  <c r="M5493" i="14"/>
  <c r="M5481" i="14"/>
  <c r="M5469" i="14"/>
  <c r="M5457" i="14"/>
  <c r="M5445" i="14"/>
  <c r="M5433" i="14"/>
  <c r="M5421" i="14"/>
  <c r="M5409" i="14"/>
  <c r="M5397" i="14"/>
  <c r="M5385" i="14"/>
  <c r="M5373" i="14"/>
  <c r="M5361" i="14"/>
  <c r="M5349" i="14"/>
  <c r="M5337" i="14"/>
  <c r="M5325" i="14"/>
  <c r="M5313" i="14"/>
  <c r="M7164" i="14"/>
  <c r="M7116" i="14"/>
  <c r="M7068" i="14"/>
  <c r="M7020" i="14"/>
  <c r="M6972" i="14"/>
  <c r="M6924" i="14"/>
  <c r="M6876" i="14"/>
  <c r="M6828" i="14"/>
  <c r="M6780" i="14"/>
  <c r="M6732" i="14"/>
  <c r="M6691" i="14"/>
  <c r="M6655" i="14"/>
  <c r="M6619" i="14"/>
  <c r="M6583" i="14"/>
  <c r="M6550" i="14"/>
  <c r="M7156" i="14"/>
  <c r="M7108" i="14"/>
  <c r="M7060" i="14"/>
  <c r="M7012" i="14"/>
  <c r="M6964" i="14"/>
  <c r="M6916" i="14"/>
  <c r="M6868" i="14"/>
  <c r="M6820" i="14"/>
  <c r="M6772" i="14"/>
  <c r="M6727" i="14"/>
  <c r="M6688" i="14"/>
  <c r="M6652" i="14"/>
  <c r="M6616" i="14"/>
  <c r="M6580" i="14"/>
  <c r="M6546" i="14"/>
  <c r="M6515" i="14"/>
  <c r="M6482" i="14"/>
  <c r="M6450" i="14"/>
  <c r="M6419" i="14"/>
  <c r="M6387" i="14"/>
  <c r="M6359" i="14"/>
  <c r="M6330" i="14"/>
  <c r="M6301" i="14"/>
  <c r="M6272" i="14"/>
  <c r="M6243" i="14"/>
  <c r="M6215" i="14"/>
  <c r="M6186" i="14"/>
  <c r="M6157" i="14"/>
  <c r="M6133" i="14"/>
  <c r="M6112" i="14"/>
  <c r="M6094" i="14"/>
  <c r="M6072" i="14"/>
  <c r="M6051" i="14"/>
  <c r="M6032" i="14"/>
  <c r="M6011" i="14"/>
  <c r="M5989" i="14"/>
  <c r="M5968" i="14"/>
  <c r="M5950" i="14"/>
  <c r="M5928" i="14"/>
  <c r="M5907" i="14"/>
  <c r="M5888" i="14"/>
  <c r="M5867" i="14"/>
  <c r="M5845" i="14"/>
  <c r="M5824" i="14"/>
  <c r="M5806" i="14"/>
  <c r="M5790" i="14"/>
  <c r="M5778" i="14"/>
  <c r="M5766" i="14"/>
  <c r="M5754" i="14"/>
  <c r="M5742" i="14"/>
  <c r="M5730" i="14"/>
  <c r="M5718" i="14"/>
  <c r="M5706" i="14"/>
  <c r="M5694" i="14"/>
  <c r="M5682" i="14"/>
  <c r="M5670" i="14"/>
  <c r="M5658" i="14"/>
  <c r="M5646" i="14"/>
  <c r="M5634" i="14"/>
  <c r="M5622" i="14"/>
  <c r="M5610" i="14"/>
  <c r="M5598" i="14"/>
  <c r="M5586" i="14"/>
  <c r="M5574" i="14"/>
  <c r="M5562" i="14"/>
  <c r="M5550" i="14"/>
  <c r="M5538" i="14"/>
  <c r="M5526" i="14"/>
  <c r="M5514" i="14"/>
  <c r="M5502" i="14"/>
  <c r="M5490" i="14"/>
  <c r="M5478" i="14"/>
  <c r="M5466" i="14"/>
  <c r="M5454" i="14"/>
  <c r="M5442" i="14"/>
  <c r="M5430" i="14"/>
  <c r="M5418" i="14"/>
  <c r="M5406" i="14"/>
  <c r="M5394" i="14"/>
  <c r="M5382" i="14"/>
  <c r="M5370" i="14"/>
  <c r="M5358" i="14"/>
  <c r="M5346" i="14"/>
  <c r="M5334" i="14"/>
  <c r="M5322" i="14"/>
  <c r="M7154" i="14"/>
  <c r="M7106" i="14"/>
  <c r="M7058" i="14"/>
  <c r="M7010" i="14"/>
  <c r="M6962" i="14"/>
  <c r="M6914" i="14"/>
  <c r="M6866" i="14"/>
  <c r="M6818" i="14"/>
  <c r="M6770" i="14"/>
  <c r="M6723" i="14"/>
  <c r="M6686" i="14"/>
  <c r="M6650" i="14"/>
  <c r="M6614" i="14"/>
  <c r="M6578" i="14"/>
  <c r="M6543" i="14"/>
  <c r="M6511" i="14"/>
  <c r="M6480" i="14"/>
  <c r="M6447" i="14"/>
  <c r="M6415" i="14"/>
  <c r="M6385" i="14"/>
  <c r="M6356" i="14"/>
  <c r="M6327" i="14"/>
  <c r="M6299" i="14"/>
  <c r="M6270" i="14"/>
  <c r="M6241" i="14"/>
  <c r="M6212" i="14"/>
  <c r="M6183" i="14"/>
  <c r="M6155" i="14"/>
  <c r="M6132" i="14"/>
  <c r="M6111" i="14"/>
  <c r="M6092" i="14"/>
  <c r="M6071" i="14"/>
  <c r="M6049" i="14"/>
  <c r="M6028" i="14"/>
  <c r="M6010" i="14"/>
  <c r="M5988" i="14"/>
  <c r="M5967" i="14"/>
  <c r="M5948" i="14"/>
  <c r="M5927" i="14"/>
  <c r="M5905" i="14"/>
  <c r="M5884" i="14"/>
  <c r="M5866" i="14"/>
  <c r="M5844" i="14"/>
  <c r="M5823" i="14"/>
  <c r="M5804" i="14"/>
  <c r="M5789" i="14"/>
  <c r="M5777" i="14"/>
  <c r="M5765" i="14"/>
  <c r="M5753" i="14"/>
  <c r="M5741" i="14"/>
  <c r="M5729" i="14"/>
  <c r="M5717" i="14"/>
  <c r="M5705" i="14"/>
  <c r="M5693" i="14"/>
  <c r="M5681" i="14"/>
  <c r="M5669" i="14"/>
  <c r="M5657" i="14"/>
  <c r="M5645" i="14"/>
  <c r="M5633" i="14"/>
  <c r="M5621" i="14"/>
  <c r="M5609" i="14"/>
  <c r="M5597" i="14"/>
  <c r="M5585" i="14"/>
  <c r="M5573" i="14"/>
  <c r="M5561" i="14"/>
  <c r="M5549" i="14"/>
  <c r="M5537" i="14"/>
  <c r="M5525" i="14"/>
  <c r="M5513" i="14"/>
  <c r="M5501" i="14"/>
  <c r="M5489" i="14"/>
  <c r="M5477" i="14"/>
  <c r="M5465" i="14"/>
  <c r="M5453" i="14"/>
  <c r="M5441" i="14"/>
  <c r="M5429" i="14"/>
  <c r="M5417" i="14"/>
  <c r="M5405" i="14"/>
  <c r="M5393" i="14"/>
  <c r="M5381" i="14"/>
  <c r="M5369" i="14"/>
  <c r="M5357" i="14"/>
  <c r="M5345" i="14"/>
  <c r="M5333" i="14"/>
  <c r="M5321" i="14"/>
  <c r="M7153" i="14"/>
  <c r="M7105" i="14"/>
  <c r="M7057" i="14"/>
  <c r="M7009" i="14"/>
  <c r="M6961" i="14"/>
  <c r="M6913" i="14"/>
  <c r="M6865" i="14"/>
  <c r="M6817" i="14"/>
  <c r="M6769" i="14"/>
  <c r="M6722" i="14"/>
  <c r="M6685" i="14"/>
  <c r="M6649" i="14"/>
  <c r="M6613" i="14"/>
  <c r="M6577" i="14"/>
  <c r="M6542" i="14"/>
  <c r="M6510" i="14"/>
  <c r="M6479" i="14"/>
  <c r="M6446" i="14"/>
  <c r="M6414" i="14"/>
  <c r="M6384" i="14"/>
  <c r="M6355" i="14"/>
  <c r="M6326" i="14"/>
  <c r="M6298" i="14"/>
  <c r="M6268" i="14"/>
  <c r="M6240" i="14"/>
  <c r="M6211" i="14"/>
  <c r="M6182" i="14"/>
  <c r="M6154" i="14"/>
  <c r="M6131" i="14"/>
  <c r="M6109" i="14"/>
  <c r="M6088" i="14"/>
  <c r="M6070" i="14"/>
  <c r="M6048" i="14"/>
  <c r="M6027" i="14"/>
  <c r="M6008" i="14"/>
  <c r="M5987" i="14"/>
  <c r="M5965" i="14"/>
  <c r="M5944" i="14"/>
  <c r="M5926" i="14"/>
  <c r="M5904" i="14"/>
  <c r="M5883" i="14"/>
  <c r="M5864" i="14"/>
  <c r="M5843" i="14"/>
  <c r="M5821" i="14"/>
  <c r="M5800" i="14"/>
  <c r="M5788" i="14"/>
  <c r="M5776" i="14"/>
  <c r="M5764" i="14"/>
  <c r="M5752" i="14"/>
  <c r="M5740" i="14"/>
  <c r="M5728" i="14"/>
  <c r="M5716" i="14"/>
  <c r="M5704" i="14"/>
  <c r="M5692" i="14"/>
  <c r="M5680" i="14"/>
  <c r="M5668" i="14"/>
  <c r="M5656" i="14"/>
  <c r="M5644" i="14"/>
  <c r="M5632" i="14"/>
  <c r="M5620" i="14"/>
  <c r="M5608" i="14"/>
  <c r="M5596" i="14"/>
  <c r="M5584" i="14"/>
  <c r="M5572" i="14"/>
  <c r="M5560" i="14"/>
  <c r="M5548" i="14"/>
  <c r="M5536" i="14"/>
  <c r="M5524" i="14"/>
  <c r="M5512" i="14"/>
  <c r="M5500" i="14"/>
  <c r="M5488" i="14"/>
  <c r="M5476" i="14"/>
  <c r="M5464" i="14"/>
  <c r="M5452" i="14"/>
  <c r="M5440" i="14"/>
  <c r="M5428" i="14"/>
  <c r="M5416" i="14"/>
  <c r="M5404" i="14"/>
  <c r="M5392" i="14"/>
  <c r="M5380" i="14"/>
  <c r="M5368" i="14"/>
  <c r="M5356" i="14"/>
  <c r="M5344" i="14"/>
  <c r="M5332" i="14"/>
  <c r="M5320" i="14"/>
  <c r="M7141" i="14"/>
  <c r="M7093" i="14"/>
  <c r="M7045" i="14"/>
  <c r="M6997" i="14"/>
  <c r="M6949" i="14"/>
  <c r="M6901" i="14"/>
  <c r="M6853" i="14"/>
  <c r="M6805" i="14"/>
  <c r="M6757" i="14"/>
  <c r="M6711" i="14"/>
  <c r="M6675" i="14"/>
  <c r="M6639" i="14"/>
  <c r="M6603" i="14"/>
  <c r="M6567" i="14"/>
  <c r="M6534" i="14"/>
  <c r="M6503" i="14"/>
  <c r="M6470" i="14"/>
  <c r="M6438" i="14"/>
  <c r="M6407" i="14"/>
  <c r="M6376" i="14"/>
  <c r="M6348" i="14"/>
  <c r="M6319" i="14"/>
  <c r="M6290" i="14"/>
  <c r="M6262" i="14"/>
  <c r="M6232" i="14"/>
  <c r="M6204" i="14"/>
  <c r="M6175" i="14"/>
  <c r="M6148" i="14"/>
  <c r="M6128" i="14"/>
  <c r="M6107" i="14"/>
  <c r="M6085" i="14"/>
  <c r="M6064" i="14"/>
  <c r="M6046" i="14"/>
  <c r="M6024" i="14"/>
  <c r="M6003" i="14"/>
  <c r="M5984" i="14"/>
  <c r="M5963" i="14"/>
  <c r="M5941" i="14"/>
  <c r="M5920" i="14"/>
  <c r="M5902" i="14"/>
  <c r="M5880" i="14"/>
  <c r="M5859" i="14"/>
  <c r="M5840" i="14"/>
  <c r="M5819" i="14"/>
  <c r="M5798" i="14"/>
  <c r="M5786" i="14"/>
  <c r="M5774" i="14"/>
  <c r="M5762" i="14"/>
  <c r="M5750" i="14"/>
  <c r="M5738" i="14"/>
  <c r="M5726" i="14"/>
  <c r="M5714" i="14"/>
  <c r="M5702" i="14"/>
  <c r="M5690" i="14"/>
  <c r="M5678" i="14"/>
  <c r="M5666" i="14"/>
  <c r="M5654" i="14"/>
  <c r="M5642" i="14"/>
  <c r="M5630" i="14"/>
  <c r="M5618" i="14"/>
  <c r="M5606" i="14"/>
  <c r="M5594" i="14"/>
  <c r="M5582" i="14"/>
  <c r="M5570" i="14"/>
  <c r="M5558" i="14"/>
  <c r="M5546" i="14"/>
  <c r="M5534" i="14"/>
  <c r="M5522" i="14"/>
  <c r="M5510" i="14"/>
  <c r="M5498" i="14"/>
  <c r="M5486" i="14"/>
  <c r="M5474" i="14"/>
  <c r="M5462" i="14"/>
  <c r="M5450" i="14"/>
  <c r="M5438" i="14"/>
  <c r="M5426" i="14"/>
  <c r="M5414" i="14"/>
  <c r="M5402" i="14"/>
  <c r="M5390" i="14"/>
  <c r="M5378" i="14"/>
  <c r="M5366" i="14"/>
  <c r="M5354" i="14"/>
  <c r="M5342" i="14"/>
  <c r="M5330" i="14"/>
  <c r="M5318" i="14"/>
  <c r="M7055" i="14"/>
  <c r="M6911" i="14"/>
  <c r="M6767" i="14"/>
  <c r="M6647" i="14"/>
  <c r="M6540" i="14"/>
  <c r="M6463" i="14"/>
  <c r="M6390" i="14"/>
  <c r="M6318" i="14"/>
  <c r="M6247" i="14"/>
  <c r="M6180" i="14"/>
  <c r="M6121" i="14"/>
  <c r="M6073" i="14"/>
  <c r="M6023" i="14"/>
  <c r="M5974" i="14"/>
  <c r="M5924" i="14"/>
  <c r="M5876" i="14"/>
  <c r="M5828" i="14"/>
  <c r="M5785" i="14"/>
  <c r="M5756" i="14"/>
  <c r="M5727" i="14"/>
  <c r="M5699" i="14"/>
  <c r="M5671" i="14"/>
  <c r="M5641" i="14"/>
  <c r="M5614" i="14"/>
  <c r="M5590" i="14"/>
  <c r="M5566" i="14"/>
  <c r="M5542" i="14"/>
  <c r="M5518" i="14"/>
  <c r="M5494" i="14"/>
  <c r="M5470" i="14"/>
  <c r="M5446" i="14"/>
  <c r="M5422" i="14"/>
  <c r="M5398" i="14"/>
  <c r="M5374" i="14"/>
  <c r="M5350" i="14"/>
  <c r="M5326" i="14"/>
  <c r="M5307" i="14"/>
  <c r="M5295" i="14"/>
  <c r="M5283" i="14"/>
  <c r="M5271" i="14"/>
  <c r="M5259" i="14"/>
  <c r="M5247" i="14"/>
  <c r="M5235" i="14"/>
  <c r="M5223" i="14"/>
  <c r="M5211" i="14"/>
  <c r="M5199" i="14"/>
  <c r="M5187" i="14"/>
  <c r="M5175" i="14"/>
  <c r="M5163" i="14"/>
  <c r="M5151" i="14"/>
  <c r="M5139" i="14"/>
  <c r="M5127" i="14"/>
  <c r="M5115" i="14"/>
  <c r="M5103" i="14"/>
  <c r="M5091" i="14"/>
  <c r="M5079" i="14"/>
  <c r="M5067" i="14"/>
  <c r="M5055" i="14"/>
  <c r="M5043" i="14"/>
  <c r="M5031" i="14"/>
  <c r="M5019" i="14"/>
  <c r="M5007" i="14"/>
  <c r="M4995" i="14"/>
  <c r="M4983" i="14"/>
  <c r="M4971" i="14"/>
  <c r="M4959" i="14"/>
  <c r="M4947" i="14"/>
  <c r="M4935" i="14"/>
  <c r="M4923" i="14"/>
  <c r="M4911" i="14"/>
  <c r="M4899" i="14"/>
  <c r="M4887" i="14"/>
  <c r="M4875" i="14"/>
  <c r="M4863" i="14"/>
  <c r="M4851" i="14"/>
  <c r="M4839" i="14"/>
  <c r="M4827" i="14"/>
  <c r="M4815" i="14"/>
  <c r="M4803" i="14"/>
  <c r="M4791" i="14"/>
  <c r="M4779" i="14"/>
  <c r="M4767" i="14"/>
  <c r="M4755" i="14"/>
  <c r="M4743" i="14"/>
  <c r="M4731" i="14"/>
  <c r="M7034" i="14"/>
  <c r="M6890" i="14"/>
  <c r="M6746" i="14"/>
  <c r="M6631" i="14"/>
  <c r="M6528" i="14"/>
  <c r="M6454" i="14"/>
  <c r="M6375" i="14"/>
  <c r="M6304" i="14"/>
  <c r="M6238" i="14"/>
  <c r="M6169" i="14"/>
  <c r="M6116" i="14"/>
  <c r="M6063" i="14"/>
  <c r="M6013" i="14"/>
  <c r="M5964" i="14"/>
  <c r="M5916" i="14"/>
  <c r="M5868" i="14"/>
  <c r="M5818" i="14"/>
  <c r="M5780" i="14"/>
  <c r="M5751" i="14"/>
  <c r="M5723" i="14"/>
  <c r="M5695" i="14"/>
  <c r="M5665" i="14"/>
  <c r="M5636" i="14"/>
  <c r="M5611" i="14"/>
  <c r="M7165" i="14"/>
  <c r="M7021" i="14"/>
  <c r="M6877" i="14"/>
  <c r="M6733" i="14"/>
  <c r="M6623" i="14"/>
  <c r="M6518" i="14"/>
  <c r="M6444" i="14"/>
  <c r="M6371" i="14"/>
  <c r="M6303" i="14"/>
  <c r="M6231" i="14"/>
  <c r="M6160" i="14"/>
  <c r="M6108" i="14"/>
  <c r="M6060" i="14"/>
  <c r="M6012" i="14"/>
  <c r="M5962" i="14"/>
  <c r="M5912" i="14"/>
  <c r="M5860" i="14"/>
  <c r="M5812" i="14"/>
  <c r="M5779" i="14"/>
  <c r="M5749" i="14"/>
  <c r="M5720" i="14"/>
  <c r="M5691" i="14"/>
  <c r="M5663" i="14"/>
  <c r="M5635" i="14"/>
  <c r="M5607" i="14"/>
  <c r="M5583" i="14"/>
  <c r="M5559" i="14"/>
  <c r="M5535" i="14"/>
  <c r="M5511" i="14"/>
  <c r="M5487" i="14"/>
  <c r="M5463" i="14"/>
  <c r="M5439" i="14"/>
  <c r="M5415" i="14"/>
  <c r="M5391" i="14"/>
  <c r="M5367" i="14"/>
  <c r="M5343" i="14"/>
  <c r="M5319" i="14"/>
  <c r="M5304" i="14"/>
  <c r="M5292" i="14"/>
  <c r="M5280" i="14"/>
  <c r="M5268" i="14"/>
  <c r="M5256" i="14"/>
  <c r="M5244" i="14"/>
  <c r="M5232" i="14"/>
  <c r="M5220" i="14"/>
  <c r="M5208" i="14"/>
  <c r="M5196" i="14"/>
  <c r="M5184" i="14"/>
  <c r="M5172" i="14"/>
  <c r="M5160" i="14"/>
  <c r="M5148" i="14"/>
  <c r="M5136" i="14"/>
  <c r="M5124" i="14"/>
  <c r="M5112" i="14"/>
  <c r="M5100" i="14"/>
  <c r="M5088" i="14"/>
  <c r="M5076" i="14"/>
  <c r="M5064" i="14"/>
  <c r="M5052" i="14"/>
  <c r="M5040" i="14"/>
  <c r="M5028" i="14"/>
  <c r="M5016" i="14"/>
  <c r="M5004" i="14"/>
  <c r="M4992" i="14"/>
  <c r="M4980" i="14"/>
  <c r="M4968" i="14"/>
  <c r="M4956" i="14"/>
  <c r="M4944" i="14"/>
  <c r="M4932" i="14"/>
  <c r="M4920" i="14"/>
  <c r="M4908" i="14"/>
  <c r="M4896" i="14"/>
  <c r="M4884" i="14"/>
  <c r="M4872" i="14"/>
  <c r="M4860" i="14"/>
  <c r="M4848" i="14"/>
  <c r="M4836" i="14"/>
  <c r="M4824" i="14"/>
  <c r="M4812" i="14"/>
  <c r="M4800" i="14"/>
  <c r="M4788" i="14"/>
  <c r="M4776" i="14"/>
  <c r="M4764" i="14"/>
  <c r="M4752" i="14"/>
  <c r="M4740" i="14"/>
  <c r="M4728" i="14"/>
  <c r="M7140" i="14"/>
  <c r="M6996" i="14"/>
  <c r="M6852" i="14"/>
  <c r="M6710" i="14"/>
  <c r="M6602" i="14"/>
  <c r="M6507" i="14"/>
  <c r="M6432" i="14"/>
  <c r="M6361" i="14"/>
  <c r="M6289" i="14"/>
  <c r="M6218" i="14"/>
  <c r="M6152" i="14"/>
  <c r="M6100" i="14"/>
  <c r="M6052" i="14"/>
  <c r="M6001" i="14"/>
  <c r="M5952" i="14"/>
  <c r="M5903" i="14"/>
  <c r="M5855" i="14"/>
  <c r="M5807" i="14"/>
  <c r="M5773" i="14"/>
  <c r="M5744" i="14"/>
  <c r="M5715" i="14"/>
  <c r="M5687" i="14"/>
  <c r="M5659" i="14"/>
  <c r="M5629" i="14"/>
  <c r="M5603" i="14"/>
  <c r="M5579" i="14"/>
  <c r="M5555" i="14"/>
  <c r="M5531" i="14"/>
  <c r="M5507" i="14"/>
  <c r="M5483" i="14"/>
  <c r="M5459" i="14"/>
  <c r="M5435" i="14"/>
  <c r="M5411" i="14"/>
  <c r="M5387" i="14"/>
  <c r="M5363" i="14"/>
  <c r="M5339" i="14"/>
  <c r="M5315" i="14"/>
  <c r="M5302" i="14"/>
  <c r="M5290" i="14"/>
  <c r="M5278" i="14"/>
  <c r="M5266" i="14"/>
  <c r="M5254" i="14"/>
  <c r="M5242" i="14"/>
  <c r="M5230" i="14"/>
  <c r="M5218" i="14"/>
  <c r="M5206" i="14"/>
  <c r="M5194" i="14"/>
  <c r="M5182" i="14"/>
  <c r="M5170" i="14"/>
  <c r="M5158" i="14"/>
  <c r="M5146" i="14"/>
  <c r="M5134" i="14"/>
  <c r="M5122" i="14"/>
  <c r="M5110" i="14"/>
  <c r="M5098" i="14"/>
  <c r="M5086" i="14"/>
  <c r="M5074" i="14"/>
  <c r="M5062" i="14"/>
  <c r="M5050" i="14"/>
  <c r="M5038" i="14"/>
  <c r="M5026" i="14"/>
  <c r="M5014" i="14"/>
  <c r="M5002" i="14"/>
  <c r="M4990" i="14"/>
  <c r="M4978" i="14"/>
  <c r="M4966" i="14"/>
  <c r="M4954" i="14"/>
  <c r="M4942" i="14"/>
  <c r="M4930" i="14"/>
  <c r="M4918" i="14"/>
  <c r="M4906" i="14"/>
  <c r="M4894" i="14"/>
  <c r="M4882" i="14"/>
  <c r="M4870" i="14"/>
  <c r="M4858" i="14"/>
  <c r="M4846" i="14"/>
  <c r="M4834" i="14"/>
  <c r="M4822" i="14"/>
  <c r="M4810" i="14"/>
  <c r="M4798" i="14"/>
  <c r="M4786" i="14"/>
  <c r="M4774" i="14"/>
  <c r="M4762" i="14"/>
  <c r="M4750" i="14"/>
  <c r="M4738" i="14"/>
  <c r="M7130" i="14"/>
  <c r="M6986" i="14"/>
  <c r="M6842" i="14"/>
  <c r="M6703" i="14"/>
  <c r="M6595" i="14"/>
  <c r="M6502" i="14"/>
  <c r="M6422" i="14"/>
  <c r="M6352" i="14"/>
  <c r="M6284" i="14"/>
  <c r="M6217" i="14"/>
  <c r="M6147" i="14"/>
  <c r="M6096" i="14"/>
  <c r="M6047" i="14"/>
  <c r="M5999" i="14"/>
  <c r="M5951" i="14"/>
  <c r="M5900" i="14"/>
  <c r="M5848" i="14"/>
  <c r="M5799" i="14"/>
  <c r="M5771" i="14"/>
  <c r="M5743" i="14"/>
  <c r="M5713" i="14"/>
  <c r="M5684" i="14"/>
  <c r="M5655" i="14"/>
  <c r="M5627" i="14"/>
  <c r="M5602" i="14"/>
  <c r="M5578" i="14"/>
  <c r="M5554" i="14"/>
  <c r="M5530" i="14"/>
  <c r="M5506" i="14"/>
  <c r="M5482" i="14"/>
  <c r="M5458" i="14"/>
  <c r="M5434" i="14"/>
  <c r="M5410" i="14"/>
  <c r="M5386" i="14"/>
  <c r="M5362" i="14"/>
  <c r="M5338" i="14"/>
  <c r="M5314" i="14"/>
  <c r="M5301" i="14"/>
  <c r="M5289" i="14"/>
  <c r="M5277" i="14"/>
  <c r="M5265" i="14"/>
  <c r="M5253" i="14"/>
  <c r="M5241" i="14"/>
  <c r="M5229" i="14"/>
  <c r="M5217" i="14"/>
  <c r="M5205" i="14"/>
  <c r="M5193" i="14"/>
  <c r="M5181" i="14"/>
  <c r="M5169" i="14"/>
  <c r="M5157" i="14"/>
  <c r="M5145" i="14"/>
  <c r="M5133" i="14"/>
  <c r="M5121" i="14"/>
  <c r="M5109" i="14"/>
  <c r="M5097" i="14"/>
  <c r="M5085" i="14"/>
  <c r="M5073" i="14"/>
  <c r="M5061" i="14"/>
  <c r="M5049" i="14"/>
  <c r="M5037" i="14"/>
  <c r="M5025" i="14"/>
  <c r="M5013" i="14"/>
  <c r="M5001" i="14"/>
  <c r="M4989" i="14"/>
  <c r="M4977" i="14"/>
  <c r="M4965" i="14"/>
  <c r="M4953" i="14"/>
  <c r="M4941" i="14"/>
  <c r="M4929" i="14"/>
  <c r="M4917" i="14"/>
  <c r="M4905" i="14"/>
  <c r="M4893" i="14"/>
  <c r="M4881" i="14"/>
  <c r="M4869" i="14"/>
  <c r="M4857" i="14"/>
  <c r="M4845" i="14"/>
  <c r="M4833" i="14"/>
  <c r="M4821" i="14"/>
  <c r="M4809" i="14"/>
  <c r="M4797" i="14"/>
  <c r="M4785" i="14"/>
  <c r="M4773" i="14"/>
  <c r="M4761" i="14"/>
  <c r="M4749" i="14"/>
  <c r="M4737" i="14"/>
  <c r="M4725" i="14"/>
  <c r="M7117" i="14"/>
  <c r="M6973" i="14"/>
  <c r="M6829" i="14"/>
  <c r="M6695" i="14"/>
  <c r="M6587" i="14"/>
  <c r="M6495" i="14"/>
  <c r="M6421" i="14"/>
  <c r="M6347" i="14"/>
  <c r="M6276" i="14"/>
  <c r="M6208" i="14"/>
  <c r="M6143" i="14"/>
  <c r="M6095" i="14"/>
  <c r="M6044" i="14"/>
  <c r="M5992" i="14"/>
  <c r="M5943" i="14"/>
  <c r="M5895" i="14"/>
  <c r="M5847" i="14"/>
  <c r="M5797" i="14"/>
  <c r="M5768" i="14"/>
  <c r="M5739" i="14"/>
  <c r="M5711" i="14"/>
  <c r="M5683" i="14"/>
  <c r="M5653" i="14"/>
  <c r="M5624" i="14"/>
  <c r="M5600" i="14"/>
  <c r="M5576" i="14"/>
  <c r="M5552" i="14"/>
  <c r="M5528" i="14"/>
  <c r="M5504" i="14"/>
  <c r="M5480" i="14"/>
  <c r="M5456" i="14"/>
  <c r="M5432" i="14"/>
  <c r="M5408" i="14"/>
  <c r="M5384" i="14"/>
  <c r="M5360" i="14"/>
  <c r="M5336" i="14"/>
  <c r="M5312" i="14"/>
  <c r="M5300" i="14"/>
  <c r="M5288" i="14"/>
  <c r="M5276" i="14"/>
  <c r="M5264" i="14"/>
  <c r="M5252" i="14"/>
  <c r="M5240" i="14"/>
  <c r="M5228" i="14"/>
  <c r="M5216" i="14"/>
  <c r="M5204" i="14"/>
  <c r="M5192" i="14"/>
  <c r="M5180" i="14"/>
  <c r="M5168" i="14"/>
  <c r="M5156" i="14"/>
  <c r="M5144" i="14"/>
  <c r="M5132" i="14"/>
  <c r="M5120" i="14"/>
  <c r="M5108" i="14"/>
  <c r="M5096" i="14"/>
  <c r="M5084" i="14"/>
  <c r="M5072" i="14"/>
  <c r="M5060" i="14"/>
  <c r="M5048" i="14"/>
  <c r="M5036" i="14"/>
  <c r="M5024" i="14"/>
  <c r="M5012" i="14"/>
  <c r="M5000" i="14"/>
  <c r="M4988" i="14"/>
  <c r="M4976" i="14"/>
  <c r="M4964" i="14"/>
  <c r="M4952" i="14"/>
  <c r="M4940" i="14"/>
  <c r="M4928" i="14"/>
  <c r="M4916" i="14"/>
  <c r="M4904" i="14"/>
  <c r="M4892" i="14"/>
  <c r="M4880" i="14"/>
  <c r="M4868" i="14"/>
  <c r="M4856" i="14"/>
  <c r="M4844" i="14"/>
  <c r="M4832" i="14"/>
  <c r="M4820" i="14"/>
  <c r="M4808" i="14"/>
  <c r="M4796" i="14"/>
  <c r="M4784" i="14"/>
  <c r="M4772" i="14"/>
  <c r="M4760" i="14"/>
  <c r="M4748" i="14"/>
  <c r="M4736" i="14"/>
  <c r="M4724" i="14"/>
  <c r="M6938" i="14"/>
  <c r="M6667" i="14"/>
  <c r="M6475" i="14"/>
  <c r="M6332" i="14"/>
  <c r="M6190" i="14"/>
  <c r="M6082" i="14"/>
  <c r="M5980" i="14"/>
  <c r="M5881" i="14"/>
  <c r="M5791" i="14"/>
  <c r="M5732" i="14"/>
  <c r="M5675" i="14"/>
  <c r="M5617" i="14"/>
  <c r="M5571" i="14"/>
  <c r="M5533" i="14"/>
  <c r="M5492" i="14"/>
  <c r="M5449" i="14"/>
  <c r="M5407" i="14"/>
  <c r="M5371" i="14"/>
  <c r="M5327" i="14"/>
  <c r="M5298" i="14"/>
  <c r="M5279" i="14"/>
  <c r="M5258" i="14"/>
  <c r="M5237" i="14"/>
  <c r="M5215" i="14"/>
  <c r="M5197" i="14"/>
  <c r="M5176" i="14"/>
  <c r="M5154" i="14"/>
  <c r="M5135" i="14"/>
  <c r="M5114" i="14"/>
  <c r="M5093" i="14"/>
  <c r="M5071" i="14"/>
  <c r="M5053" i="14"/>
  <c r="M5032" i="14"/>
  <c r="M5010" i="14"/>
  <c r="M4991" i="14"/>
  <c r="M4970" i="14"/>
  <c r="M4949" i="14"/>
  <c r="M4927" i="14"/>
  <c r="M4909" i="14"/>
  <c r="M4888" i="14"/>
  <c r="M4866" i="14"/>
  <c r="M4847" i="14"/>
  <c r="M4826" i="14"/>
  <c r="M4805" i="14"/>
  <c r="M4783" i="14"/>
  <c r="M4765" i="14"/>
  <c r="M4744" i="14"/>
  <c r="M4723" i="14"/>
  <c r="M4711" i="14"/>
  <c r="M4699" i="14"/>
  <c r="M4687" i="14"/>
  <c r="M4675" i="14"/>
  <c r="M4663" i="14"/>
  <c r="M4651" i="14"/>
  <c r="M4639" i="14"/>
  <c r="M4627" i="14"/>
  <c r="M4615" i="14"/>
  <c r="M4603" i="14"/>
  <c r="M4591" i="14"/>
  <c r="M4579" i="14"/>
  <c r="M4567" i="14"/>
  <c r="M4555" i="14"/>
  <c r="M4543" i="14"/>
  <c r="M4531" i="14"/>
  <c r="M4519" i="14"/>
  <c r="M4507" i="14"/>
  <c r="M4495" i="14"/>
  <c r="M4483" i="14"/>
  <c r="M4471" i="14"/>
  <c r="M4459" i="14"/>
  <c r="M4447" i="14"/>
  <c r="M4435" i="14"/>
  <c r="M4423" i="14"/>
  <c r="M4411" i="14"/>
  <c r="M4399" i="14"/>
  <c r="M4387" i="14"/>
  <c r="M4375" i="14"/>
  <c r="M4363" i="14"/>
  <c r="M4351" i="14"/>
  <c r="M4339" i="14"/>
  <c r="M4327" i="14"/>
  <c r="M4315" i="14"/>
  <c r="M4303" i="14"/>
  <c r="M4291" i="14"/>
  <c r="M4279" i="14"/>
  <c r="M6900" i="14"/>
  <c r="M6638" i="14"/>
  <c r="M6455" i="14"/>
  <c r="M6313" i="14"/>
  <c r="M6174" i="14"/>
  <c r="M6068" i="14"/>
  <c r="M5972" i="14"/>
  <c r="M5869" i="14"/>
  <c r="M5783" i="14"/>
  <c r="M5725" i="14"/>
  <c r="M5667" i="14"/>
  <c r="M5612" i="14"/>
  <c r="M5567" i="14"/>
  <c r="M5523" i="14"/>
  <c r="M5485" i="14"/>
  <c r="M5444" i="14"/>
  <c r="M5401" i="14"/>
  <c r="M5359" i="14"/>
  <c r="M5323" i="14"/>
  <c r="M5296" i="14"/>
  <c r="M5274" i="14"/>
  <c r="M5255" i="14"/>
  <c r="M5234" i="14"/>
  <c r="M5213" i="14"/>
  <c r="M5191" i="14"/>
  <c r="M5173" i="14"/>
  <c r="M5152" i="14"/>
  <c r="M5130" i="14"/>
  <c r="M5111" i="14"/>
  <c r="M5090" i="14"/>
  <c r="M5069" i="14"/>
  <c r="M5047" i="14"/>
  <c r="M5029" i="14"/>
  <c r="M5008" i="14"/>
  <c r="M4986" i="14"/>
  <c r="M4967" i="14"/>
  <c r="M4946" i="14"/>
  <c r="M4925" i="14"/>
  <c r="M4903" i="14"/>
  <c r="M4885" i="14"/>
  <c r="M4864" i="14"/>
  <c r="M4842" i="14"/>
  <c r="M4823" i="14"/>
  <c r="M4802" i="14"/>
  <c r="M4781" i="14"/>
  <c r="M4759" i="14"/>
  <c r="M4741" i="14"/>
  <c r="M7092" i="14"/>
  <c r="M6804" i="14"/>
  <c r="M6566" i="14"/>
  <c r="M6406" i="14"/>
  <c r="M6266" i="14"/>
  <c r="M6135" i="14"/>
  <c r="M6035" i="14"/>
  <c r="M5938" i="14"/>
  <c r="M5836" i="14"/>
  <c r="M5763" i="14"/>
  <c r="M5707" i="14"/>
  <c r="M5648" i="14"/>
  <c r="M5595" i="14"/>
  <c r="M5557" i="14"/>
  <c r="M5516" i="14"/>
  <c r="M5473" i="14"/>
  <c r="M5431" i="14"/>
  <c r="M5395" i="14"/>
  <c r="M5351" i="14"/>
  <c r="M5310" i="14"/>
  <c r="M5291" i="14"/>
  <c r="M5270" i="14"/>
  <c r="M5249" i="14"/>
  <c r="M5227" i="14"/>
  <c r="M5209" i="14"/>
  <c r="M5188" i="14"/>
  <c r="M5166" i="14"/>
  <c r="M5147" i="14"/>
  <c r="M5126" i="14"/>
  <c r="M5105" i="14"/>
  <c r="M5083" i="14"/>
  <c r="M5065" i="14"/>
  <c r="M5044" i="14"/>
  <c r="M5022" i="14"/>
  <c r="M5003" i="14"/>
  <c r="M4982" i="14"/>
  <c r="M4961" i="14"/>
  <c r="M4939" i="14"/>
  <c r="M4921" i="14"/>
  <c r="M4900" i="14"/>
  <c r="M4878" i="14"/>
  <c r="M4859" i="14"/>
  <c r="M4838" i="14"/>
  <c r="M4817" i="14"/>
  <c r="M4795" i="14"/>
  <c r="M4777" i="14"/>
  <c r="M4756" i="14"/>
  <c r="M4734" i="14"/>
  <c r="M4718" i="14"/>
  <c r="M4706" i="14"/>
  <c r="M4694" i="14"/>
  <c r="M4682" i="14"/>
  <c r="M4670" i="14"/>
  <c r="M4658" i="14"/>
  <c r="M4646" i="14"/>
  <c r="M4634" i="14"/>
  <c r="M4622" i="14"/>
  <c r="M4610" i="14"/>
  <c r="M4598" i="14"/>
  <c r="M4586" i="14"/>
  <c r="M4574" i="14"/>
  <c r="M4562" i="14"/>
  <c r="M4550" i="14"/>
  <c r="M4538" i="14"/>
  <c r="M4526" i="14"/>
  <c r="M4514" i="14"/>
  <c r="M4502" i="14"/>
  <c r="M4490" i="14"/>
  <c r="M4478" i="14"/>
  <c r="M4466" i="14"/>
  <c r="M4454" i="14"/>
  <c r="M4442" i="14"/>
  <c r="M4430" i="14"/>
  <c r="M4418" i="14"/>
  <c r="M4406" i="14"/>
  <c r="M4394" i="14"/>
  <c r="M4382" i="14"/>
  <c r="M4370" i="14"/>
  <c r="M4358" i="14"/>
  <c r="M4346" i="14"/>
  <c r="M4334" i="14"/>
  <c r="M4322" i="14"/>
  <c r="M4310" i="14"/>
  <c r="M4298" i="14"/>
  <c r="M4286" i="14"/>
  <c r="M4274" i="14"/>
  <c r="M7082" i="14"/>
  <c r="M6794" i="14"/>
  <c r="M6559" i="14"/>
  <c r="M6399" i="14"/>
  <c r="M6260" i="14"/>
  <c r="M6130" i="14"/>
  <c r="M6034" i="14"/>
  <c r="M5931" i="14"/>
  <c r="M5833" i="14"/>
  <c r="M5761" i="14"/>
  <c r="M5703" i="14"/>
  <c r="M5647" i="14"/>
  <c r="M5593" i="14"/>
  <c r="M5551" i="14"/>
  <c r="M5515" i="14"/>
  <c r="M5471" i="14"/>
  <c r="M5427" i="14"/>
  <c r="M5389" i="14"/>
  <c r="M5348" i="14"/>
  <c r="M5309" i="14"/>
  <c r="M5287" i="14"/>
  <c r="M5269" i="14"/>
  <c r="M5248" i="14"/>
  <c r="M5226" i="14"/>
  <c r="M5207" i="14"/>
  <c r="M5186" i="14"/>
  <c r="M5165" i="14"/>
  <c r="M5143" i="14"/>
  <c r="M5125" i="14"/>
  <c r="M5104" i="14"/>
  <c r="M5082" i="14"/>
  <c r="M5063" i="14"/>
  <c r="M5042" i="14"/>
  <c r="M5021" i="14"/>
  <c r="M4999" i="14"/>
  <c r="M4981" i="14"/>
  <c r="M4960" i="14"/>
  <c r="M4938" i="14"/>
  <c r="M4919" i="14"/>
  <c r="M4898" i="14"/>
  <c r="M4877" i="14"/>
  <c r="M4855" i="14"/>
  <c r="M4837" i="14"/>
  <c r="M4816" i="14"/>
  <c r="M4794" i="14"/>
  <c r="M4775" i="14"/>
  <c r="M4754" i="14"/>
  <c r="M7044" i="14"/>
  <c r="M6756" i="14"/>
  <c r="M6532" i="14"/>
  <c r="M6382" i="14"/>
  <c r="M6246" i="14"/>
  <c r="M6118" i="14"/>
  <c r="M6020" i="14"/>
  <c r="M5919" i="14"/>
  <c r="M5820" i="14"/>
  <c r="M5755" i="14"/>
  <c r="M5696" i="14"/>
  <c r="M5639" i="14"/>
  <c r="M5588" i="14"/>
  <c r="M5545" i="14"/>
  <c r="M5503" i="14"/>
  <c r="M5467" i="14"/>
  <c r="M5423" i="14"/>
  <c r="M5379" i="14"/>
  <c r="M5341" i="14"/>
  <c r="M5306" i="14"/>
  <c r="M5285" i="14"/>
  <c r="M5263" i="14"/>
  <c r="M5245" i="14"/>
  <c r="M5224" i="14"/>
  <c r="M5202" i="14"/>
  <c r="M5183" i="14"/>
  <c r="M5162" i="14"/>
  <c r="M5141" i="14"/>
  <c r="M5119" i="14"/>
  <c r="M5101" i="14"/>
  <c r="M5080" i="14"/>
  <c r="M5058" i="14"/>
  <c r="M5039" i="14"/>
  <c r="M5018" i="14"/>
  <c r="M4997" i="14"/>
  <c r="M4975" i="14"/>
  <c r="M4957" i="14"/>
  <c r="M4936" i="14"/>
  <c r="M4914" i="14"/>
  <c r="M4895" i="14"/>
  <c r="M4874" i="14"/>
  <c r="M4853" i="14"/>
  <c r="M4831" i="14"/>
  <c r="M4813" i="14"/>
  <c r="M4792" i="14"/>
  <c r="M4770" i="14"/>
  <c r="M4751" i="14"/>
  <c r="M6959" i="14"/>
  <c r="M6683" i="14"/>
  <c r="M6486" i="14"/>
  <c r="M6342" i="14"/>
  <c r="M6203" i="14"/>
  <c r="M6087" i="14"/>
  <c r="M5991" i="14"/>
  <c r="M5891" i="14"/>
  <c r="M5795" i="14"/>
  <c r="M5737" i="14"/>
  <c r="M5679" i="14"/>
  <c r="M5623" i="14"/>
  <c r="M5581" i="14"/>
  <c r="M5540" i="14"/>
  <c r="M5497" i="14"/>
  <c r="M5455" i="14"/>
  <c r="M5419" i="14"/>
  <c r="M5375" i="14"/>
  <c r="M5331" i="14"/>
  <c r="M5303" i="14"/>
  <c r="M5282" i="14"/>
  <c r="M5261" i="14"/>
  <c r="M5239" i="14"/>
  <c r="M5221" i="14"/>
  <c r="M5200" i="14"/>
  <c r="M5178" i="14"/>
  <c r="M5159" i="14"/>
  <c r="M5138" i="14"/>
  <c r="M5117" i="14"/>
  <c r="M5095" i="14"/>
  <c r="M5077" i="14"/>
  <c r="M5056" i="14"/>
  <c r="M5034" i="14"/>
  <c r="M5015" i="14"/>
  <c r="M4994" i="14"/>
  <c r="M6720" i="14"/>
  <c r="M6362" i="14"/>
  <c r="M6106" i="14"/>
  <c r="M5908" i="14"/>
  <c r="M5747" i="14"/>
  <c r="M5631" i="14"/>
  <c r="M5543" i="14"/>
  <c r="M5461" i="14"/>
  <c r="M5377" i="14"/>
  <c r="M5305" i="14"/>
  <c r="M5262" i="14"/>
  <c r="M5222" i="14"/>
  <c r="M5179" i="14"/>
  <c r="M5140" i="14"/>
  <c r="M5099" i="14"/>
  <c r="M5057" i="14"/>
  <c r="M5017" i="14"/>
  <c r="M4974" i="14"/>
  <c r="M4943" i="14"/>
  <c r="M4907" i="14"/>
  <c r="M4871" i="14"/>
  <c r="M4835" i="14"/>
  <c r="M4801" i="14"/>
  <c r="M4766" i="14"/>
  <c r="M4732" i="14"/>
  <c r="M4714" i="14"/>
  <c r="M4700" i="14"/>
  <c r="M4685" i="14"/>
  <c r="M4671" i="14"/>
  <c r="M4656" i="14"/>
  <c r="M4642" i="14"/>
  <c r="M4628" i="14"/>
  <c r="M4613" i="14"/>
  <c r="M4599" i="14"/>
  <c r="M4584" i="14"/>
  <c r="M4570" i="14"/>
  <c r="M4556" i="14"/>
  <c r="M4541" i="14"/>
  <c r="M4527" i="14"/>
  <c r="M4512" i="14"/>
  <c r="M4498" i="14"/>
  <c r="M4484" i="14"/>
  <c r="M4469" i="14"/>
  <c r="M4455" i="14"/>
  <c r="M4440" i="14"/>
  <c r="M4426" i="14"/>
  <c r="M4412" i="14"/>
  <c r="M4397" i="14"/>
  <c r="M4383" i="14"/>
  <c r="M4368" i="14"/>
  <c r="M4354" i="14"/>
  <c r="M4340" i="14"/>
  <c r="M4325" i="14"/>
  <c r="M4311" i="14"/>
  <c r="M4296" i="14"/>
  <c r="M4282" i="14"/>
  <c r="M4268" i="14"/>
  <c r="M4256" i="14"/>
  <c r="M4244" i="14"/>
  <c r="M4232" i="14"/>
  <c r="M4220" i="14"/>
  <c r="M4208" i="14"/>
  <c r="M4196" i="14"/>
  <c r="M4184" i="14"/>
  <c r="M4172" i="14"/>
  <c r="M4160" i="14"/>
  <c r="M4148" i="14"/>
  <c r="M4136" i="14"/>
  <c r="M4124" i="14"/>
  <c r="M4112" i="14"/>
  <c r="M4100" i="14"/>
  <c r="M4088" i="14"/>
  <c r="M4076" i="14"/>
  <c r="M4064" i="14"/>
  <c r="M4052" i="14"/>
  <c r="M4040" i="14"/>
  <c r="M4028" i="14"/>
  <c r="M4016" i="14"/>
  <c r="M4004" i="14"/>
  <c r="M3992" i="14"/>
  <c r="M3980" i="14"/>
  <c r="M3968" i="14"/>
  <c r="M3956" i="14"/>
  <c r="M3944" i="14"/>
  <c r="M3932" i="14"/>
  <c r="M6659" i="14"/>
  <c r="M6324" i="14"/>
  <c r="M6075" i="14"/>
  <c r="M5879" i="14"/>
  <c r="M5731" i="14"/>
  <c r="M5615" i="14"/>
  <c r="M5527" i="14"/>
  <c r="M5447" i="14"/>
  <c r="M5365" i="14"/>
  <c r="M5297" i="14"/>
  <c r="M5257" i="14"/>
  <c r="M5214" i="14"/>
  <c r="M5174" i="14"/>
  <c r="M5131" i="14"/>
  <c r="M5092" i="14"/>
  <c r="M5051" i="14"/>
  <c r="M5009" i="14"/>
  <c r="M4972" i="14"/>
  <c r="M4934" i="14"/>
  <c r="M4901" i="14"/>
  <c r="M4865" i="14"/>
  <c r="M4829" i="14"/>
  <c r="M4793" i="14"/>
  <c r="M4758" i="14"/>
  <c r="M4729" i="14"/>
  <c r="M4712" i="14"/>
  <c r="M4697" i="14"/>
  <c r="M4683" i="14"/>
  <c r="M4668" i="14"/>
  <c r="M4654" i="14"/>
  <c r="M4640" i="14"/>
  <c r="M4625" i="14"/>
  <c r="M4611" i="14"/>
  <c r="M4596" i="14"/>
  <c r="M4582" i="14"/>
  <c r="M4568" i="14"/>
  <c r="M4553" i="14"/>
  <c r="M4539" i="14"/>
  <c r="M4524" i="14"/>
  <c r="M4510" i="14"/>
  <c r="M4496" i="14"/>
  <c r="M4481" i="14"/>
  <c r="M4467" i="14"/>
  <c r="M4452" i="14"/>
  <c r="M4438" i="14"/>
  <c r="M4424" i="14"/>
  <c r="M4409" i="14"/>
  <c r="M4395" i="14"/>
  <c r="M4380" i="14"/>
  <c r="M4366" i="14"/>
  <c r="M4352" i="14"/>
  <c r="M4337" i="14"/>
  <c r="M4323" i="14"/>
  <c r="M4308" i="14"/>
  <c r="M4294" i="14"/>
  <c r="M4280" i="14"/>
  <c r="M4266" i="14"/>
  <c r="M4254" i="14"/>
  <c r="M4242" i="14"/>
  <c r="M4230" i="14"/>
  <c r="M4218" i="14"/>
  <c r="M4206" i="14"/>
  <c r="M4194" i="14"/>
  <c r="M4182" i="14"/>
  <c r="M4170" i="14"/>
  <c r="M4158" i="14"/>
  <c r="M4146" i="14"/>
  <c r="M4134" i="14"/>
  <c r="M4122" i="14"/>
  <c r="M4110" i="14"/>
  <c r="M4098" i="14"/>
  <c r="M4086" i="14"/>
  <c r="M4074" i="14"/>
  <c r="M4062" i="14"/>
  <c r="M4050" i="14"/>
  <c r="M4038" i="14"/>
  <c r="M4026" i="14"/>
  <c r="M4014" i="14"/>
  <c r="M4002" i="14"/>
  <c r="M3990" i="14"/>
  <c r="M3978" i="14"/>
  <c r="M3966" i="14"/>
  <c r="M3954" i="14"/>
  <c r="M3942" i="14"/>
  <c r="M3930" i="14"/>
  <c r="M7151" i="14"/>
  <c r="M6611" i="14"/>
  <c r="M6295" i="14"/>
  <c r="M6056" i="14"/>
  <c r="M5857" i="14"/>
  <c r="M5719" i="14"/>
  <c r="M5605" i="14"/>
  <c r="M5521" i="14"/>
  <c r="M5443" i="14"/>
  <c r="M5355" i="14"/>
  <c r="M5294" i="14"/>
  <c r="M5251" i="14"/>
  <c r="M5212" i="14"/>
  <c r="M5171" i="14"/>
  <c r="M5129" i="14"/>
  <c r="M5089" i="14"/>
  <c r="M5046" i="14"/>
  <c r="M5006" i="14"/>
  <c r="M4969" i="14"/>
  <c r="M4933" i="14"/>
  <c r="M4897" i="14"/>
  <c r="M4862" i="14"/>
  <c r="M4828" i="14"/>
  <c r="M4790" i="14"/>
  <c r="M4757" i="14"/>
  <c r="M4727" i="14"/>
  <c r="M4710" i="14"/>
  <c r="M4696" i="14"/>
  <c r="M4681" i="14"/>
  <c r="M4667" i="14"/>
  <c r="M4653" i="14"/>
  <c r="M4638" i="14"/>
  <c r="M4624" i="14"/>
  <c r="M4609" i="14"/>
  <c r="M4595" i="14"/>
  <c r="M4581" i="14"/>
  <c r="M4566" i="14"/>
  <c r="M4552" i="14"/>
  <c r="M4537" i="14"/>
  <c r="M4523" i="14"/>
  <c r="M4509" i="14"/>
  <c r="M4494" i="14"/>
  <c r="M4480" i="14"/>
  <c r="M4465" i="14"/>
  <c r="M4451" i="14"/>
  <c r="M4437" i="14"/>
  <c r="M4422" i="14"/>
  <c r="M4408" i="14"/>
  <c r="M4393" i="14"/>
  <c r="M4379" i="14"/>
  <c r="M4365" i="14"/>
  <c r="M4350" i="14"/>
  <c r="M4336" i="14"/>
  <c r="M4321" i="14"/>
  <c r="M4307" i="14"/>
  <c r="M4293" i="14"/>
  <c r="M4278" i="14"/>
  <c r="M4265" i="14"/>
  <c r="M4253" i="14"/>
  <c r="M4241" i="14"/>
  <c r="M4229" i="14"/>
  <c r="M4217" i="14"/>
  <c r="M4205" i="14"/>
  <c r="M4193" i="14"/>
  <c r="M4181" i="14"/>
  <c r="M4169" i="14"/>
  <c r="M4157" i="14"/>
  <c r="M4145" i="14"/>
  <c r="M4133" i="14"/>
  <c r="M4121" i="14"/>
  <c r="M4109" i="14"/>
  <c r="M4097" i="14"/>
  <c r="M4085" i="14"/>
  <c r="M4073" i="14"/>
  <c r="M4061" i="14"/>
  <c r="M4049" i="14"/>
  <c r="M4037" i="14"/>
  <c r="M4025" i="14"/>
  <c r="M4013" i="14"/>
  <c r="M4001" i="14"/>
  <c r="M3989" i="14"/>
  <c r="M3977" i="14"/>
  <c r="M3965" i="14"/>
  <c r="M3953" i="14"/>
  <c r="M3941" i="14"/>
  <c r="M3929" i="14"/>
  <c r="M7069" i="14"/>
  <c r="M6551" i="14"/>
  <c r="M6255" i="14"/>
  <c r="M6025" i="14"/>
  <c r="M5830" i="14"/>
  <c r="M5701" i="14"/>
  <c r="M5591" i="14"/>
  <c r="M5509" i="14"/>
  <c r="M5425" i="14"/>
  <c r="M5347" i="14"/>
  <c r="M5286" i="14"/>
  <c r="M5246" i="14"/>
  <c r="M5203" i="14"/>
  <c r="M5164" i="14"/>
  <c r="M5123" i="14"/>
  <c r="M5081" i="14"/>
  <c r="M5041" i="14"/>
  <c r="M4998" i="14"/>
  <c r="M4962" i="14"/>
  <c r="M4926" i="14"/>
  <c r="M4890" i="14"/>
  <c r="M4854" i="14"/>
  <c r="M4819" i="14"/>
  <c r="M4787" i="14"/>
  <c r="M4747" i="14"/>
  <c r="M4722" i="14"/>
  <c r="M4708" i="14"/>
  <c r="M4693" i="14"/>
  <c r="M4679" i="14"/>
  <c r="M4665" i="14"/>
  <c r="M4650" i="14"/>
  <c r="M4636" i="14"/>
  <c r="M4621" i="14"/>
  <c r="M4607" i="14"/>
  <c r="M4593" i="14"/>
  <c r="M4578" i="14"/>
  <c r="M4564" i="14"/>
  <c r="M4549" i="14"/>
  <c r="M4535" i="14"/>
  <c r="M4521" i="14"/>
  <c r="M4506" i="14"/>
  <c r="M4492" i="14"/>
  <c r="M4477" i="14"/>
  <c r="M4463" i="14"/>
  <c r="M4449" i="14"/>
  <c r="M4434" i="14"/>
  <c r="M4420" i="14"/>
  <c r="M4405" i="14"/>
  <c r="M4391" i="14"/>
  <c r="M4377" i="14"/>
  <c r="M4362" i="14"/>
  <c r="M4348" i="14"/>
  <c r="M4333" i="14"/>
  <c r="M4319" i="14"/>
  <c r="M4305" i="14"/>
  <c r="M4290" i="14"/>
  <c r="M4276" i="14"/>
  <c r="M4263" i="14"/>
  <c r="M4251" i="14"/>
  <c r="M4239" i="14"/>
  <c r="M4227" i="14"/>
  <c r="M4215" i="14"/>
  <c r="M4203" i="14"/>
  <c r="M4191" i="14"/>
  <c r="M4179" i="14"/>
  <c r="M4167" i="14"/>
  <c r="M4155" i="14"/>
  <c r="M4143" i="14"/>
  <c r="M4131" i="14"/>
  <c r="M4119" i="14"/>
  <c r="M4107" i="14"/>
  <c r="M4095" i="14"/>
  <c r="M4083" i="14"/>
  <c r="M4071" i="14"/>
  <c r="M4059" i="14"/>
  <c r="M4047" i="14"/>
  <c r="M4035" i="14"/>
  <c r="M4023" i="14"/>
  <c r="M4011" i="14"/>
  <c r="M3999" i="14"/>
  <c r="M3987" i="14"/>
  <c r="M3975" i="14"/>
  <c r="M3963" i="14"/>
  <c r="M3951" i="14"/>
  <c r="M3939" i="14"/>
  <c r="M3927" i="14"/>
  <c r="M7007" i="14"/>
  <c r="M6517" i="14"/>
  <c r="M6227" i="14"/>
  <c r="M6004" i="14"/>
  <c r="M5808" i="14"/>
  <c r="M5689" i="14"/>
  <c r="M5587" i="14"/>
  <c r="M5499" i="14"/>
  <c r="M5420" i="14"/>
  <c r="M5335" i="14"/>
  <c r="M5284" i="14"/>
  <c r="M5243" i="14"/>
  <c r="M5201" i="14"/>
  <c r="M5161" i="14"/>
  <c r="M5118" i="14"/>
  <c r="M5078" i="14"/>
  <c r="M5035" i="14"/>
  <c r="M4996" i="14"/>
  <c r="M4958" i="14"/>
  <c r="M4924" i="14"/>
  <c r="M4889" i="14"/>
  <c r="M4852" i="14"/>
  <c r="M4818" i="14"/>
  <c r="M4782" i="14"/>
  <c r="M4746" i="14"/>
  <c r="M4721" i="14"/>
  <c r="M4707" i="14"/>
  <c r="M4692" i="14"/>
  <c r="M4678" i="14"/>
  <c r="M4664" i="14"/>
  <c r="M4649" i="14"/>
  <c r="M4635" i="14"/>
  <c r="M4620" i="14"/>
  <c r="M4606" i="14"/>
  <c r="M4592" i="14"/>
  <c r="M4577" i="14"/>
  <c r="M4563" i="14"/>
  <c r="M4548" i="14"/>
  <c r="M4534" i="14"/>
  <c r="M4520" i="14"/>
  <c r="M4505" i="14"/>
  <c r="M4491" i="14"/>
  <c r="M4476" i="14"/>
  <c r="M4462" i="14"/>
  <c r="M4448" i="14"/>
  <c r="M4433" i="14"/>
  <c r="M4419" i="14"/>
  <c r="M4404" i="14"/>
  <c r="M4390" i="14"/>
  <c r="M4376" i="14"/>
  <c r="M4361" i="14"/>
  <c r="M4347" i="14"/>
  <c r="M4332" i="14"/>
  <c r="M4318" i="14"/>
  <c r="M4304" i="14"/>
  <c r="M4289" i="14"/>
  <c r="M4275" i="14"/>
  <c r="M4262" i="14"/>
  <c r="M4250" i="14"/>
  <c r="M4238" i="14"/>
  <c r="M4226" i="14"/>
  <c r="M4214" i="14"/>
  <c r="M4202" i="14"/>
  <c r="M4190" i="14"/>
  <c r="M4178" i="14"/>
  <c r="M4166" i="14"/>
  <c r="M4154" i="14"/>
  <c r="M4142" i="14"/>
  <c r="M4130" i="14"/>
  <c r="M4118" i="14"/>
  <c r="M4106" i="14"/>
  <c r="M4094" i="14"/>
  <c r="M4082" i="14"/>
  <c r="M4070" i="14"/>
  <c r="M4058" i="14"/>
  <c r="M4046" i="14"/>
  <c r="M4034" i="14"/>
  <c r="M4022" i="14"/>
  <c r="M4010" i="14"/>
  <c r="M3998" i="14"/>
  <c r="M3986" i="14"/>
  <c r="M3974" i="14"/>
  <c r="M3962" i="14"/>
  <c r="M3950" i="14"/>
  <c r="M3938" i="14"/>
  <c r="M3926" i="14"/>
  <c r="M6925" i="14"/>
  <c r="M6469" i="14"/>
  <c r="M6188" i="14"/>
  <c r="M5977" i="14"/>
  <c r="M5787" i="14"/>
  <c r="M5672" i="14"/>
  <c r="M5569" i="14"/>
  <c r="M5491" i="14"/>
  <c r="M5403" i="14"/>
  <c r="M5324" i="14"/>
  <c r="M5275" i="14"/>
  <c r="M5236" i="14"/>
  <c r="M5195" i="14"/>
  <c r="M5153" i="14"/>
  <c r="M5113" i="14"/>
  <c r="M5070" i="14"/>
  <c r="M5030" i="14"/>
  <c r="M4987" i="14"/>
  <c r="M4951" i="14"/>
  <c r="M4915" i="14"/>
  <c r="M4883" i="14"/>
  <c r="M4849" i="14"/>
  <c r="M4811" i="14"/>
  <c r="M4778" i="14"/>
  <c r="M4742" i="14"/>
  <c r="M4719" i="14"/>
  <c r="M4704" i="14"/>
  <c r="M4690" i="14"/>
  <c r="M4676" i="14"/>
  <c r="M4661" i="14"/>
  <c r="M4647" i="14"/>
  <c r="M4632" i="14"/>
  <c r="M4618" i="14"/>
  <c r="M4604" i="14"/>
  <c r="M4589" i="14"/>
  <c r="M4575" i="14"/>
  <c r="M4560" i="14"/>
  <c r="M4546" i="14"/>
  <c r="M4532" i="14"/>
  <c r="M4517" i="14"/>
  <c r="M4503" i="14"/>
  <c r="M4488" i="14"/>
  <c r="M4474" i="14"/>
  <c r="M4460" i="14"/>
  <c r="M4445" i="14"/>
  <c r="M4431" i="14"/>
  <c r="M4416" i="14"/>
  <c r="M4402" i="14"/>
  <c r="M4388" i="14"/>
  <c r="M4373" i="14"/>
  <c r="M4359" i="14"/>
  <c r="M4344" i="14"/>
  <c r="M4330" i="14"/>
  <c r="M4316" i="14"/>
  <c r="M4301" i="14"/>
  <c r="M4287" i="14"/>
  <c r="M4272" i="14"/>
  <c r="M4260" i="14"/>
  <c r="M4248" i="14"/>
  <c r="M4236" i="14"/>
  <c r="M4224" i="14"/>
  <c r="M4212" i="14"/>
  <c r="M4200" i="14"/>
  <c r="M4188" i="14"/>
  <c r="M4176" i="14"/>
  <c r="M4164" i="14"/>
  <c r="M4152" i="14"/>
  <c r="M4140" i="14"/>
  <c r="M4128" i="14"/>
  <c r="M4116" i="14"/>
  <c r="M4104" i="14"/>
  <c r="M4092" i="14"/>
  <c r="M4080" i="14"/>
  <c r="M4068" i="14"/>
  <c r="M4056" i="14"/>
  <c r="M4044" i="14"/>
  <c r="M4032" i="14"/>
  <c r="M4020" i="14"/>
  <c r="M4008" i="14"/>
  <c r="M3996" i="14"/>
  <c r="M3984" i="14"/>
  <c r="M3972" i="14"/>
  <c r="M3960" i="14"/>
  <c r="M3948" i="14"/>
  <c r="M3936" i="14"/>
  <c r="M3924" i="14"/>
  <c r="M6815" i="14"/>
  <c r="M6411" i="14"/>
  <c r="M6136" i="14"/>
  <c r="M5940" i="14"/>
  <c r="M5767" i="14"/>
  <c r="M5651" i="14"/>
  <c r="M5563" i="14"/>
  <c r="M5475" i="14"/>
  <c r="M5396" i="14"/>
  <c r="M5311" i="14"/>
  <c r="M5272" i="14"/>
  <c r="M5231" i="14"/>
  <c r="M5189" i="14"/>
  <c r="M5149" i="14"/>
  <c r="M5106" i="14"/>
  <c r="M5066" i="14"/>
  <c r="M5023" i="14"/>
  <c r="M4984" i="14"/>
  <c r="M4948" i="14"/>
  <c r="M4912" i="14"/>
  <c r="M4876" i="14"/>
  <c r="M4841" i="14"/>
  <c r="M4806" i="14"/>
  <c r="M4769" i="14"/>
  <c r="M4735" i="14"/>
  <c r="M4716" i="14"/>
  <c r="M4702" i="14"/>
  <c r="M4688" i="14"/>
  <c r="M4673" i="14"/>
  <c r="M4659" i="14"/>
  <c r="M4644" i="14"/>
  <c r="M4630" i="14"/>
  <c r="M4616" i="14"/>
  <c r="M4601" i="14"/>
  <c r="M4587" i="14"/>
  <c r="M4572" i="14"/>
  <c r="M4558" i="14"/>
  <c r="M4544" i="14"/>
  <c r="M4529" i="14"/>
  <c r="M4515" i="14"/>
  <c r="M4500" i="14"/>
  <c r="M4486" i="14"/>
  <c r="M4472" i="14"/>
  <c r="M4457" i="14"/>
  <c r="M4443" i="14"/>
  <c r="M4428" i="14"/>
  <c r="M4414" i="14"/>
  <c r="M4400" i="14"/>
  <c r="M4385" i="14"/>
  <c r="M4371" i="14"/>
  <c r="M4356" i="14"/>
  <c r="M4342" i="14"/>
  <c r="M4328" i="14"/>
  <c r="M4313" i="14"/>
  <c r="M4299" i="14"/>
  <c r="M4284" i="14"/>
  <c r="M4270" i="14"/>
  <c r="M4258" i="14"/>
  <c r="M4246" i="14"/>
  <c r="M4234" i="14"/>
  <c r="M4222" i="14"/>
  <c r="M4210" i="14"/>
  <c r="M4198" i="14"/>
  <c r="M4186" i="14"/>
  <c r="M4174" i="14"/>
  <c r="M4162" i="14"/>
  <c r="M4150" i="14"/>
  <c r="M4138" i="14"/>
  <c r="M4126" i="14"/>
  <c r="M4114" i="14"/>
  <c r="M4102" i="14"/>
  <c r="M4090" i="14"/>
  <c r="M4078" i="14"/>
  <c r="M4066" i="14"/>
  <c r="M4054" i="14"/>
  <c r="M4042" i="14"/>
  <c r="M4030" i="14"/>
  <c r="M4018" i="14"/>
  <c r="M4006" i="14"/>
  <c r="M3994" i="14"/>
  <c r="M3982" i="14"/>
  <c r="M3970" i="14"/>
  <c r="M3958" i="14"/>
  <c r="M3946" i="14"/>
  <c r="M3934" i="14"/>
  <c r="M3922" i="14"/>
  <c r="M6334" i="14"/>
  <c r="M5792" i="14"/>
  <c r="M5547" i="14"/>
  <c r="M5353" i="14"/>
  <c r="M5233" i="14"/>
  <c r="M5137" i="14"/>
  <c r="M5033" i="14"/>
  <c r="M4945" i="14"/>
  <c r="M4861" i="14"/>
  <c r="M4771" i="14"/>
  <c r="M4713" i="14"/>
  <c r="M4677" i="14"/>
  <c r="M4643" i="14"/>
  <c r="M4608" i="14"/>
  <c r="M4573" i="14"/>
  <c r="M4540" i="14"/>
  <c r="M4504" i="14"/>
  <c r="M4470" i="14"/>
  <c r="M4436" i="14"/>
  <c r="M4401" i="14"/>
  <c r="M4367" i="14"/>
  <c r="M4331" i="14"/>
  <c r="M4297" i="14"/>
  <c r="M4264" i="14"/>
  <c r="M4235" i="14"/>
  <c r="M4207" i="14"/>
  <c r="M4177" i="14"/>
  <c r="M4149" i="14"/>
  <c r="M4120" i="14"/>
  <c r="M4091" i="14"/>
  <c r="M4063" i="14"/>
  <c r="M4033" i="14"/>
  <c r="M4005" i="14"/>
  <c r="M3976" i="14"/>
  <c r="M3947" i="14"/>
  <c r="M3920" i="14"/>
  <c r="M3908" i="14"/>
  <c r="M3896" i="14"/>
  <c r="M3884" i="14"/>
  <c r="M3872" i="14"/>
  <c r="M3860" i="14"/>
  <c r="M3848" i="14"/>
  <c r="M3836" i="14"/>
  <c r="M3824" i="14"/>
  <c r="M3812" i="14"/>
  <c r="M3800" i="14"/>
  <c r="M3788" i="14"/>
  <c r="M3776" i="14"/>
  <c r="M3764" i="14"/>
  <c r="M3752" i="14"/>
  <c r="M3740" i="14"/>
  <c r="M3728" i="14"/>
  <c r="M3716" i="14"/>
  <c r="M3704" i="14"/>
  <c r="M3692" i="14"/>
  <c r="M3680" i="14"/>
  <c r="M3668" i="14"/>
  <c r="M3656" i="14"/>
  <c r="M3644" i="14"/>
  <c r="M3632" i="14"/>
  <c r="M3620" i="14"/>
  <c r="M3608" i="14"/>
  <c r="M3596" i="14"/>
  <c r="M3584" i="14"/>
  <c r="M3572" i="14"/>
  <c r="M3560" i="14"/>
  <c r="M3548" i="14"/>
  <c r="M3536" i="14"/>
  <c r="M3524" i="14"/>
  <c r="M3512" i="14"/>
  <c r="M3500" i="14"/>
  <c r="M3488" i="14"/>
  <c r="M3476" i="14"/>
  <c r="M3464" i="14"/>
  <c r="M3452" i="14"/>
  <c r="M3440" i="14"/>
  <c r="M3428" i="14"/>
  <c r="M3416" i="14"/>
  <c r="M3404" i="14"/>
  <c r="M3392" i="14"/>
  <c r="M3380" i="14"/>
  <c r="M3368" i="14"/>
  <c r="M3356" i="14"/>
  <c r="M3344" i="14"/>
  <c r="M3332" i="14"/>
  <c r="M3320" i="14"/>
  <c r="M3308" i="14"/>
  <c r="M3296" i="14"/>
  <c r="M3284" i="14"/>
  <c r="M3272" i="14"/>
  <c r="M3260" i="14"/>
  <c r="M3248" i="14"/>
  <c r="M3236" i="14"/>
  <c r="M3224" i="14"/>
  <c r="M3212" i="14"/>
  <c r="M3200" i="14"/>
  <c r="M3188" i="14"/>
  <c r="M3176" i="14"/>
  <c r="M3164" i="14"/>
  <c r="M3152" i="14"/>
  <c r="M3140" i="14"/>
  <c r="M3128" i="14"/>
  <c r="M3116" i="14"/>
  <c r="M3104" i="14"/>
  <c r="M3092" i="14"/>
  <c r="M3080" i="14"/>
  <c r="M3068" i="14"/>
  <c r="M3056" i="14"/>
  <c r="M3044" i="14"/>
  <c r="M3032" i="14"/>
  <c r="M3020" i="14"/>
  <c r="M3008" i="14"/>
  <c r="M2996" i="14"/>
  <c r="M2984" i="14"/>
  <c r="M2972" i="14"/>
  <c r="M2960" i="14"/>
  <c r="M2948" i="14"/>
  <c r="M2936" i="14"/>
  <c r="M2924" i="14"/>
  <c r="M2912" i="14"/>
  <c r="M2900" i="14"/>
  <c r="M2888" i="14"/>
  <c r="M2876" i="14"/>
  <c r="M2864" i="14"/>
  <c r="M2852" i="14"/>
  <c r="M2840" i="14"/>
  <c r="M2828" i="14"/>
  <c r="M2816" i="14"/>
  <c r="M2804" i="14"/>
  <c r="M2792" i="14"/>
  <c r="M2780" i="14"/>
  <c r="M2768" i="14"/>
  <c r="M2756" i="14"/>
  <c r="M2744" i="14"/>
  <c r="M2732" i="14"/>
  <c r="M2720" i="14"/>
  <c r="M2708" i="14"/>
  <c r="M2696" i="14"/>
  <c r="M2684" i="14"/>
  <c r="M2672" i="14"/>
  <c r="M2660" i="14"/>
  <c r="M2648" i="14"/>
  <c r="M2636" i="14"/>
  <c r="M2624" i="14"/>
  <c r="M2612" i="14"/>
  <c r="M2600" i="14"/>
  <c r="M2588" i="14"/>
  <c r="M2576" i="14"/>
  <c r="M2564" i="14"/>
  <c r="M2552" i="14"/>
  <c r="M2540" i="14"/>
  <c r="M2528" i="14"/>
  <c r="M2516" i="14"/>
  <c r="M2504" i="14"/>
  <c r="M2492" i="14"/>
  <c r="M2480" i="14"/>
  <c r="M2468" i="14"/>
  <c r="M2456" i="14"/>
  <c r="M2444" i="14"/>
  <c r="M2432" i="14"/>
  <c r="M2420" i="14"/>
  <c r="M2408" i="14"/>
  <c r="M2396" i="14"/>
  <c r="M2384" i="14"/>
  <c r="M2372" i="14"/>
  <c r="M2360" i="14"/>
  <c r="M2348" i="14"/>
  <c r="M2336" i="14"/>
  <c r="M2324" i="14"/>
  <c r="M6198" i="14"/>
  <c r="M5759" i="14"/>
  <c r="M5519" i="14"/>
  <c r="M5317" i="14"/>
  <c r="M5219" i="14"/>
  <c r="M5116" i="14"/>
  <c r="M5020" i="14"/>
  <c r="M4931" i="14"/>
  <c r="M4843" i="14"/>
  <c r="M4763" i="14"/>
  <c r="M4705" i="14"/>
  <c r="M4672" i="14"/>
  <c r="M4637" i="14"/>
  <c r="M4602" i="14"/>
  <c r="M4569" i="14"/>
  <c r="M4533" i="14"/>
  <c r="M4499" i="14"/>
  <c r="M4464" i="14"/>
  <c r="M4429" i="14"/>
  <c r="M4396" i="14"/>
  <c r="M4360" i="14"/>
  <c r="M4326" i="14"/>
  <c r="M4292" i="14"/>
  <c r="M4259" i="14"/>
  <c r="M4231" i="14"/>
  <c r="M4201" i="14"/>
  <c r="M4173" i="14"/>
  <c r="M4144" i="14"/>
  <c r="M4115" i="14"/>
  <c r="M4087" i="14"/>
  <c r="M4057" i="14"/>
  <c r="M4029" i="14"/>
  <c r="M4000" i="14"/>
  <c r="M3971" i="14"/>
  <c r="M3943" i="14"/>
  <c r="M3918" i="14"/>
  <c r="M3906" i="14"/>
  <c r="M3894" i="14"/>
  <c r="M3882" i="14"/>
  <c r="M3870" i="14"/>
  <c r="M3858" i="14"/>
  <c r="M3846" i="14"/>
  <c r="M3834" i="14"/>
  <c r="M3822" i="14"/>
  <c r="M3810" i="14"/>
  <c r="M3798" i="14"/>
  <c r="M3786" i="14"/>
  <c r="M3774" i="14"/>
  <c r="M3762" i="14"/>
  <c r="M3750" i="14"/>
  <c r="M3738" i="14"/>
  <c r="M3726" i="14"/>
  <c r="M3714" i="14"/>
  <c r="M3702" i="14"/>
  <c r="M3690" i="14"/>
  <c r="M3678" i="14"/>
  <c r="M3666" i="14"/>
  <c r="M3654" i="14"/>
  <c r="M3642" i="14"/>
  <c r="M3630" i="14"/>
  <c r="M3618" i="14"/>
  <c r="M3606" i="14"/>
  <c r="M3594" i="14"/>
  <c r="M3582" i="14"/>
  <c r="M3570" i="14"/>
  <c r="M3558" i="14"/>
  <c r="M3546" i="14"/>
  <c r="M3534" i="14"/>
  <c r="M3522" i="14"/>
  <c r="M3510" i="14"/>
  <c r="M3498" i="14"/>
  <c r="M3486" i="14"/>
  <c r="M3474" i="14"/>
  <c r="M3462" i="14"/>
  <c r="M3450" i="14"/>
  <c r="M3438" i="14"/>
  <c r="M3426" i="14"/>
  <c r="M3414" i="14"/>
  <c r="M3402" i="14"/>
  <c r="M3390" i="14"/>
  <c r="M3378" i="14"/>
  <c r="M3366" i="14"/>
  <c r="M3354" i="14"/>
  <c r="M3342" i="14"/>
  <c r="M3330" i="14"/>
  <c r="M3318" i="14"/>
  <c r="M3306" i="14"/>
  <c r="M3294" i="14"/>
  <c r="M3282" i="14"/>
  <c r="M3270" i="14"/>
  <c r="M3258" i="14"/>
  <c r="M3246" i="14"/>
  <c r="M3234" i="14"/>
  <c r="M3222" i="14"/>
  <c r="M3210" i="14"/>
  <c r="M3198" i="14"/>
  <c r="M3186" i="14"/>
  <c r="M3174" i="14"/>
  <c r="M3162" i="14"/>
  <c r="M3150" i="14"/>
  <c r="M3138" i="14"/>
  <c r="M3126" i="14"/>
  <c r="M3114" i="14"/>
  <c r="M3102" i="14"/>
  <c r="M3090" i="14"/>
  <c r="M3078" i="14"/>
  <c r="M3066" i="14"/>
  <c r="M3054" i="14"/>
  <c r="M3042" i="14"/>
  <c r="M3030" i="14"/>
  <c r="M3018" i="14"/>
  <c r="M3006" i="14"/>
  <c r="M2994" i="14"/>
  <c r="M2982" i="14"/>
  <c r="M2970" i="14"/>
  <c r="M2958" i="14"/>
  <c r="M2946" i="14"/>
  <c r="M2934" i="14"/>
  <c r="M2922" i="14"/>
  <c r="M2910" i="14"/>
  <c r="M2898" i="14"/>
  <c r="M2886" i="14"/>
  <c r="M2874" i="14"/>
  <c r="M2862" i="14"/>
  <c r="M2850" i="14"/>
  <c r="M2838" i="14"/>
  <c r="M2826" i="14"/>
  <c r="M2814" i="14"/>
  <c r="M2802" i="14"/>
  <c r="M2790" i="14"/>
  <c r="M2778" i="14"/>
  <c r="M2766" i="14"/>
  <c r="M2754" i="14"/>
  <c r="M2742" i="14"/>
  <c r="M2730" i="14"/>
  <c r="M2718" i="14"/>
  <c r="M2706" i="14"/>
  <c r="M2694" i="14"/>
  <c r="M2682" i="14"/>
  <c r="M2670" i="14"/>
  <c r="M2658" i="14"/>
  <c r="M2646" i="14"/>
  <c r="M2634" i="14"/>
  <c r="M2622" i="14"/>
  <c r="M2610" i="14"/>
  <c r="M2598" i="14"/>
  <c r="M2586" i="14"/>
  <c r="M2574" i="14"/>
  <c r="M2562" i="14"/>
  <c r="M2550" i="14"/>
  <c r="M2538" i="14"/>
  <c r="M2526" i="14"/>
  <c r="M2514" i="14"/>
  <c r="M2502" i="14"/>
  <c r="M2490" i="14"/>
  <c r="M2478" i="14"/>
  <c r="M2466" i="14"/>
  <c r="M2454" i="14"/>
  <c r="M2442" i="14"/>
  <c r="M2430" i="14"/>
  <c r="M2418" i="14"/>
  <c r="M2406" i="14"/>
  <c r="M2394" i="14"/>
  <c r="M2382" i="14"/>
  <c r="M2370" i="14"/>
  <c r="M2358" i="14"/>
  <c r="M2346" i="14"/>
  <c r="M2334" i="14"/>
  <c r="M2322" i="14"/>
  <c r="M2310" i="14"/>
  <c r="M7103" i="14"/>
  <c r="M6159" i="14"/>
  <c r="M5735" i="14"/>
  <c r="M5495" i="14"/>
  <c r="M5308" i="14"/>
  <c r="M5210" i="14"/>
  <c r="M5107" i="14"/>
  <c r="M5011" i="14"/>
  <c r="M4922" i="14"/>
  <c r="M4840" i="14"/>
  <c r="M4753" i="14"/>
  <c r="M4703" i="14"/>
  <c r="M4669" i="14"/>
  <c r="M4633" i="14"/>
  <c r="M4600" i="14"/>
  <c r="M4565" i="14"/>
  <c r="M4530" i="14"/>
  <c r="M4497" i="14"/>
  <c r="M4461" i="14"/>
  <c r="M4427" i="14"/>
  <c r="M4392" i="14"/>
  <c r="M4357" i="14"/>
  <c r="M4324" i="14"/>
  <c r="M4288" i="14"/>
  <c r="M4257" i="14"/>
  <c r="M4228" i="14"/>
  <c r="M4199" i="14"/>
  <c r="M4171" i="14"/>
  <c r="M4141" i="14"/>
  <c r="M4113" i="14"/>
  <c r="M4084" i="14"/>
  <c r="M4055" i="14"/>
  <c r="M4027" i="14"/>
  <c r="M3997" i="14"/>
  <c r="M3969" i="14"/>
  <c r="M3940" i="14"/>
  <c r="M3917" i="14"/>
  <c r="M3905" i="14"/>
  <c r="M3893" i="14"/>
  <c r="M3881" i="14"/>
  <c r="M3869" i="14"/>
  <c r="M3857" i="14"/>
  <c r="M3845" i="14"/>
  <c r="M3833" i="14"/>
  <c r="M3821" i="14"/>
  <c r="M3809" i="14"/>
  <c r="M3797" i="14"/>
  <c r="M3785" i="14"/>
  <c r="M3773" i="14"/>
  <c r="M3761" i="14"/>
  <c r="M3749" i="14"/>
  <c r="M3737" i="14"/>
  <c r="M3725" i="14"/>
  <c r="M3713" i="14"/>
  <c r="M3701" i="14"/>
  <c r="M3689" i="14"/>
  <c r="M3677" i="14"/>
  <c r="M3665" i="14"/>
  <c r="M3653" i="14"/>
  <c r="M3641" i="14"/>
  <c r="M3629" i="14"/>
  <c r="M3617" i="14"/>
  <c r="M3605" i="14"/>
  <c r="M3593" i="14"/>
  <c r="M3581" i="14"/>
  <c r="M3569" i="14"/>
  <c r="M3557" i="14"/>
  <c r="M3545" i="14"/>
  <c r="M3533" i="14"/>
  <c r="M3521" i="14"/>
  <c r="M3509" i="14"/>
  <c r="M3497" i="14"/>
  <c r="M3485" i="14"/>
  <c r="M3473" i="14"/>
  <c r="M3461" i="14"/>
  <c r="M3449" i="14"/>
  <c r="M3437" i="14"/>
  <c r="M3425" i="14"/>
  <c r="M3413" i="14"/>
  <c r="M3401" i="14"/>
  <c r="M3389" i="14"/>
  <c r="M3377" i="14"/>
  <c r="M3365" i="14"/>
  <c r="M3353" i="14"/>
  <c r="M3341" i="14"/>
  <c r="M3329" i="14"/>
  <c r="M3317" i="14"/>
  <c r="M3305" i="14"/>
  <c r="M3293" i="14"/>
  <c r="M3281" i="14"/>
  <c r="M3269" i="14"/>
  <c r="M3257" i="14"/>
  <c r="M3245" i="14"/>
  <c r="M3233" i="14"/>
  <c r="M3221" i="14"/>
  <c r="M3209" i="14"/>
  <c r="M3197" i="14"/>
  <c r="M3185" i="14"/>
  <c r="M3173" i="14"/>
  <c r="M3161" i="14"/>
  <c r="M3149" i="14"/>
  <c r="M3137" i="14"/>
  <c r="M3125" i="14"/>
  <c r="M3113" i="14"/>
  <c r="M3101" i="14"/>
  <c r="M3089" i="14"/>
  <c r="M3077" i="14"/>
  <c r="M3065" i="14"/>
  <c r="M3053" i="14"/>
  <c r="M3041" i="14"/>
  <c r="M3029" i="14"/>
  <c r="M3017" i="14"/>
  <c r="M3005" i="14"/>
  <c r="M2993" i="14"/>
  <c r="M2981" i="14"/>
  <c r="M2969" i="14"/>
  <c r="M2957" i="14"/>
  <c r="M2945" i="14"/>
  <c r="M2933" i="14"/>
  <c r="M2921" i="14"/>
  <c r="M2909" i="14"/>
  <c r="M2897" i="14"/>
  <c r="M2885" i="14"/>
  <c r="M2873" i="14"/>
  <c r="M2861" i="14"/>
  <c r="M2849" i="14"/>
  <c r="M2837" i="14"/>
  <c r="M2825" i="14"/>
  <c r="M2813" i="14"/>
  <c r="M2801" i="14"/>
  <c r="M2789" i="14"/>
  <c r="M2777" i="14"/>
  <c r="M2765" i="14"/>
  <c r="M2753" i="14"/>
  <c r="M2741" i="14"/>
  <c r="M2729" i="14"/>
  <c r="M2717" i="14"/>
  <c r="M2705" i="14"/>
  <c r="M2693" i="14"/>
  <c r="M2681" i="14"/>
  <c r="M2669" i="14"/>
  <c r="M2657" i="14"/>
  <c r="M2645" i="14"/>
  <c r="M2633" i="14"/>
  <c r="M2621" i="14"/>
  <c r="M2609" i="14"/>
  <c r="M2597" i="14"/>
  <c r="M2585" i="14"/>
  <c r="M2573" i="14"/>
  <c r="M2561" i="14"/>
  <c r="M2549" i="14"/>
  <c r="M2537" i="14"/>
  <c r="M2525" i="14"/>
  <c r="M2513" i="14"/>
  <c r="M2501" i="14"/>
  <c r="M2489" i="14"/>
  <c r="M2477" i="14"/>
  <c r="M2465" i="14"/>
  <c r="M2453" i="14"/>
  <c r="M2441" i="14"/>
  <c r="M2429" i="14"/>
  <c r="M2417" i="14"/>
  <c r="M2405" i="14"/>
  <c r="M2393" i="14"/>
  <c r="M2381" i="14"/>
  <c r="M2369" i="14"/>
  <c r="M2357" i="14"/>
  <c r="M2345" i="14"/>
  <c r="M2333" i="14"/>
  <c r="M2321" i="14"/>
  <c r="M6948" i="14"/>
  <c r="M6124" i="14"/>
  <c r="M5708" i="14"/>
  <c r="M5479" i="14"/>
  <c r="M5299" i="14"/>
  <c r="M5198" i="14"/>
  <c r="M5102" i="14"/>
  <c r="M5005" i="14"/>
  <c r="M4913" i="14"/>
  <c r="M4830" i="14"/>
  <c r="M4745" i="14"/>
  <c r="M4701" i="14"/>
  <c r="M4666" i="14"/>
  <c r="M4631" i="14"/>
  <c r="M4597" i="14"/>
  <c r="M4561" i="14"/>
  <c r="M4528" i="14"/>
  <c r="M4493" i="14"/>
  <c r="M4458" i="14"/>
  <c r="M4425" i="14"/>
  <c r="M4389" i="14"/>
  <c r="M4355" i="14"/>
  <c r="M4320" i="14"/>
  <c r="M4285" i="14"/>
  <c r="M4255" i="14"/>
  <c r="M4225" i="14"/>
  <c r="M4197" i="14"/>
  <c r="M4168" i="14"/>
  <c r="M4139" i="14"/>
  <c r="M4111" i="14"/>
  <c r="M4081" i="14"/>
  <c r="M4053" i="14"/>
  <c r="M4024" i="14"/>
  <c r="M3995" i="14"/>
  <c r="M3967" i="14"/>
  <c r="M3937" i="14"/>
  <c r="M3916" i="14"/>
  <c r="M3904" i="14"/>
  <c r="M3892" i="14"/>
  <c r="M3880" i="14"/>
  <c r="M3868" i="14"/>
  <c r="M3856" i="14"/>
  <c r="M3844" i="14"/>
  <c r="M3832" i="14"/>
  <c r="M6863" i="14"/>
  <c r="M6084" i="14"/>
  <c r="M5677" i="14"/>
  <c r="M5468" i="14"/>
  <c r="M5293" i="14"/>
  <c r="M5190" i="14"/>
  <c r="M5094" i="14"/>
  <c r="M4993" i="14"/>
  <c r="M4910" i="14"/>
  <c r="M4825" i="14"/>
  <c r="M4739" i="14"/>
  <c r="M4698" i="14"/>
  <c r="M4662" i="14"/>
  <c r="M4629" i="14"/>
  <c r="M4594" i="14"/>
  <c r="M4559" i="14"/>
  <c r="M4525" i="14"/>
  <c r="M4489" i="14"/>
  <c r="M4456" i="14"/>
  <c r="M4421" i="14"/>
  <c r="M4386" i="14"/>
  <c r="M4353" i="14"/>
  <c r="M4317" i="14"/>
  <c r="M4283" i="14"/>
  <c r="M4252" i="14"/>
  <c r="M4223" i="14"/>
  <c r="M4195" i="14"/>
  <c r="M4165" i="14"/>
  <c r="M4137" i="14"/>
  <c r="M4108" i="14"/>
  <c r="M4079" i="14"/>
  <c r="M4051" i="14"/>
  <c r="M4021" i="14"/>
  <c r="M3993" i="14"/>
  <c r="M3964" i="14"/>
  <c r="M3935" i="14"/>
  <c r="M3915" i="14"/>
  <c r="M3903" i="14"/>
  <c r="M3891" i="14"/>
  <c r="M3879" i="14"/>
  <c r="M3867" i="14"/>
  <c r="M3855" i="14"/>
  <c r="M3843" i="14"/>
  <c r="M3831" i="14"/>
  <c r="M3819" i="14"/>
  <c r="M3807" i="14"/>
  <c r="M3795" i="14"/>
  <c r="M3783" i="14"/>
  <c r="M3771" i="14"/>
  <c r="M3759" i="14"/>
  <c r="M3747" i="14"/>
  <c r="M3735" i="14"/>
  <c r="M3723" i="14"/>
  <c r="M3711" i="14"/>
  <c r="M3699" i="14"/>
  <c r="M3687" i="14"/>
  <c r="M3675" i="14"/>
  <c r="M3663" i="14"/>
  <c r="M3651" i="14"/>
  <c r="M3639" i="14"/>
  <c r="M3627" i="14"/>
  <c r="M3615" i="14"/>
  <c r="M3603" i="14"/>
  <c r="M3591" i="14"/>
  <c r="M3579" i="14"/>
  <c r="M3567" i="14"/>
  <c r="M3555" i="14"/>
  <c r="M3543" i="14"/>
  <c r="M3531" i="14"/>
  <c r="M3519" i="14"/>
  <c r="M3507" i="14"/>
  <c r="M3495" i="14"/>
  <c r="M3483" i="14"/>
  <c r="M3471" i="14"/>
  <c r="M3459" i="14"/>
  <c r="M3447" i="14"/>
  <c r="M3435" i="14"/>
  <c r="M3423" i="14"/>
  <c r="M3411" i="14"/>
  <c r="M3399" i="14"/>
  <c r="M3387" i="14"/>
  <c r="M3375" i="14"/>
  <c r="M3363" i="14"/>
  <c r="M3351" i="14"/>
  <c r="M3339" i="14"/>
  <c r="M3327" i="14"/>
  <c r="M3315" i="14"/>
  <c r="M3303" i="14"/>
  <c r="M3291" i="14"/>
  <c r="M3279" i="14"/>
  <c r="M3267" i="14"/>
  <c r="M3255" i="14"/>
  <c r="M3243" i="14"/>
  <c r="M3231" i="14"/>
  <c r="M3219" i="14"/>
  <c r="M3207" i="14"/>
  <c r="M3195" i="14"/>
  <c r="M3183" i="14"/>
  <c r="M3171" i="14"/>
  <c r="M3159" i="14"/>
  <c r="M3147" i="14"/>
  <c r="M3135" i="14"/>
  <c r="M3123" i="14"/>
  <c r="M3111" i="14"/>
  <c r="M3099" i="14"/>
  <c r="M3087" i="14"/>
  <c r="M3075" i="14"/>
  <c r="M3063" i="14"/>
  <c r="M3051" i="14"/>
  <c r="M3039" i="14"/>
  <c r="M3027" i="14"/>
  <c r="M3015" i="14"/>
  <c r="M3003" i="14"/>
  <c r="M2991" i="14"/>
  <c r="M2979" i="14"/>
  <c r="M2967" i="14"/>
  <c r="M2955" i="14"/>
  <c r="M2943" i="14"/>
  <c r="M2931" i="14"/>
  <c r="M2919" i="14"/>
  <c r="M2907" i="14"/>
  <c r="M2895" i="14"/>
  <c r="M2883" i="14"/>
  <c r="M2871" i="14"/>
  <c r="M2859" i="14"/>
  <c r="M2847" i="14"/>
  <c r="M2835" i="14"/>
  <c r="M2823" i="14"/>
  <c r="M2811" i="14"/>
  <c r="M2799" i="14"/>
  <c r="M2787" i="14"/>
  <c r="M2775" i="14"/>
  <c r="M2763" i="14"/>
  <c r="M2751" i="14"/>
  <c r="M2739" i="14"/>
  <c r="M2727" i="14"/>
  <c r="M2715" i="14"/>
  <c r="M2703" i="14"/>
  <c r="M2691" i="14"/>
  <c r="M2679" i="14"/>
  <c r="M2667" i="14"/>
  <c r="M2655" i="14"/>
  <c r="M2643" i="14"/>
  <c r="M2631" i="14"/>
  <c r="M2619" i="14"/>
  <c r="M2607" i="14"/>
  <c r="M2595" i="14"/>
  <c r="M2583" i="14"/>
  <c r="M2571" i="14"/>
  <c r="M2559" i="14"/>
  <c r="M2547" i="14"/>
  <c r="M2535" i="14"/>
  <c r="M2523" i="14"/>
  <c r="M2511" i="14"/>
  <c r="M2499" i="14"/>
  <c r="M2487" i="14"/>
  <c r="M2475" i="14"/>
  <c r="M2463" i="14"/>
  <c r="M2451" i="14"/>
  <c r="M2439" i="14"/>
  <c r="M2427" i="14"/>
  <c r="M2415" i="14"/>
  <c r="M2403" i="14"/>
  <c r="M2391" i="14"/>
  <c r="M2379" i="14"/>
  <c r="M2367" i="14"/>
  <c r="M2355" i="14"/>
  <c r="M2343" i="14"/>
  <c r="M2331" i="14"/>
  <c r="M2319" i="14"/>
  <c r="M6781" i="14"/>
  <c r="M6039" i="14"/>
  <c r="M5660" i="14"/>
  <c r="M5451" i="14"/>
  <c r="M5281" i="14"/>
  <c r="M5185" i="14"/>
  <c r="M5087" i="14"/>
  <c r="M4985" i="14"/>
  <c r="M4902" i="14"/>
  <c r="M4814" i="14"/>
  <c r="M4733" i="14"/>
  <c r="M4695" i="14"/>
  <c r="M4660" i="14"/>
  <c r="M4626" i="14"/>
  <c r="M4590" i="14"/>
  <c r="M4557" i="14"/>
  <c r="M4522" i="14"/>
  <c r="M4487" i="14"/>
  <c r="M4453" i="14"/>
  <c r="M4417" i="14"/>
  <c r="M4384" i="14"/>
  <c r="M4349" i="14"/>
  <c r="M4314" i="14"/>
  <c r="M4281" i="14"/>
  <c r="M4249" i="14"/>
  <c r="M4221" i="14"/>
  <c r="M4192" i="14"/>
  <c r="M4163" i="14"/>
  <c r="M4135" i="14"/>
  <c r="M4105" i="14"/>
  <c r="M4077" i="14"/>
  <c r="M4048" i="14"/>
  <c r="M4019" i="14"/>
  <c r="M3991" i="14"/>
  <c r="M3961" i="14"/>
  <c r="M3933" i="14"/>
  <c r="M3914" i="14"/>
  <c r="M3902" i="14"/>
  <c r="M3890" i="14"/>
  <c r="M3878" i="14"/>
  <c r="M3866" i="14"/>
  <c r="M3854" i="14"/>
  <c r="M3842" i="14"/>
  <c r="M3830" i="14"/>
  <c r="M3818" i="14"/>
  <c r="M3806" i="14"/>
  <c r="M3794" i="14"/>
  <c r="M3782" i="14"/>
  <c r="M3770" i="14"/>
  <c r="M3758" i="14"/>
  <c r="M3746" i="14"/>
  <c r="M3734" i="14"/>
  <c r="M3722" i="14"/>
  <c r="M3710" i="14"/>
  <c r="M3698" i="14"/>
  <c r="M3686" i="14"/>
  <c r="M3674" i="14"/>
  <c r="M3662" i="14"/>
  <c r="M3650" i="14"/>
  <c r="M3638" i="14"/>
  <c r="M3626" i="14"/>
  <c r="M3614" i="14"/>
  <c r="M3602" i="14"/>
  <c r="M3590" i="14"/>
  <c r="M3578" i="14"/>
  <c r="M3566" i="14"/>
  <c r="M3554" i="14"/>
  <c r="M3542" i="14"/>
  <c r="M3530" i="14"/>
  <c r="M3518" i="14"/>
  <c r="M3506" i="14"/>
  <c r="M3494" i="14"/>
  <c r="M3482" i="14"/>
  <c r="M3470" i="14"/>
  <c r="M3458" i="14"/>
  <c r="M3446" i="14"/>
  <c r="M3434" i="14"/>
  <c r="M3422" i="14"/>
  <c r="M3410" i="14"/>
  <c r="M3398" i="14"/>
  <c r="M3386" i="14"/>
  <c r="M3374" i="14"/>
  <c r="M3362" i="14"/>
  <c r="M3350" i="14"/>
  <c r="M3338" i="14"/>
  <c r="M3326" i="14"/>
  <c r="M3314" i="14"/>
  <c r="M3302" i="14"/>
  <c r="M3290" i="14"/>
  <c r="M3278" i="14"/>
  <c r="M3266" i="14"/>
  <c r="M3254" i="14"/>
  <c r="M3242" i="14"/>
  <c r="M3230" i="14"/>
  <c r="M3218" i="14"/>
  <c r="M3206" i="14"/>
  <c r="M3194" i="14"/>
  <c r="M3182" i="14"/>
  <c r="M3170" i="14"/>
  <c r="M3158" i="14"/>
  <c r="M3146" i="14"/>
  <c r="M3134" i="14"/>
  <c r="M3122" i="14"/>
  <c r="M3110" i="14"/>
  <c r="M3098" i="14"/>
  <c r="M3086" i="14"/>
  <c r="M3074" i="14"/>
  <c r="M3062" i="14"/>
  <c r="M3050" i="14"/>
  <c r="M3038" i="14"/>
  <c r="M3026" i="14"/>
  <c r="M3014" i="14"/>
  <c r="M3002" i="14"/>
  <c r="M2990" i="14"/>
  <c r="M2978" i="14"/>
  <c r="M2966" i="14"/>
  <c r="M2954" i="14"/>
  <c r="M2942" i="14"/>
  <c r="M2930" i="14"/>
  <c r="M2918" i="14"/>
  <c r="M2906" i="14"/>
  <c r="M2894" i="14"/>
  <c r="M2882" i="14"/>
  <c r="M2870" i="14"/>
  <c r="M2858" i="14"/>
  <c r="M2846" i="14"/>
  <c r="M2834" i="14"/>
  <c r="M2822" i="14"/>
  <c r="M2810" i="14"/>
  <c r="M2798" i="14"/>
  <c r="M2786" i="14"/>
  <c r="M2774" i="14"/>
  <c r="M2762" i="14"/>
  <c r="M2750" i="14"/>
  <c r="M2738" i="14"/>
  <c r="M2726" i="14"/>
  <c r="M2714" i="14"/>
  <c r="M2702" i="14"/>
  <c r="M2690" i="14"/>
  <c r="M2678" i="14"/>
  <c r="M2666" i="14"/>
  <c r="M2654" i="14"/>
  <c r="M2642" i="14"/>
  <c r="M2630" i="14"/>
  <c r="M2618" i="14"/>
  <c r="M2606" i="14"/>
  <c r="M2594" i="14"/>
  <c r="M2582" i="14"/>
  <c r="M2570" i="14"/>
  <c r="M2558" i="14"/>
  <c r="M2546" i="14"/>
  <c r="M2534" i="14"/>
  <c r="M2522" i="14"/>
  <c r="M2510" i="14"/>
  <c r="M2498" i="14"/>
  <c r="M2486" i="14"/>
  <c r="M2474" i="14"/>
  <c r="M2462" i="14"/>
  <c r="M2450" i="14"/>
  <c r="M2438" i="14"/>
  <c r="M2426" i="14"/>
  <c r="M2414" i="14"/>
  <c r="M2402" i="14"/>
  <c r="M2390" i="14"/>
  <c r="M2378" i="14"/>
  <c r="M2366" i="14"/>
  <c r="M2354" i="14"/>
  <c r="M2342" i="14"/>
  <c r="M2330" i="14"/>
  <c r="M6674" i="14"/>
  <c r="M5986" i="14"/>
  <c r="M5643" i="14"/>
  <c r="M5437" i="14"/>
  <c r="M5273" i="14"/>
  <c r="M5177" i="14"/>
  <c r="M5075" i="14"/>
  <c r="M4979" i="14"/>
  <c r="M4891" i="14"/>
  <c r="M4807" i="14"/>
  <c r="M4730" i="14"/>
  <c r="M4691" i="14"/>
  <c r="M4657" i="14"/>
  <c r="M4623" i="14"/>
  <c r="M4588" i="14"/>
  <c r="M4554" i="14"/>
  <c r="M4518" i="14"/>
  <c r="M4485" i="14"/>
  <c r="M4450" i="14"/>
  <c r="M4415" i="14"/>
  <c r="M4381" i="14"/>
  <c r="M4345" i="14"/>
  <c r="M4312" i="14"/>
  <c r="M4277" i="14"/>
  <c r="M4247" i="14"/>
  <c r="M4219" i="14"/>
  <c r="M4189" i="14"/>
  <c r="M4161" i="14"/>
  <c r="M4132" i="14"/>
  <c r="M4103" i="14"/>
  <c r="M4075" i="14"/>
  <c r="M4045" i="14"/>
  <c r="M4017" i="14"/>
  <c r="M3988" i="14"/>
  <c r="M3959" i="14"/>
  <c r="M3931" i="14"/>
  <c r="M3913" i="14"/>
  <c r="M3901" i="14"/>
  <c r="M3889" i="14"/>
  <c r="M3877" i="14"/>
  <c r="M3865" i="14"/>
  <c r="M3853" i="14"/>
  <c r="M3841" i="14"/>
  <c r="M3829" i="14"/>
  <c r="M3817" i="14"/>
  <c r="M3805" i="14"/>
  <c r="M3793" i="14"/>
  <c r="M3781" i="14"/>
  <c r="M3769" i="14"/>
  <c r="M3757" i="14"/>
  <c r="M3745" i="14"/>
  <c r="M3733" i="14"/>
  <c r="M3721" i="14"/>
  <c r="M3709" i="14"/>
  <c r="M3697" i="14"/>
  <c r="M3685" i="14"/>
  <c r="M3673" i="14"/>
  <c r="M3661" i="14"/>
  <c r="M3649" i="14"/>
  <c r="M3637" i="14"/>
  <c r="M3625" i="14"/>
  <c r="M3613" i="14"/>
  <c r="M3601" i="14"/>
  <c r="M3589" i="14"/>
  <c r="M3577" i="14"/>
  <c r="M3565" i="14"/>
  <c r="M3553" i="14"/>
  <c r="M3541" i="14"/>
  <c r="M3529" i="14"/>
  <c r="M6575" i="14"/>
  <c r="M5956" i="14"/>
  <c r="M5619" i="14"/>
  <c r="M5413" i="14"/>
  <c r="M5267" i="14"/>
  <c r="M5167" i="14"/>
  <c r="M5068" i="14"/>
  <c r="M4973" i="14"/>
  <c r="M4886" i="14"/>
  <c r="M4804" i="14"/>
  <c r="M4726" i="14"/>
  <c r="M4689" i="14"/>
  <c r="M4655" i="14"/>
  <c r="M4619" i="14"/>
  <c r="M4585" i="14"/>
  <c r="M4551" i="14"/>
  <c r="M4516" i="14"/>
  <c r="M4482" i="14"/>
  <c r="M4446" i="14"/>
  <c r="M4413" i="14"/>
  <c r="M4378" i="14"/>
  <c r="M4343" i="14"/>
  <c r="M4309" i="14"/>
  <c r="M4273" i="14"/>
  <c r="M4245" i="14"/>
  <c r="M4216" i="14"/>
  <c r="M4187" i="14"/>
  <c r="M4159" i="14"/>
  <c r="M4129" i="14"/>
  <c r="M4101" i="14"/>
  <c r="M4072" i="14"/>
  <c r="M4043" i="14"/>
  <c r="M4015" i="14"/>
  <c r="M3985" i="14"/>
  <c r="M3957" i="14"/>
  <c r="M3928" i="14"/>
  <c r="M3912" i="14"/>
  <c r="M3900" i="14"/>
  <c r="M3888" i="14"/>
  <c r="M3876" i="14"/>
  <c r="M3864" i="14"/>
  <c r="M3852" i="14"/>
  <c r="M3840" i="14"/>
  <c r="M3828" i="14"/>
  <c r="M3816" i="14"/>
  <c r="M3804" i="14"/>
  <c r="M3792" i="14"/>
  <c r="M3780" i="14"/>
  <c r="M3768" i="14"/>
  <c r="M3756" i="14"/>
  <c r="M3744" i="14"/>
  <c r="M3732" i="14"/>
  <c r="M3720" i="14"/>
  <c r="M3708" i="14"/>
  <c r="M3696" i="14"/>
  <c r="M3684" i="14"/>
  <c r="M3672" i="14"/>
  <c r="M3660" i="14"/>
  <c r="M3648" i="14"/>
  <c r="M3636" i="14"/>
  <c r="M3624" i="14"/>
  <c r="M3612" i="14"/>
  <c r="M3600" i="14"/>
  <c r="M3588" i="14"/>
  <c r="M3576" i="14"/>
  <c r="M3564" i="14"/>
  <c r="M3552" i="14"/>
  <c r="M3540" i="14"/>
  <c r="M3528" i="14"/>
  <c r="M3516" i="14"/>
  <c r="M3504" i="14"/>
  <c r="M3492" i="14"/>
  <c r="M3480" i="14"/>
  <c r="M3468" i="14"/>
  <c r="M3456" i="14"/>
  <c r="M3444" i="14"/>
  <c r="M3432" i="14"/>
  <c r="M3420" i="14"/>
  <c r="M3408" i="14"/>
  <c r="M3396" i="14"/>
  <c r="M3384" i="14"/>
  <c r="M3372" i="14"/>
  <c r="M3360" i="14"/>
  <c r="M3348" i="14"/>
  <c r="M3336" i="14"/>
  <c r="M3324" i="14"/>
  <c r="M3312" i="14"/>
  <c r="M3300" i="14"/>
  <c r="M3288" i="14"/>
  <c r="M3276" i="14"/>
  <c r="M3264" i="14"/>
  <c r="M3252" i="14"/>
  <c r="M3240" i="14"/>
  <c r="M3228" i="14"/>
  <c r="M3216" i="14"/>
  <c r="M3204" i="14"/>
  <c r="M3192" i="14"/>
  <c r="M3180" i="14"/>
  <c r="M3168" i="14"/>
  <c r="M3156" i="14"/>
  <c r="M3144" i="14"/>
  <c r="M3132" i="14"/>
  <c r="M3120" i="14"/>
  <c r="M3108" i="14"/>
  <c r="M3096" i="14"/>
  <c r="M3084" i="14"/>
  <c r="M3072" i="14"/>
  <c r="M3060" i="14"/>
  <c r="M3048" i="14"/>
  <c r="M3036" i="14"/>
  <c r="M3024" i="14"/>
  <c r="M3012" i="14"/>
  <c r="M3000" i="14"/>
  <c r="M2988" i="14"/>
  <c r="M2976" i="14"/>
  <c r="M2964" i="14"/>
  <c r="M2952" i="14"/>
  <c r="M2940" i="14"/>
  <c r="M2928" i="14"/>
  <c r="M2916" i="14"/>
  <c r="M2904" i="14"/>
  <c r="M2892" i="14"/>
  <c r="M2880" i="14"/>
  <c r="M2868" i="14"/>
  <c r="M2856" i="14"/>
  <c r="M2844" i="14"/>
  <c r="M2832" i="14"/>
  <c r="M2820" i="14"/>
  <c r="M2808" i="14"/>
  <c r="M2796" i="14"/>
  <c r="M2784" i="14"/>
  <c r="M2772" i="14"/>
  <c r="M2760" i="14"/>
  <c r="M2748" i="14"/>
  <c r="M2736" i="14"/>
  <c r="M2724" i="14"/>
  <c r="M2712" i="14"/>
  <c r="M2700" i="14"/>
  <c r="M2688" i="14"/>
  <c r="M2676" i="14"/>
  <c r="M2664" i="14"/>
  <c r="M2652" i="14"/>
  <c r="M2640" i="14"/>
  <c r="M2628" i="14"/>
  <c r="M2616" i="14"/>
  <c r="M2604" i="14"/>
  <c r="M2592" i="14"/>
  <c r="M2580" i="14"/>
  <c r="M2568" i="14"/>
  <c r="M2556" i="14"/>
  <c r="M2544" i="14"/>
  <c r="M2532" i="14"/>
  <c r="M2520" i="14"/>
  <c r="M2508" i="14"/>
  <c r="M2496" i="14"/>
  <c r="M2484" i="14"/>
  <c r="M2472" i="14"/>
  <c r="M2460" i="14"/>
  <c r="M2448" i="14"/>
  <c r="M2436" i="14"/>
  <c r="M2424" i="14"/>
  <c r="M2412" i="14"/>
  <c r="M2400" i="14"/>
  <c r="M2388" i="14"/>
  <c r="M2376" i="14"/>
  <c r="M2364" i="14"/>
  <c r="M2352" i="14"/>
  <c r="M2340" i="14"/>
  <c r="M2328" i="14"/>
  <c r="M2316" i="14"/>
  <c r="M6436" i="14"/>
  <c r="M5890" i="14"/>
  <c r="M5575" i="14"/>
  <c r="M5383" i="14"/>
  <c r="M5250" i="14"/>
  <c r="M5150" i="14"/>
  <c r="M5054" i="14"/>
  <c r="M4955" i="14"/>
  <c r="M4873" i="14"/>
  <c r="M4789" i="14"/>
  <c r="M4717" i="14"/>
  <c r="M4684" i="14"/>
  <c r="M4648" i="14"/>
  <c r="M4614" i="14"/>
  <c r="M4580" i="14"/>
  <c r="M4545" i="14"/>
  <c r="M4511" i="14"/>
  <c r="M4475" i="14"/>
  <c r="M4441" i="14"/>
  <c r="M4407" i="14"/>
  <c r="M4372" i="14"/>
  <c r="M4338" i="14"/>
  <c r="M4302" i="14"/>
  <c r="M4269" i="14"/>
  <c r="M4240" i="14"/>
  <c r="M4211" i="14"/>
  <c r="M4183" i="14"/>
  <c r="M4153" i="14"/>
  <c r="M4125" i="14"/>
  <c r="M4096" i="14"/>
  <c r="M4067" i="14"/>
  <c r="M4039" i="14"/>
  <c r="M4009" i="14"/>
  <c r="M3981" i="14"/>
  <c r="M3952" i="14"/>
  <c r="M3923" i="14"/>
  <c r="M3910" i="14"/>
  <c r="M3898" i="14"/>
  <c r="M3886" i="14"/>
  <c r="M3874" i="14"/>
  <c r="M3862" i="14"/>
  <c r="M3850" i="14"/>
  <c r="M3838" i="14"/>
  <c r="M3826" i="14"/>
  <c r="M3814" i="14"/>
  <c r="M3802" i="14"/>
  <c r="M3790" i="14"/>
  <c r="M3778" i="14"/>
  <c r="M3766" i="14"/>
  <c r="M3754" i="14"/>
  <c r="M3742" i="14"/>
  <c r="M3730" i="14"/>
  <c r="M3718" i="14"/>
  <c r="M3706" i="14"/>
  <c r="M3694" i="14"/>
  <c r="M3682" i="14"/>
  <c r="M3670" i="14"/>
  <c r="M3658" i="14"/>
  <c r="M3646" i="14"/>
  <c r="M3634" i="14"/>
  <c r="M3622" i="14"/>
  <c r="M3610" i="14"/>
  <c r="M3598" i="14"/>
  <c r="M3586" i="14"/>
  <c r="M3574" i="14"/>
  <c r="M3562" i="14"/>
  <c r="M3550" i="14"/>
  <c r="M3538" i="14"/>
  <c r="M3526" i="14"/>
  <c r="M3514" i="14"/>
  <c r="M3502" i="14"/>
  <c r="M3490" i="14"/>
  <c r="M3478" i="14"/>
  <c r="M3466" i="14"/>
  <c r="M3454" i="14"/>
  <c r="M3442" i="14"/>
  <c r="M3430" i="14"/>
  <c r="M3418" i="14"/>
  <c r="M3406" i="14"/>
  <c r="M3394" i="14"/>
  <c r="M3382" i="14"/>
  <c r="M3370" i="14"/>
  <c r="M3358" i="14"/>
  <c r="M3346" i="14"/>
  <c r="M3334" i="14"/>
  <c r="M3322" i="14"/>
  <c r="M3310" i="14"/>
  <c r="M3298" i="14"/>
  <c r="M3286" i="14"/>
  <c r="M3274" i="14"/>
  <c r="M3262" i="14"/>
  <c r="M3250" i="14"/>
  <c r="M3238" i="14"/>
  <c r="M3226" i="14"/>
  <c r="M3214" i="14"/>
  <c r="M3202" i="14"/>
  <c r="M3190" i="14"/>
  <c r="M3178" i="14"/>
  <c r="M3166" i="14"/>
  <c r="M3154" i="14"/>
  <c r="M3142" i="14"/>
  <c r="M3130" i="14"/>
  <c r="M3118" i="14"/>
  <c r="M3106" i="14"/>
  <c r="M3094" i="14"/>
  <c r="M3082" i="14"/>
  <c r="M3070" i="14"/>
  <c r="M3058" i="14"/>
  <c r="M3046" i="14"/>
  <c r="M3034" i="14"/>
  <c r="M3022" i="14"/>
  <c r="M3010" i="14"/>
  <c r="M2998" i="14"/>
  <c r="M2986" i="14"/>
  <c r="M2974" i="14"/>
  <c r="M2962" i="14"/>
  <c r="M2950" i="14"/>
  <c r="M2938" i="14"/>
  <c r="M2926" i="14"/>
  <c r="M2914" i="14"/>
  <c r="M2902" i="14"/>
  <c r="M2890" i="14"/>
  <c r="M2878" i="14"/>
  <c r="M2866" i="14"/>
  <c r="M2854" i="14"/>
  <c r="M2842" i="14"/>
  <c r="M2830" i="14"/>
  <c r="M2818" i="14"/>
  <c r="M2806" i="14"/>
  <c r="M2794" i="14"/>
  <c r="M2782" i="14"/>
  <c r="M2770" i="14"/>
  <c r="M2758" i="14"/>
  <c r="M2746" i="14"/>
  <c r="M2734" i="14"/>
  <c r="M2722" i="14"/>
  <c r="M2710" i="14"/>
  <c r="M2698" i="14"/>
  <c r="M2686" i="14"/>
  <c r="M2674" i="14"/>
  <c r="M2662" i="14"/>
  <c r="M2650" i="14"/>
  <c r="M2638" i="14"/>
  <c r="M2626" i="14"/>
  <c r="M2614" i="14"/>
  <c r="M2602" i="14"/>
  <c r="M2590" i="14"/>
  <c r="M2578" i="14"/>
  <c r="M2566" i="14"/>
  <c r="M2554" i="14"/>
  <c r="M2542" i="14"/>
  <c r="M2530" i="14"/>
  <c r="M2518" i="14"/>
  <c r="M2506" i="14"/>
  <c r="M2494" i="14"/>
  <c r="M2482" i="14"/>
  <c r="M2470" i="14"/>
  <c r="M2458" i="14"/>
  <c r="M2446" i="14"/>
  <c r="M2434" i="14"/>
  <c r="M2422" i="14"/>
  <c r="M2410" i="14"/>
  <c r="M2398" i="14"/>
  <c r="M2386" i="14"/>
  <c r="M2374" i="14"/>
  <c r="M2362" i="14"/>
  <c r="M2350" i="14"/>
  <c r="M2338" i="14"/>
  <c r="M2326" i="14"/>
  <c r="M2314" i="14"/>
  <c r="M5399" i="14"/>
  <c r="M4963" i="14"/>
  <c r="M4686" i="14"/>
  <c r="M4547" i="14"/>
  <c r="M4410" i="14"/>
  <c r="M4271" i="14"/>
  <c r="M4156" i="14"/>
  <c r="M4041" i="14"/>
  <c r="M3925" i="14"/>
  <c r="M3875" i="14"/>
  <c r="M3827" i="14"/>
  <c r="M3791" i="14"/>
  <c r="M3755" i="14"/>
  <c r="M3719" i="14"/>
  <c r="M3683" i="14"/>
  <c r="M3647" i="14"/>
  <c r="M3611" i="14"/>
  <c r="M3575" i="14"/>
  <c r="M3539" i="14"/>
  <c r="M3508" i="14"/>
  <c r="M3479" i="14"/>
  <c r="M3451" i="14"/>
  <c r="M3421" i="14"/>
  <c r="M3393" i="14"/>
  <c r="M3364" i="14"/>
  <c r="M3335" i="14"/>
  <c r="M3307" i="14"/>
  <c r="M3277" i="14"/>
  <c r="M3249" i="14"/>
  <c r="M3220" i="14"/>
  <c r="M3191" i="14"/>
  <c r="M3163" i="14"/>
  <c r="M3133" i="14"/>
  <c r="M3105" i="14"/>
  <c r="M3076" i="14"/>
  <c r="M3047" i="14"/>
  <c r="M3019" i="14"/>
  <c r="M2989" i="14"/>
  <c r="M2961" i="14"/>
  <c r="M2932" i="14"/>
  <c r="M2903" i="14"/>
  <c r="M2875" i="14"/>
  <c r="M2845" i="14"/>
  <c r="M2817" i="14"/>
  <c r="M2788" i="14"/>
  <c r="M2759" i="14"/>
  <c r="M2731" i="14"/>
  <c r="M2701" i="14"/>
  <c r="M2673" i="14"/>
  <c r="M2644" i="14"/>
  <c r="M2615" i="14"/>
  <c r="M2587" i="14"/>
  <c r="M2557" i="14"/>
  <c r="M2529" i="14"/>
  <c r="M2500" i="14"/>
  <c r="M2471" i="14"/>
  <c r="M2443" i="14"/>
  <c r="M2413" i="14"/>
  <c r="M2385" i="14"/>
  <c r="M2356" i="14"/>
  <c r="M2327" i="14"/>
  <c r="M2307" i="14"/>
  <c r="M2295" i="14"/>
  <c r="M2283" i="14"/>
  <c r="M2271" i="14"/>
  <c r="M2259" i="14"/>
  <c r="M2247" i="14"/>
  <c r="M2235" i="14"/>
  <c r="M2223" i="14"/>
  <c r="M2211" i="14"/>
  <c r="M2199" i="14"/>
  <c r="M2187" i="14"/>
  <c r="M2175" i="14"/>
  <c r="M2163" i="14"/>
  <c r="M2151" i="14"/>
  <c r="M2139" i="14"/>
  <c r="M2127" i="14"/>
  <c r="M2115" i="14"/>
  <c r="M2103" i="14"/>
  <c r="M2091" i="14"/>
  <c r="M2079" i="14"/>
  <c r="M2067" i="14"/>
  <c r="M2055" i="14"/>
  <c r="M2043" i="14"/>
  <c r="M2031" i="14"/>
  <c r="M2019" i="14"/>
  <c r="M2007" i="14"/>
  <c r="M1995" i="14"/>
  <c r="M1983" i="14"/>
  <c r="M1971" i="14"/>
  <c r="M1959" i="14"/>
  <c r="M1947" i="14"/>
  <c r="M1935" i="14"/>
  <c r="M1923" i="14"/>
  <c r="M1911" i="14"/>
  <c r="M1899" i="14"/>
  <c r="M1887" i="14"/>
  <c r="M1875" i="14"/>
  <c r="M1863" i="14"/>
  <c r="M1851" i="14"/>
  <c r="M1839" i="14"/>
  <c r="M1827" i="14"/>
  <c r="M1815" i="14"/>
  <c r="M1803" i="14"/>
  <c r="M1791" i="14"/>
  <c r="M1779" i="14"/>
  <c r="M1767" i="14"/>
  <c r="M1755" i="14"/>
  <c r="M1743" i="14"/>
  <c r="M1731" i="14"/>
  <c r="M1719" i="14"/>
  <c r="M1707" i="14"/>
  <c r="M1695" i="14"/>
  <c r="M1683" i="14"/>
  <c r="M1671" i="14"/>
  <c r="M1659" i="14"/>
  <c r="M1647" i="14"/>
  <c r="M1635" i="14"/>
  <c r="M1623" i="14"/>
  <c r="M1611" i="14"/>
  <c r="M1599" i="14"/>
  <c r="M1587" i="14"/>
  <c r="M1575" i="14"/>
  <c r="M1563" i="14"/>
  <c r="M1551" i="14"/>
  <c r="M1539" i="14"/>
  <c r="M1527" i="14"/>
  <c r="M1515" i="14"/>
  <c r="M1503" i="14"/>
  <c r="M1491" i="14"/>
  <c r="M1479" i="14"/>
  <c r="M1467" i="14"/>
  <c r="M1455" i="14"/>
  <c r="M1443" i="14"/>
  <c r="M1431" i="14"/>
  <c r="M1419" i="14"/>
  <c r="M1407" i="14"/>
  <c r="M1395" i="14"/>
  <c r="M1383" i="14"/>
  <c r="M1371" i="14"/>
  <c r="M1359" i="14"/>
  <c r="M1347" i="14"/>
  <c r="M1335" i="14"/>
  <c r="M1323" i="14"/>
  <c r="M1311" i="14"/>
  <c r="M1299" i="14"/>
  <c r="M1287" i="14"/>
  <c r="M1275" i="14"/>
  <c r="M1263" i="14"/>
  <c r="M1251" i="14"/>
  <c r="M1239" i="14"/>
  <c r="M1227" i="14"/>
  <c r="M1215" i="14"/>
  <c r="M1203" i="14"/>
  <c r="M5329" i="14"/>
  <c r="M4937" i="14"/>
  <c r="M4674" i="14"/>
  <c r="M4536" i="14"/>
  <c r="M4398" i="14"/>
  <c r="M4261" i="14"/>
  <c r="M4147" i="14"/>
  <c r="M4031" i="14"/>
  <c r="M3919" i="14"/>
  <c r="M3871" i="14"/>
  <c r="M3823" i="14"/>
  <c r="M3787" i="14"/>
  <c r="M3751" i="14"/>
  <c r="M3715" i="14"/>
  <c r="M3679" i="14"/>
  <c r="M3643" i="14"/>
  <c r="M3607" i="14"/>
  <c r="M3571" i="14"/>
  <c r="M3535" i="14"/>
  <c r="M3503" i="14"/>
  <c r="M3475" i="14"/>
  <c r="M3445" i="14"/>
  <c r="M3417" i="14"/>
  <c r="M3388" i="14"/>
  <c r="M3359" i="14"/>
  <c r="M3331" i="14"/>
  <c r="M3301" i="14"/>
  <c r="M3273" i="14"/>
  <c r="M3244" i="14"/>
  <c r="M3215" i="14"/>
  <c r="M3187" i="14"/>
  <c r="M3157" i="14"/>
  <c r="M3129" i="14"/>
  <c r="M3100" i="14"/>
  <c r="M3071" i="14"/>
  <c r="M3043" i="14"/>
  <c r="M3013" i="14"/>
  <c r="M2985" i="14"/>
  <c r="M2956" i="14"/>
  <c r="M2927" i="14"/>
  <c r="M2899" i="14"/>
  <c r="M2869" i="14"/>
  <c r="M2841" i="14"/>
  <c r="M2812" i="14"/>
  <c r="M2783" i="14"/>
  <c r="M2755" i="14"/>
  <c r="M2725" i="14"/>
  <c r="M2697" i="14"/>
  <c r="M2668" i="14"/>
  <c r="M2639" i="14"/>
  <c r="M2611" i="14"/>
  <c r="M2581" i="14"/>
  <c r="M2553" i="14"/>
  <c r="M2524" i="14"/>
  <c r="M2495" i="14"/>
  <c r="M2467" i="14"/>
  <c r="M2437" i="14"/>
  <c r="M2409" i="14"/>
  <c r="M2380" i="14"/>
  <c r="M2351" i="14"/>
  <c r="M2323" i="14"/>
  <c r="M2305" i="14"/>
  <c r="M2293" i="14"/>
  <c r="M2281" i="14"/>
  <c r="M2269" i="14"/>
  <c r="M2257" i="14"/>
  <c r="M2245" i="14"/>
  <c r="M2233" i="14"/>
  <c r="M2221" i="14"/>
  <c r="M2209" i="14"/>
  <c r="M2197" i="14"/>
  <c r="M2185" i="14"/>
  <c r="M2173" i="14"/>
  <c r="M2161" i="14"/>
  <c r="M2149" i="14"/>
  <c r="M2137" i="14"/>
  <c r="M2125" i="14"/>
  <c r="M2113" i="14"/>
  <c r="M2101" i="14"/>
  <c r="M2089" i="14"/>
  <c r="M2077" i="14"/>
  <c r="M2065" i="14"/>
  <c r="M2053" i="14"/>
  <c r="M2041" i="14"/>
  <c r="M2029" i="14"/>
  <c r="M2017" i="14"/>
  <c r="M2005" i="14"/>
  <c r="M1993" i="14"/>
  <c r="M1981" i="14"/>
  <c r="M1969" i="14"/>
  <c r="M1957" i="14"/>
  <c r="M1945" i="14"/>
  <c r="M1933" i="14"/>
  <c r="M1921" i="14"/>
  <c r="M1909" i="14"/>
  <c r="M1897" i="14"/>
  <c r="M1885" i="14"/>
  <c r="M1873" i="14"/>
  <c r="M1861" i="14"/>
  <c r="M1849" i="14"/>
  <c r="M1837" i="14"/>
  <c r="M1825" i="14"/>
  <c r="M1813" i="14"/>
  <c r="M1801" i="14"/>
  <c r="M1789" i="14"/>
  <c r="M1777" i="14"/>
  <c r="M1765" i="14"/>
  <c r="M1753" i="14"/>
  <c r="M1741" i="14"/>
  <c r="M1729" i="14"/>
  <c r="M1717" i="14"/>
  <c r="M1705" i="14"/>
  <c r="M1693" i="14"/>
  <c r="M1681" i="14"/>
  <c r="M1669" i="14"/>
  <c r="M1657" i="14"/>
  <c r="M1645" i="14"/>
  <c r="M1633" i="14"/>
  <c r="M1621" i="14"/>
  <c r="M1609" i="14"/>
  <c r="M1597" i="14"/>
  <c r="M1585" i="14"/>
  <c r="M1573" i="14"/>
  <c r="M1561" i="14"/>
  <c r="M1549" i="14"/>
  <c r="M1537" i="14"/>
  <c r="M1525" i="14"/>
  <c r="M1513" i="14"/>
  <c r="M1501" i="14"/>
  <c r="M1489" i="14"/>
  <c r="M1477" i="14"/>
  <c r="M1465" i="14"/>
  <c r="M1453" i="14"/>
  <c r="M1441" i="14"/>
  <c r="M1429" i="14"/>
  <c r="M1417" i="14"/>
  <c r="M1405" i="14"/>
  <c r="M1393" i="14"/>
  <c r="M1381" i="14"/>
  <c r="M1369" i="14"/>
  <c r="M1357" i="14"/>
  <c r="M1345" i="14"/>
  <c r="M1333" i="14"/>
  <c r="M1321" i="14"/>
  <c r="M1309" i="14"/>
  <c r="M1297" i="14"/>
  <c r="M1285" i="14"/>
  <c r="M1273" i="14"/>
  <c r="M1261" i="14"/>
  <c r="M1249" i="14"/>
  <c r="M1237" i="14"/>
  <c r="M1225" i="14"/>
  <c r="M1213" i="14"/>
  <c r="M6484" i="14"/>
  <c r="M5260" i="14"/>
  <c r="M4879" i="14"/>
  <c r="M4652" i="14"/>
  <c r="M4513" i="14"/>
  <c r="M4374" i="14"/>
  <c r="M4243" i="14"/>
  <c r="M4127" i="14"/>
  <c r="M4012" i="14"/>
  <c r="M3911" i="14"/>
  <c r="M3863" i="14"/>
  <c r="M3820" i="14"/>
  <c r="M3784" i="14"/>
  <c r="M3748" i="14"/>
  <c r="M3712" i="14"/>
  <c r="M3676" i="14"/>
  <c r="M3640" i="14"/>
  <c r="M3604" i="14"/>
  <c r="M3568" i="14"/>
  <c r="M3532" i="14"/>
  <c r="M3501" i="14"/>
  <c r="M3472" i="14"/>
  <c r="M3443" i="14"/>
  <c r="M3415" i="14"/>
  <c r="M3385" i="14"/>
  <c r="M3357" i="14"/>
  <c r="M3328" i="14"/>
  <c r="M3299" i="14"/>
  <c r="M3271" i="14"/>
  <c r="M3241" i="14"/>
  <c r="M3213" i="14"/>
  <c r="M3184" i="14"/>
  <c r="M3155" i="14"/>
  <c r="M3127" i="14"/>
  <c r="M3097" i="14"/>
  <c r="M3069" i="14"/>
  <c r="M3040" i="14"/>
  <c r="M3011" i="14"/>
  <c r="M2983" i="14"/>
  <c r="M2953" i="14"/>
  <c r="M2925" i="14"/>
  <c r="M2896" i="14"/>
  <c r="M2867" i="14"/>
  <c r="M2839" i="14"/>
  <c r="M2809" i="14"/>
  <c r="M2781" i="14"/>
  <c r="M2752" i="14"/>
  <c r="M2723" i="14"/>
  <c r="M2695" i="14"/>
  <c r="M2665" i="14"/>
  <c r="M2637" i="14"/>
  <c r="M2608" i="14"/>
  <c r="M2579" i="14"/>
  <c r="M2551" i="14"/>
  <c r="M2521" i="14"/>
  <c r="M2493" i="14"/>
  <c r="M2464" i="14"/>
  <c r="M2435" i="14"/>
  <c r="M2407" i="14"/>
  <c r="M2377" i="14"/>
  <c r="M2349" i="14"/>
  <c r="M2320" i="14"/>
  <c r="M2304" i="14"/>
  <c r="M2292" i="14"/>
  <c r="M2280" i="14"/>
  <c r="M2268" i="14"/>
  <c r="M2256" i="14"/>
  <c r="M2244" i="14"/>
  <c r="M2232" i="14"/>
  <c r="M2220" i="14"/>
  <c r="M2208" i="14"/>
  <c r="M2196" i="14"/>
  <c r="M2184" i="14"/>
  <c r="M2172" i="14"/>
  <c r="M2160" i="14"/>
  <c r="M2148" i="14"/>
  <c r="M2136" i="14"/>
  <c r="M2124" i="14"/>
  <c r="M2112" i="14"/>
  <c r="M2100" i="14"/>
  <c r="M2088" i="14"/>
  <c r="M2076" i="14"/>
  <c r="M2064" i="14"/>
  <c r="M2052" i="14"/>
  <c r="M2040" i="14"/>
  <c r="M2028" i="14"/>
  <c r="M2016" i="14"/>
  <c r="M2004" i="14"/>
  <c r="M1992" i="14"/>
  <c r="M1980" i="14"/>
  <c r="M1968" i="14"/>
  <c r="M1956" i="14"/>
  <c r="M1944" i="14"/>
  <c r="M1932" i="14"/>
  <c r="M1920" i="14"/>
  <c r="M1908" i="14"/>
  <c r="M1896" i="14"/>
  <c r="M1884" i="14"/>
  <c r="M1872" i="14"/>
  <c r="M1860" i="14"/>
  <c r="M1848" i="14"/>
  <c r="M1836" i="14"/>
  <c r="M1824" i="14"/>
  <c r="M1812" i="14"/>
  <c r="M1800" i="14"/>
  <c r="M1788" i="14"/>
  <c r="M1776" i="14"/>
  <c r="M1764" i="14"/>
  <c r="M1752" i="14"/>
  <c r="M1740" i="14"/>
  <c r="M1728" i="14"/>
  <c r="M1716" i="14"/>
  <c r="M1704" i="14"/>
  <c r="M1692" i="14"/>
  <c r="M1680" i="14"/>
  <c r="M1668" i="14"/>
  <c r="M1656" i="14"/>
  <c r="M1644" i="14"/>
  <c r="M1632" i="14"/>
  <c r="M1620" i="14"/>
  <c r="M1608" i="14"/>
  <c r="M1596" i="14"/>
  <c r="M1584" i="14"/>
  <c r="M1572" i="14"/>
  <c r="M1560" i="14"/>
  <c r="M1548" i="14"/>
  <c r="M1536" i="14"/>
  <c r="M1524" i="14"/>
  <c r="M1512" i="14"/>
  <c r="M1500" i="14"/>
  <c r="M1488" i="14"/>
  <c r="M1476" i="14"/>
  <c r="M1464" i="14"/>
  <c r="M1452" i="14"/>
  <c r="M1440" i="14"/>
  <c r="M1428" i="14"/>
  <c r="M1416" i="14"/>
  <c r="M1404" i="14"/>
  <c r="M1392" i="14"/>
  <c r="M1380" i="14"/>
  <c r="M1368" i="14"/>
  <c r="M1356" i="14"/>
  <c r="M1344" i="14"/>
  <c r="M1332" i="14"/>
  <c r="M1320" i="14"/>
  <c r="M1308" i="14"/>
  <c r="M1296" i="14"/>
  <c r="M1284" i="14"/>
  <c r="M1272" i="14"/>
  <c r="M1260" i="14"/>
  <c r="M1248" i="14"/>
  <c r="M1236" i="14"/>
  <c r="M1224" i="14"/>
  <c r="M1212" i="14"/>
  <c r="M1200" i="14"/>
  <c r="M6391" i="14"/>
  <c r="M5238" i="14"/>
  <c r="M4867" i="14"/>
  <c r="M4645" i="14"/>
  <c r="M4508" i="14"/>
  <c r="M4369" i="14"/>
  <c r="M4237" i="14"/>
  <c r="M4123" i="14"/>
  <c r="M4007" i="14"/>
  <c r="M3909" i="14"/>
  <c r="M3861" i="14"/>
  <c r="M3815" i="14"/>
  <c r="M3779" i="14"/>
  <c r="M3743" i="14"/>
  <c r="M3707" i="14"/>
  <c r="M3671" i="14"/>
  <c r="M3635" i="14"/>
  <c r="M3599" i="14"/>
  <c r="M3563" i="14"/>
  <c r="M3527" i="14"/>
  <c r="M3499" i="14"/>
  <c r="M3469" i="14"/>
  <c r="M3441" i="14"/>
  <c r="M3412" i="14"/>
  <c r="M3383" i="14"/>
  <c r="M3355" i="14"/>
  <c r="M3325" i="14"/>
  <c r="M3297" i="14"/>
  <c r="M3268" i="14"/>
  <c r="M3239" i="14"/>
  <c r="M3211" i="14"/>
  <c r="M3181" i="14"/>
  <c r="M3153" i="14"/>
  <c r="M3124" i="14"/>
  <c r="M3095" i="14"/>
  <c r="M3067" i="14"/>
  <c r="M3037" i="14"/>
  <c r="M3009" i="14"/>
  <c r="M2980" i="14"/>
  <c r="M2951" i="14"/>
  <c r="M2923" i="14"/>
  <c r="M2893" i="14"/>
  <c r="M2865" i="14"/>
  <c r="M2836" i="14"/>
  <c r="M2807" i="14"/>
  <c r="M2779" i="14"/>
  <c r="M2749" i="14"/>
  <c r="M2721" i="14"/>
  <c r="M2692" i="14"/>
  <c r="M2663" i="14"/>
  <c r="M2635" i="14"/>
  <c r="M2605" i="14"/>
  <c r="M2577" i="14"/>
  <c r="M2548" i="14"/>
  <c r="M2519" i="14"/>
  <c r="M2491" i="14"/>
  <c r="M2461" i="14"/>
  <c r="M2433" i="14"/>
  <c r="M2404" i="14"/>
  <c r="M2375" i="14"/>
  <c r="M2347" i="14"/>
  <c r="M2318" i="14"/>
  <c r="M2303" i="14"/>
  <c r="M2291" i="14"/>
  <c r="M2279" i="14"/>
  <c r="M2267" i="14"/>
  <c r="M2255" i="14"/>
  <c r="M2243" i="14"/>
  <c r="M2231" i="14"/>
  <c r="M2219" i="14"/>
  <c r="M2207" i="14"/>
  <c r="M2195" i="14"/>
  <c r="M2183" i="14"/>
  <c r="M2171" i="14"/>
  <c r="M2159" i="14"/>
  <c r="M2147" i="14"/>
  <c r="M2135" i="14"/>
  <c r="M2123" i="14"/>
  <c r="M2111" i="14"/>
  <c r="M2099" i="14"/>
  <c r="M2087" i="14"/>
  <c r="M2075" i="14"/>
  <c r="M2063" i="14"/>
  <c r="M2051" i="14"/>
  <c r="M2039" i="14"/>
  <c r="M6275" i="14"/>
  <c r="M5225" i="14"/>
  <c r="M4850" i="14"/>
  <c r="M4641" i="14"/>
  <c r="M4501" i="14"/>
  <c r="M4364" i="14"/>
  <c r="M4233" i="14"/>
  <c r="M4117" i="14"/>
  <c r="M4003" i="14"/>
  <c r="M3907" i="14"/>
  <c r="M3859" i="14"/>
  <c r="M3813" i="14"/>
  <c r="M3777" i="14"/>
  <c r="M3741" i="14"/>
  <c r="M3705" i="14"/>
  <c r="M3669" i="14"/>
  <c r="M3633" i="14"/>
  <c r="M3597" i="14"/>
  <c r="M3561" i="14"/>
  <c r="M3525" i="14"/>
  <c r="M3496" i="14"/>
  <c r="M3467" i="14"/>
  <c r="M3439" i="14"/>
  <c r="M3409" i="14"/>
  <c r="M3381" i="14"/>
  <c r="M3352" i="14"/>
  <c r="M3323" i="14"/>
  <c r="M3295" i="14"/>
  <c r="M3265" i="14"/>
  <c r="M3237" i="14"/>
  <c r="M3208" i="14"/>
  <c r="M3179" i="14"/>
  <c r="M3151" i="14"/>
  <c r="M3121" i="14"/>
  <c r="M3093" i="14"/>
  <c r="M3064" i="14"/>
  <c r="M3035" i="14"/>
  <c r="M3007" i="14"/>
  <c r="M2977" i="14"/>
  <c r="M2949" i="14"/>
  <c r="M2920" i="14"/>
  <c r="M2891" i="14"/>
  <c r="M2863" i="14"/>
  <c r="M2833" i="14"/>
  <c r="M2805" i="14"/>
  <c r="M2776" i="14"/>
  <c r="M2747" i="14"/>
  <c r="M2719" i="14"/>
  <c r="M2689" i="14"/>
  <c r="M2661" i="14"/>
  <c r="M2632" i="14"/>
  <c r="M2603" i="14"/>
  <c r="M2575" i="14"/>
  <c r="M2545" i="14"/>
  <c r="M2517" i="14"/>
  <c r="M2488" i="14"/>
  <c r="M2459" i="14"/>
  <c r="M2431" i="14"/>
  <c r="M2401" i="14"/>
  <c r="M2373" i="14"/>
  <c r="M2344" i="14"/>
  <c r="M2317" i="14"/>
  <c r="M2302" i="14"/>
  <c r="M2290" i="14"/>
  <c r="M2278" i="14"/>
  <c r="M2266" i="14"/>
  <c r="M2254" i="14"/>
  <c r="M2242" i="14"/>
  <c r="M2230" i="14"/>
  <c r="M2218" i="14"/>
  <c r="M2206" i="14"/>
  <c r="M2194" i="14"/>
  <c r="M2182" i="14"/>
  <c r="M2170" i="14"/>
  <c r="M2158" i="14"/>
  <c r="M2146" i="14"/>
  <c r="M2134" i="14"/>
  <c r="M2122" i="14"/>
  <c r="M2110" i="14"/>
  <c r="M2098" i="14"/>
  <c r="M2086" i="14"/>
  <c r="M2074" i="14"/>
  <c r="M2062" i="14"/>
  <c r="M2050" i="14"/>
  <c r="M2038" i="14"/>
  <c r="M2026" i="14"/>
  <c r="M2014" i="14"/>
  <c r="M2002" i="14"/>
  <c r="M1990" i="14"/>
  <c r="M1978" i="14"/>
  <c r="M1966" i="14"/>
  <c r="M1954" i="14"/>
  <c r="M1942" i="14"/>
  <c r="M1930" i="14"/>
  <c r="M1918" i="14"/>
  <c r="M1906" i="14"/>
  <c r="M1894" i="14"/>
  <c r="M1882" i="14"/>
  <c r="M1870" i="14"/>
  <c r="M1858" i="14"/>
  <c r="M1846" i="14"/>
  <c r="M1834" i="14"/>
  <c r="M1822" i="14"/>
  <c r="M1810" i="14"/>
  <c r="M1798" i="14"/>
  <c r="M1786" i="14"/>
  <c r="M1774" i="14"/>
  <c r="M1762" i="14"/>
  <c r="M1750" i="14"/>
  <c r="M1738" i="14"/>
  <c r="M1726" i="14"/>
  <c r="M1714" i="14"/>
  <c r="M1702" i="14"/>
  <c r="M1690" i="14"/>
  <c r="M1678" i="14"/>
  <c r="M1666" i="14"/>
  <c r="M1654" i="14"/>
  <c r="M1642" i="14"/>
  <c r="M1630" i="14"/>
  <c r="M1618" i="14"/>
  <c r="M1606" i="14"/>
  <c r="M1594" i="14"/>
  <c r="M1582" i="14"/>
  <c r="M1570" i="14"/>
  <c r="M1558" i="14"/>
  <c r="M1546" i="14"/>
  <c r="M1534" i="14"/>
  <c r="M1522" i="14"/>
  <c r="M1510" i="14"/>
  <c r="M1498" i="14"/>
  <c r="M1486" i="14"/>
  <c r="M1474" i="14"/>
  <c r="M1462" i="14"/>
  <c r="M1450" i="14"/>
  <c r="M1438" i="14"/>
  <c r="M1426" i="14"/>
  <c r="M1414" i="14"/>
  <c r="M1402" i="14"/>
  <c r="M1390" i="14"/>
  <c r="M1378" i="14"/>
  <c r="M1366" i="14"/>
  <c r="M1354" i="14"/>
  <c r="M1342" i="14"/>
  <c r="M1330" i="14"/>
  <c r="M1318" i="14"/>
  <c r="M1306" i="14"/>
  <c r="M1294" i="14"/>
  <c r="M1282" i="14"/>
  <c r="M1270" i="14"/>
  <c r="M1258" i="14"/>
  <c r="M1246" i="14"/>
  <c r="M1234" i="14"/>
  <c r="M1222" i="14"/>
  <c r="M1210" i="14"/>
  <c r="M5929" i="14"/>
  <c r="M5155" i="14"/>
  <c r="M4799" i="14"/>
  <c r="M4617" i="14"/>
  <c r="M4479" i="14"/>
  <c r="M4341" i="14"/>
  <c r="M4213" i="14"/>
  <c r="M4099" i="14"/>
  <c r="M3983" i="14"/>
  <c r="M3899" i="14"/>
  <c r="M3851" i="14"/>
  <c r="M3811" i="14"/>
  <c r="M3775" i="14"/>
  <c r="M3739" i="14"/>
  <c r="M3703" i="14"/>
  <c r="M3667" i="14"/>
  <c r="M3631" i="14"/>
  <c r="M3595" i="14"/>
  <c r="M3559" i="14"/>
  <c r="M3523" i="14"/>
  <c r="M3493" i="14"/>
  <c r="M3465" i="14"/>
  <c r="M3436" i="14"/>
  <c r="M3407" i="14"/>
  <c r="M3379" i="14"/>
  <c r="M3349" i="14"/>
  <c r="M3321" i="14"/>
  <c r="M3292" i="14"/>
  <c r="M3263" i="14"/>
  <c r="M3235" i="14"/>
  <c r="M3205" i="14"/>
  <c r="M3177" i="14"/>
  <c r="M3148" i="14"/>
  <c r="M3119" i="14"/>
  <c r="M3091" i="14"/>
  <c r="M3061" i="14"/>
  <c r="M3033" i="14"/>
  <c r="M3004" i="14"/>
  <c r="M2975" i="14"/>
  <c r="M2947" i="14"/>
  <c r="M2917" i="14"/>
  <c r="M2889" i="14"/>
  <c r="M2860" i="14"/>
  <c r="M2831" i="14"/>
  <c r="M2803" i="14"/>
  <c r="M2773" i="14"/>
  <c r="M2745" i="14"/>
  <c r="M2716" i="14"/>
  <c r="M2687" i="14"/>
  <c r="M2659" i="14"/>
  <c r="M2629" i="14"/>
  <c r="M5842" i="14"/>
  <c r="M5142" i="14"/>
  <c r="M4780" i="14"/>
  <c r="M4612" i="14"/>
  <c r="M4473" i="14"/>
  <c r="M4335" i="14"/>
  <c r="M4209" i="14"/>
  <c r="M4093" i="14"/>
  <c r="M3979" i="14"/>
  <c r="M3897" i="14"/>
  <c r="M3849" i="14"/>
  <c r="M3808" i="14"/>
  <c r="M3772" i="14"/>
  <c r="M3736" i="14"/>
  <c r="M3700" i="14"/>
  <c r="M3664" i="14"/>
  <c r="M3628" i="14"/>
  <c r="M3592" i="14"/>
  <c r="M3556" i="14"/>
  <c r="M3520" i="14"/>
  <c r="M3491" i="14"/>
  <c r="M3463" i="14"/>
  <c r="M3433" i="14"/>
  <c r="M3405" i="14"/>
  <c r="M3376" i="14"/>
  <c r="M3347" i="14"/>
  <c r="M3319" i="14"/>
  <c r="M3289" i="14"/>
  <c r="M3261" i="14"/>
  <c r="M3232" i="14"/>
  <c r="M3203" i="14"/>
  <c r="M3175" i="14"/>
  <c r="M3145" i="14"/>
  <c r="M3117" i="14"/>
  <c r="M3088" i="14"/>
  <c r="M3059" i="14"/>
  <c r="M3031" i="14"/>
  <c r="M3001" i="14"/>
  <c r="M2973" i="14"/>
  <c r="M2944" i="14"/>
  <c r="M2915" i="14"/>
  <c r="M2887" i="14"/>
  <c r="M2857" i="14"/>
  <c r="M2829" i="14"/>
  <c r="M2800" i="14"/>
  <c r="M2771" i="14"/>
  <c r="M2743" i="14"/>
  <c r="M2713" i="14"/>
  <c r="M2685" i="14"/>
  <c r="M2656" i="14"/>
  <c r="M2627" i="14"/>
  <c r="M5775" i="14"/>
  <c r="M5128" i="14"/>
  <c r="M4768" i="14"/>
  <c r="M4605" i="14"/>
  <c r="M4468" i="14"/>
  <c r="M4329" i="14"/>
  <c r="M4204" i="14"/>
  <c r="M4089" i="14"/>
  <c r="M3973" i="14"/>
  <c r="M3895" i="14"/>
  <c r="M3847" i="14"/>
  <c r="M3803" i="14"/>
  <c r="M3767" i="14"/>
  <c r="M3731" i="14"/>
  <c r="M3695" i="14"/>
  <c r="M3659" i="14"/>
  <c r="M3623" i="14"/>
  <c r="M3587" i="14"/>
  <c r="M3551" i="14"/>
  <c r="M3517" i="14"/>
  <c r="M3489" i="14"/>
  <c r="M3460" i="14"/>
  <c r="M3431" i="14"/>
  <c r="M3403" i="14"/>
  <c r="M3373" i="14"/>
  <c r="M3345" i="14"/>
  <c r="M3316" i="14"/>
  <c r="M3287" i="14"/>
  <c r="M3259" i="14"/>
  <c r="M3229" i="14"/>
  <c r="M3201" i="14"/>
  <c r="M3172" i="14"/>
  <c r="M3143" i="14"/>
  <c r="M3115" i="14"/>
  <c r="M3085" i="14"/>
  <c r="M3057" i="14"/>
  <c r="M3028" i="14"/>
  <c r="M2999" i="14"/>
  <c r="M2971" i="14"/>
  <c r="M2941" i="14"/>
  <c r="M2913" i="14"/>
  <c r="M2884" i="14"/>
  <c r="M2855" i="14"/>
  <c r="M2827" i="14"/>
  <c r="M2797" i="14"/>
  <c r="M2769" i="14"/>
  <c r="M2740" i="14"/>
  <c r="M2711" i="14"/>
  <c r="M2683" i="14"/>
  <c r="M2653" i="14"/>
  <c r="M2625" i="14"/>
  <c r="M2596" i="14"/>
  <c r="M2567" i="14"/>
  <c r="M2539" i="14"/>
  <c r="M2509" i="14"/>
  <c r="M2481" i="14"/>
  <c r="M2452" i="14"/>
  <c r="M2423" i="14"/>
  <c r="M2395" i="14"/>
  <c r="M2365" i="14"/>
  <c r="M2337" i="14"/>
  <c r="M2312" i="14"/>
  <c r="M2299" i="14"/>
  <c r="M2287" i="14"/>
  <c r="M2275" i="14"/>
  <c r="M2263" i="14"/>
  <c r="M2251" i="14"/>
  <c r="M2239" i="14"/>
  <c r="M2227" i="14"/>
  <c r="M2215" i="14"/>
  <c r="M2203" i="14"/>
  <c r="M2191" i="14"/>
  <c r="M2179" i="14"/>
  <c r="M2167" i="14"/>
  <c r="M2155" i="14"/>
  <c r="M2143" i="14"/>
  <c r="M2131" i="14"/>
  <c r="M2119" i="14"/>
  <c r="M2107" i="14"/>
  <c r="M2095" i="14"/>
  <c r="M2083" i="14"/>
  <c r="M2071" i="14"/>
  <c r="M2059" i="14"/>
  <c r="M2047" i="14"/>
  <c r="M2035" i="14"/>
  <c r="M2023" i="14"/>
  <c r="M2011" i="14"/>
  <c r="M1999" i="14"/>
  <c r="M1987" i="14"/>
  <c r="M1975" i="14"/>
  <c r="M1963" i="14"/>
  <c r="M1951" i="14"/>
  <c r="M1939" i="14"/>
  <c r="M1927" i="14"/>
  <c r="M1915" i="14"/>
  <c r="M1903" i="14"/>
  <c r="M1891" i="14"/>
  <c r="M1879" i="14"/>
  <c r="M1867" i="14"/>
  <c r="M1855" i="14"/>
  <c r="M1843" i="14"/>
  <c r="M1831" i="14"/>
  <c r="M1819" i="14"/>
  <c r="M1807" i="14"/>
  <c r="M1795" i="14"/>
  <c r="M1783" i="14"/>
  <c r="M1771" i="14"/>
  <c r="M1759" i="14"/>
  <c r="M1747" i="14"/>
  <c r="M1735" i="14"/>
  <c r="M1723" i="14"/>
  <c r="M1711" i="14"/>
  <c r="M1699" i="14"/>
  <c r="M1687" i="14"/>
  <c r="M1675" i="14"/>
  <c r="M1663" i="14"/>
  <c r="M1651" i="14"/>
  <c r="M1639" i="14"/>
  <c r="M1627" i="14"/>
  <c r="M1615" i="14"/>
  <c r="M1603" i="14"/>
  <c r="M1591" i="14"/>
  <c r="M1579" i="14"/>
  <c r="M1567" i="14"/>
  <c r="M1555" i="14"/>
  <c r="M1543" i="14"/>
  <c r="M1531" i="14"/>
  <c r="M1519" i="14"/>
  <c r="M1507" i="14"/>
  <c r="M1495" i="14"/>
  <c r="M1483" i="14"/>
  <c r="M1471" i="14"/>
  <c r="M1459" i="14"/>
  <c r="M1447" i="14"/>
  <c r="M1435" i="14"/>
  <c r="M1423" i="14"/>
  <c r="M1411" i="14"/>
  <c r="M1399" i="14"/>
  <c r="M1387" i="14"/>
  <c r="M1375" i="14"/>
  <c r="M1363" i="14"/>
  <c r="M1351" i="14"/>
  <c r="M1339" i="14"/>
  <c r="M1327" i="14"/>
  <c r="M1315" i="14"/>
  <c r="M1303" i="14"/>
  <c r="M1291" i="14"/>
  <c r="M1279" i="14"/>
  <c r="M1267" i="14"/>
  <c r="M1255" i="14"/>
  <c r="M1243" i="14"/>
  <c r="M1231" i="14"/>
  <c r="M1219" i="14"/>
  <c r="M4715" i="14"/>
  <c r="M4300" i="14"/>
  <c r="M3949" i="14"/>
  <c r="M3799" i="14"/>
  <c r="M3691" i="14"/>
  <c r="M3583" i="14"/>
  <c r="M3484" i="14"/>
  <c r="M3397" i="14"/>
  <c r="M3311" i="14"/>
  <c r="M3225" i="14"/>
  <c r="M3139" i="14"/>
  <c r="M3052" i="14"/>
  <c r="M2965" i="14"/>
  <c r="M2879" i="14"/>
  <c r="M2793" i="14"/>
  <c r="M2707" i="14"/>
  <c r="M2620" i="14"/>
  <c r="M2563" i="14"/>
  <c r="M2505" i="14"/>
  <c r="M2447" i="14"/>
  <c r="M2389" i="14"/>
  <c r="M2332" i="14"/>
  <c r="M2297" i="14"/>
  <c r="M2273" i="14"/>
  <c r="M2249" i="14"/>
  <c r="M2225" i="14"/>
  <c r="M2201" i="14"/>
  <c r="M2177" i="14"/>
  <c r="M2153" i="14"/>
  <c r="M2129" i="14"/>
  <c r="M2105" i="14"/>
  <c r="M2081" i="14"/>
  <c r="M2057" i="14"/>
  <c r="M2033" i="14"/>
  <c r="M2012" i="14"/>
  <c r="M1991" i="14"/>
  <c r="M1972" i="14"/>
  <c r="M1950" i="14"/>
  <c r="M1929" i="14"/>
  <c r="M1910" i="14"/>
  <c r="M1889" i="14"/>
  <c r="M1868" i="14"/>
  <c r="M1847" i="14"/>
  <c r="M1828" i="14"/>
  <c r="M1806" i="14"/>
  <c r="M1785" i="14"/>
  <c r="M1766" i="14"/>
  <c r="M1745" i="14"/>
  <c r="M1724" i="14"/>
  <c r="M1703" i="14"/>
  <c r="M1684" i="14"/>
  <c r="M1662" i="14"/>
  <c r="M1641" i="14"/>
  <c r="M1622" i="14"/>
  <c r="M1601" i="14"/>
  <c r="M1580" i="14"/>
  <c r="M1559" i="14"/>
  <c r="M1540" i="14"/>
  <c r="M1518" i="14"/>
  <c r="M1497" i="14"/>
  <c r="M1478" i="14"/>
  <c r="M1457" i="14"/>
  <c r="M1436" i="14"/>
  <c r="M1415" i="14"/>
  <c r="M1396" i="14"/>
  <c r="M1374" i="14"/>
  <c r="M1353" i="14"/>
  <c r="M1334" i="14"/>
  <c r="M1313" i="14"/>
  <c r="M1292" i="14"/>
  <c r="M1271" i="14"/>
  <c r="M1252" i="14"/>
  <c r="M1230" i="14"/>
  <c r="M1209" i="14"/>
  <c r="M1195" i="14"/>
  <c r="M1183" i="14"/>
  <c r="M1171" i="14"/>
  <c r="M1159" i="14"/>
  <c r="M1147" i="14"/>
  <c r="M1135" i="14"/>
  <c r="M1123" i="14"/>
  <c r="M1111" i="14"/>
  <c r="M1099" i="14"/>
  <c r="M1087" i="14"/>
  <c r="M1075" i="14"/>
  <c r="M1063" i="14"/>
  <c r="M1051" i="14"/>
  <c r="M1039" i="14"/>
  <c r="M1027" i="14"/>
  <c r="M1015" i="14"/>
  <c r="M1003" i="14"/>
  <c r="M991" i="14"/>
  <c r="M979" i="14"/>
  <c r="M967" i="14"/>
  <c r="M955" i="14"/>
  <c r="M943" i="14"/>
  <c r="M931" i="14"/>
  <c r="M919" i="14"/>
  <c r="M907" i="14"/>
  <c r="M895" i="14"/>
  <c r="M883" i="14"/>
  <c r="M871" i="14"/>
  <c r="M859" i="14"/>
  <c r="M847" i="14"/>
  <c r="M835" i="14"/>
  <c r="M823" i="14"/>
  <c r="M811" i="14"/>
  <c r="M799" i="14"/>
  <c r="M787" i="14"/>
  <c r="M775" i="14"/>
  <c r="M763" i="14"/>
  <c r="M751" i="14"/>
  <c r="M739" i="14"/>
  <c r="M727" i="14"/>
  <c r="M715" i="14"/>
  <c r="M703" i="14"/>
  <c r="M691" i="14"/>
  <c r="M679" i="14"/>
  <c r="M667" i="14"/>
  <c r="M655" i="14"/>
  <c r="M643" i="14"/>
  <c r="M631" i="14"/>
  <c r="M619" i="14"/>
  <c r="M607" i="14"/>
  <c r="M595" i="14"/>
  <c r="M583" i="14"/>
  <c r="M571" i="14"/>
  <c r="M559" i="14"/>
  <c r="M547" i="14"/>
  <c r="M535" i="14"/>
  <c r="M523" i="14"/>
  <c r="M511" i="14"/>
  <c r="M499" i="14"/>
  <c r="M487" i="14"/>
  <c r="M475" i="14"/>
  <c r="M463" i="14"/>
  <c r="M451" i="14"/>
  <c r="M439" i="14"/>
  <c r="M427" i="14"/>
  <c r="M415" i="14"/>
  <c r="M403" i="14"/>
  <c r="M391" i="14"/>
  <c r="M379" i="14"/>
  <c r="M367" i="14"/>
  <c r="M355" i="14"/>
  <c r="M343" i="14"/>
  <c r="M331" i="14"/>
  <c r="M319" i="14"/>
  <c r="M307" i="14"/>
  <c r="M295" i="14"/>
  <c r="M283" i="14"/>
  <c r="M271" i="14"/>
  <c r="M259" i="14"/>
  <c r="M247" i="14"/>
  <c r="M235" i="14"/>
  <c r="M223" i="14"/>
  <c r="M211" i="14"/>
  <c r="M199" i="14"/>
  <c r="M187" i="14"/>
  <c r="M175" i="14"/>
  <c r="M163" i="14"/>
  <c r="M151" i="14"/>
  <c r="M139" i="14"/>
  <c r="M127" i="14"/>
  <c r="M115" i="14"/>
  <c r="M103" i="14"/>
  <c r="M91" i="14"/>
  <c r="M79" i="14"/>
  <c r="M67" i="14"/>
  <c r="M55" i="14"/>
  <c r="M4680" i="14"/>
  <c r="M4267" i="14"/>
  <c r="M3921" i="14"/>
  <c r="M3789" i="14"/>
  <c r="M3681" i="14"/>
  <c r="M3573" i="14"/>
  <c r="M3477" i="14"/>
  <c r="M3391" i="14"/>
  <c r="M3304" i="14"/>
  <c r="M3217" i="14"/>
  <c r="M3131" i="14"/>
  <c r="M3045" i="14"/>
  <c r="M2959" i="14"/>
  <c r="M2872" i="14"/>
  <c r="M2785" i="14"/>
  <c r="M2699" i="14"/>
  <c r="M2613" i="14"/>
  <c r="M2555" i="14"/>
  <c r="M2497" i="14"/>
  <c r="M2440" i="14"/>
  <c r="M2383" i="14"/>
  <c r="M2325" i="14"/>
  <c r="M2294" i="14"/>
  <c r="M2270" i="14"/>
  <c r="M2246" i="14"/>
  <c r="M2222" i="14"/>
  <c r="M2198" i="14"/>
  <c r="M2174" i="14"/>
  <c r="M2150" i="14"/>
  <c r="M2126" i="14"/>
  <c r="M2102" i="14"/>
  <c r="M2078" i="14"/>
  <c r="M2054" i="14"/>
  <c r="M2030" i="14"/>
  <c r="M2009" i="14"/>
  <c r="M1988" i="14"/>
  <c r="M1967" i="14"/>
  <c r="M1948" i="14"/>
  <c r="M1926" i="14"/>
  <c r="M1905" i="14"/>
  <c r="M1886" i="14"/>
  <c r="M1865" i="14"/>
  <c r="M1844" i="14"/>
  <c r="M1823" i="14"/>
  <c r="M1804" i="14"/>
  <c r="M1782" i="14"/>
  <c r="M1761" i="14"/>
  <c r="M1742" i="14"/>
  <c r="M1721" i="14"/>
  <c r="M1700" i="14"/>
  <c r="M1679" i="14"/>
  <c r="M1660" i="14"/>
  <c r="M1638" i="14"/>
  <c r="M1617" i="14"/>
  <c r="M1598" i="14"/>
  <c r="M1577" i="14"/>
  <c r="M1556" i="14"/>
  <c r="M1535" i="14"/>
  <c r="M1516" i="14"/>
  <c r="M1494" i="14"/>
  <c r="M1473" i="14"/>
  <c r="M1454" i="14"/>
  <c r="M1433" i="14"/>
  <c r="M1412" i="14"/>
  <c r="M1391" i="14"/>
  <c r="M1372" i="14"/>
  <c r="M1350" i="14"/>
  <c r="M1329" i="14"/>
  <c r="M1310" i="14"/>
  <c r="M1289" i="14"/>
  <c r="M1268" i="14"/>
  <c r="M1247" i="14"/>
  <c r="M1228" i="14"/>
  <c r="M1207" i="14"/>
  <c r="M1193" i="14"/>
  <c r="M1181" i="14"/>
  <c r="M1169" i="14"/>
  <c r="M1157" i="14"/>
  <c r="M1145" i="14"/>
  <c r="M1133" i="14"/>
  <c r="M1121" i="14"/>
  <c r="M1109" i="14"/>
  <c r="M1097" i="14"/>
  <c r="M1085" i="14"/>
  <c r="M1073" i="14"/>
  <c r="M1061" i="14"/>
  <c r="M1049" i="14"/>
  <c r="M1037" i="14"/>
  <c r="M1025" i="14"/>
  <c r="M1013" i="14"/>
  <c r="M1001" i="14"/>
  <c r="M989" i="14"/>
  <c r="M977" i="14"/>
  <c r="M965" i="14"/>
  <c r="M953" i="14"/>
  <c r="M941" i="14"/>
  <c r="M929" i="14"/>
  <c r="M917" i="14"/>
  <c r="M905" i="14"/>
  <c r="M893" i="14"/>
  <c r="M881" i="14"/>
  <c r="M869" i="14"/>
  <c r="M857" i="14"/>
  <c r="M845" i="14"/>
  <c r="M833" i="14"/>
  <c r="M821" i="14"/>
  <c r="M809" i="14"/>
  <c r="M797" i="14"/>
  <c r="M785" i="14"/>
  <c r="M773" i="14"/>
  <c r="M761" i="14"/>
  <c r="M749" i="14"/>
  <c r="M737" i="14"/>
  <c r="M725" i="14"/>
  <c r="M713" i="14"/>
  <c r="M701" i="14"/>
  <c r="M689" i="14"/>
  <c r="M677" i="14"/>
  <c r="M665" i="14"/>
  <c r="M653" i="14"/>
  <c r="M641" i="14"/>
  <c r="M629" i="14"/>
  <c r="M617" i="14"/>
  <c r="M605" i="14"/>
  <c r="M593" i="14"/>
  <c r="M581" i="14"/>
  <c r="M569" i="14"/>
  <c r="M557" i="14"/>
  <c r="M545" i="14"/>
  <c r="M533" i="14"/>
  <c r="M521" i="14"/>
  <c r="M509" i="14"/>
  <c r="M497" i="14"/>
  <c r="M485" i="14"/>
  <c r="M473" i="14"/>
  <c r="M461" i="14"/>
  <c r="M449" i="14"/>
  <c r="M437" i="14"/>
  <c r="M425" i="14"/>
  <c r="M413" i="14"/>
  <c r="M401" i="14"/>
  <c r="M389" i="14"/>
  <c r="M377" i="14"/>
  <c r="M365" i="14"/>
  <c r="M353" i="14"/>
  <c r="M341" i="14"/>
  <c r="M329" i="14"/>
  <c r="M317" i="14"/>
  <c r="M305" i="14"/>
  <c r="M293" i="14"/>
  <c r="M281" i="14"/>
  <c r="M269" i="14"/>
  <c r="M257" i="14"/>
  <c r="M245" i="14"/>
  <c r="M233" i="14"/>
  <c r="M221" i="14"/>
  <c r="M209" i="14"/>
  <c r="M197" i="14"/>
  <c r="M185" i="14"/>
  <c r="M173" i="14"/>
  <c r="M161" i="14"/>
  <c r="M149" i="14"/>
  <c r="M137" i="14"/>
  <c r="M125" i="14"/>
  <c r="M113" i="14"/>
  <c r="M101" i="14"/>
  <c r="M89" i="14"/>
  <c r="M77" i="14"/>
  <c r="M65" i="14"/>
  <c r="M5599" i="14"/>
  <c r="M4583" i="14"/>
  <c r="M4185" i="14"/>
  <c r="M3887" i="14"/>
  <c r="M3765" i="14"/>
  <c r="M3657" i="14"/>
  <c r="M3549" i="14"/>
  <c r="M3457" i="14"/>
  <c r="M3371" i="14"/>
  <c r="M3285" i="14"/>
  <c r="M3199" i="14"/>
  <c r="M3112" i="14"/>
  <c r="M3025" i="14"/>
  <c r="M2939" i="14"/>
  <c r="M2853" i="14"/>
  <c r="M2767" i="14"/>
  <c r="M2680" i="14"/>
  <c r="M2601" i="14"/>
  <c r="M2543" i="14"/>
  <c r="M2485" i="14"/>
  <c r="M2428" i="14"/>
  <c r="M2371" i="14"/>
  <c r="M2315" i="14"/>
  <c r="M2289" i="14"/>
  <c r="M2265" i="14"/>
  <c r="M2241" i="14"/>
  <c r="M2217" i="14"/>
  <c r="M2193" i="14"/>
  <c r="M2169" i="14"/>
  <c r="M2145" i="14"/>
  <c r="M2121" i="14"/>
  <c r="M2097" i="14"/>
  <c r="M2073" i="14"/>
  <c r="M2049" i="14"/>
  <c r="M2027" i="14"/>
  <c r="M2008" i="14"/>
  <c r="M1986" i="14"/>
  <c r="M1965" i="14"/>
  <c r="M1946" i="14"/>
  <c r="M1925" i="14"/>
  <c r="M1904" i="14"/>
  <c r="M1883" i="14"/>
  <c r="M1864" i="14"/>
  <c r="M1842" i="14"/>
  <c r="M1821" i="14"/>
  <c r="M1802" i="14"/>
  <c r="M1781" i="14"/>
  <c r="M1760" i="14"/>
  <c r="M1739" i="14"/>
  <c r="M1720" i="14"/>
  <c r="M1698" i="14"/>
  <c r="M1677" i="14"/>
  <c r="M1658" i="14"/>
  <c r="M1637" i="14"/>
  <c r="M1616" i="14"/>
  <c r="M1595" i="14"/>
  <c r="M1576" i="14"/>
  <c r="M1554" i="14"/>
  <c r="M1533" i="14"/>
  <c r="M1514" i="14"/>
  <c r="M1493" i="14"/>
  <c r="M1472" i="14"/>
  <c r="M1451" i="14"/>
  <c r="M1432" i="14"/>
  <c r="M1410" i="14"/>
  <c r="M1389" i="14"/>
  <c r="M1370" i="14"/>
  <c r="M1349" i="14"/>
  <c r="M1328" i="14"/>
  <c r="M1307" i="14"/>
  <c r="M1288" i="14"/>
  <c r="M1266" i="14"/>
  <c r="M1245" i="14"/>
  <c r="M1226" i="14"/>
  <c r="M1206" i="14"/>
  <c r="M1192" i="14"/>
  <c r="M1180" i="14"/>
  <c r="M1168" i="14"/>
  <c r="M1156" i="14"/>
  <c r="M1144" i="14"/>
  <c r="M1132" i="14"/>
  <c r="M1120" i="14"/>
  <c r="M1108" i="14"/>
  <c r="M1096" i="14"/>
  <c r="M1084" i="14"/>
  <c r="M1072" i="14"/>
  <c r="M1060" i="14"/>
  <c r="M1048" i="14"/>
  <c r="M1036" i="14"/>
  <c r="M1024" i="14"/>
  <c r="M1012" i="14"/>
  <c r="M1000" i="14"/>
  <c r="M988" i="14"/>
  <c r="M976" i="14"/>
  <c r="M964" i="14"/>
  <c r="M952" i="14"/>
  <c r="M940" i="14"/>
  <c r="M928" i="14"/>
  <c r="M916" i="14"/>
  <c r="M904" i="14"/>
  <c r="M892" i="14"/>
  <c r="M880" i="14"/>
  <c r="M868" i="14"/>
  <c r="M856" i="14"/>
  <c r="M844" i="14"/>
  <c r="M832" i="14"/>
  <c r="M820" i="14"/>
  <c r="M808" i="14"/>
  <c r="M796" i="14"/>
  <c r="M784" i="14"/>
  <c r="M772" i="14"/>
  <c r="M760" i="14"/>
  <c r="M748" i="14"/>
  <c r="M736" i="14"/>
  <c r="M724" i="14"/>
  <c r="M712" i="14"/>
  <c r="M700" i="14"/>
  <c r="M688" i="14"/>
  <c r="M676" i="14"/>
  <c r="M664" i="14"/>
  <c r="M652" i="14"/>
  <c r="M640" i="14"/>
  <c r="M628" i="14"/>
  <c r="M616" i="14"/>
  <c r="M604" i="14"/>
  <c r="M592" i="14"/>
  <c r="M580" i="14"/>
  <c r="M568" i="14"/>
  <c r="M556" i="14"/>
  <c r="M544" i="14"/>
  <c r="M532" i="14"/>
  <c r="M520" i="14"/>
  <c r="M508" i="14"/>
  <c r="M496" i="14"/>
  <c r="M484" i="14"/>
  <c r="M472" i="14"/>
  <c r="M460" i="14"/>
  <c r="M448" i="14"/>
  <c r="M436" i="14"/>
  <c r="M424" i="14"/>
  <c r="M412" i="14"/>
  <c r="M400" i="14"/>
  <c r="M388" i="14"/>
  <c r="M376" i="14"/>
  <c r="M364" i="14"/>
  <c r="M352" i="14"/>
  <c r="M340" i="14"/>
  <c r="M328" i="14"/>
  <c r="M316" i="14"/>
  <c r="M304" i="14"/>
  <c r="M292" i="14"/>
  <c r="M280" i="14"/>
  <c r="M268" i="14"/>
  <c r="M256" i="14"/>
  <c r="M244" i="14"/>
  <c r="M232" i="14"/>
  <c r="M220" i="14"/>
  <c r="M208" i="14"/>
  <c r="M196" i="14"/>
  <c r="M184" i="14"/>
  <c r="M172" i="14"/>
  <c r="M160" i="14"/>
  <c r="M148" i="14"/>
  <c r="M136" i="14"/>
  <c r="M124" i="14"/>
  <c r="M112" i="14"/>
  <c r="M100" i="14"/>
  <c r="M88" i="14"/>
  <c r="M76" i="14"/>
  <c r="M64" i="14"/>
  <c r="M5564" i="14"/>
  <c r="M4576" i="14"/>
  <c r="M4180" i="14"/>
  <c r="M3885" i="14"/>
  <c r="M3763" i="14"/>
  <c r="M3655" i="14"/>
  <c r="M3547" i="14"/>
  <c r="M3455" i="14"/>
  <c r="M3369" i="14"/>
  <c r="M3283" i="14"/>
  <c r="M3196" i="14"/>
  <c r="M3109" i="14"/>
  <c r="M3023" i="14"/>
  <c r="M2937" i="14"/>
  <c r="M2851" i="14"/>
  <c r="M2764" i="14"/>
  <c r="M2677" i="14"/>
  <c r="M2599" i="14"/>
  <c r="M2541" i="14"/>
  <c r="M2483" i="14"/>
  <c r="M2425" i="14"/>
  <c r="M2368" i="14"/>
  <c r="M2313" i="14"/>
  <c r="M2288" i="14"/>
  <c r="M2264" i="14"/>
  <c r="M2240" i="14"/>
  <c r="M2216" i="14"/>
  <c r="M2192" i="14"/>
  <c r="M2168" i="14"/>
  <c r="M2144" i="14"/>
  <c r="M2120" i="14"/>
  <c r="M2096" i="14"/>
  <c r="M2072" i="14"/>
  <c r="M2048" i="14"/>
  <c r="M2025" i="14"/>
  <c r="M2006" i="14"/>
  <c r="M1985" i="14"/>
  <c r="M1964" i="14"/>
  <c r="M1943" i="14"/>
  <c r="M1924" i="14"/>
  <c r="M1902" i="14"/>
  <c r="M1881" i="14"/>
  <c r="M1862" i="14"/>
  <c r="M1841" i="14"/>
  <c r="M1820" i="14"/>
  <c r="M1799" i="14"/>
  <c r="M1780" i="14"/>
  <c r="M1758" i="14"/>
  <c r="M1737" i="14"/>
  <c r="M1718" i="14"/>
  <c r="M1697" i="14"/>
  <c r="M1676" i="14"/>
  <c r="M1655" i="14"/>
  <c r="M1636" i="14"/>
  <c r="M1614" i="14"/>
  <c r="M1593" i="14"/>
  <c r="M1574" i="14"/>
  <c r="M1553" i="14"/>
  <c r="M1532" i="14"/>
  <c r="M1511" i="14"/>
  <c r="M1492" i="14"/>
  <c r="M1470" i="14"/>
  <c r="M1449" i="14"/>
  <c r="M1430" i="14"/>
  <c r="M1409" i="14"/>
  <c r="M1388" i="14"/>
  <c r="M1367" i="14"/>
  <c r="M1348" i="14"/>
  <c r="M1326" i="14"/>
  <c r="M1305" i="14"/>
  <c r="M1286" i="14"/>
  <c r="M1265" i="14"/>
  <c r="M1244" i="14"/>
  <c r="M1223" i="14"/>
  <c r="M1205" i="14"/>
  <c r="M1191" i="14"/>
  <c r="M1179" i="14"/>
  <c r="M1167" i="14"/>
  <c r="M1155" i="14"/>
  <c r="M1143" i="14"/>
  <c r="M1131" i="14"/>
  <c r="M1119" i="14"/>
  <c r="M1107" i="14"/>
  <c r="M1095" i="14"/>
  <c r="M1083" i="14"/>
  <c r="M1071" i="14"/>
  <c r="M1059" i="14"/>
  <c r="M1047" i="14"/>
  <c r="M1035" i="14"/>
  <c r="M1023" i="14"/>
  <c r="M1011" i="14"/>
  <c r="M999" i="14"/>
  <c r="M987" i="14"/>
  <c r="M975" i="14"/>
  <c r="M963" i="14"/>
  <c r="M951" i="14"/>
  <c r="M939" i="14"/>
  <c r="M927" i="14"/>
  <c r="M915" i="14"/>
  <c r="M903" i="14"/>
  <c r="M5539" i="14"/>
  <c r="M4571" i="14"/>
  <c r="M4175" i="14"/>
  <c r="M3883" i="14"/>
  <c r="M3760" i="14"/>
  <c r="M3652" i="14"/>
  <c r="M3544" i="14"/>
  <c r="M3453" i="14"/>
  <c r="M3367" i="14"/>
  <c r="M3280" i="14"/>
  <c r="M3193" i="14"/>
  <c r="M3107" i="14"/>
  <c r="M3021" i="14"/>
  <c r="M2935" i="14"/>
  <c r="M2848" i="14"/>
  <c r="M2761" i="14"/>
  <c r="M2675" i="14"/>
  <c r="M2593" i="14"/>
  <c r="M2536" i="14"/>
  <c r="M2479" i="14"/>
  <c r="M2421" i="14"/>
  <c r="M2363" i="14"/>
  <c r="M2311" i="14"/>
  <c r="M2286" i="14"/>
  <c r="M2262" i="14"/>
  <c r="M2238" i="14"/>
  <c r="M2214" i="14"/>
  <c r="M2190" i="14"/>
  <c r="M2166" i="14"/>
  <c r="M2142" i="14"/>
  <c r="M2118" i="14"/>
  <c r="M2094" i="14"/>
  <c r="M2070" i="14"/>
  <c r="M2046" i="14"/>
  <c r="M2024" i="14"/>
  <c r="M2003" i="14"/>
  <c r="M1984" i="14"/>
  <c r="M1962" i="14"/>
  <c r="M1941" i="14"/>
  <c r="M1922" i="14"/>
  <c r="M1901" i="14"/>
  <c r="M1880" i="14"/>
  <c r="M1859" i="14"/>
  <c r="M1840" i="14"/>
  <c r="M1818" i="14"/>
  <c r="M1797" i="14"/>
  <c r="M1778" i="14"/>
  <c r="M1757" i="14"/>
  <c r="M1736" i="14"/>
  <c r="M1715" i="14"/>
  <c r="M1696" i="14"/>
  <c r="M1674" i="14"/>
  <c r="M1653" i="14"/>
  <c r="M1634" i="14"/>
  <c r="M1613" i="14"/>
  <c r="M1592" i="14"/>
  <c r="M1571" i="14"/>
  <c r="M1552" i="14"/>
  <c r="M1530" i="14"/>
  <c r="M1509" i="14"/>
  <c r="M1490" i="14"/>
  <c r="M1469" i="14"/>
  <c r="M1448" i="14"/>
  <c r="M1427" i="14"/>
  <c r="M1408" i="14"/>
  <c r="M1386" i="14"/>
  <c r="M1365" i="14"/>
  <c r="M1346" i="14"/>
  <c r="M1325" i="14"/>
  <c r="M1304" i="14"/>
  <c r="M1283" i="14"/>
  <c r="M1264" i="14"/>
  <c r="M1242" i="14"/>
  <c r="M1221" i="14"/>
  <c r="M1204" i="14"/>
  <c r="M1190" i="14"/>
  <c r="M1178" i="14"/>
  <c r="M1166" i="14"/>
  <c r="M1154" i="14"/>
  <c r="M1142" i="14"/>
  <c r="M1130" i="14"/>
  <c r="M1118" i="14"/>
  <c r="M1106" i="14"/>
  <c r="M1094" i="14"/>
  <c r="M1082" i="14"/>
  <c r="M1070" i="14"/>
  <c r="M1058" i="14"/>
  <c r="M1046" i="14"/>
  <c r="M1034" i="14"/>
  <c r="M1022" i="14"/>
  <c r="M1010" i="14"/>
  <c r="M998" i="14"/>
  <c r="M986" i="14"/>
  <c r="M974" i="14"/>
  <c r="M962" i="14"/>
  <c r="M950" i="14"/>
  <c r="M938" i="14"/>
  <c r="M926" i="14"/>
  <c r="M914" i="14"/>
  <c r="M902" i="14"/>
  <c r="M890" i="14"/>
  <c r="M878" i="14"/>
  <c r="M866" i="14"/>
  <c r="M854" i="14"/>
  <c r="M842" i="14"/>
  <c r="M830" i="14"/>
  <c r="M818" i="14"/>
  <c r="M806" i="14"/>
  <c r="M794" i="14"/>
  <c r="M782" i="14"/>
  <c r="M770" i="14"/>
  <c r="M758" i="14"/>
  <c r="M746" i="14"/>
  <c r="M734" i="14"/>
  <c r="M722" i="14"/>
  <c r="M710" i="14"/>
  <c r="M698" i="14"/>
  <c r="M686" i="14"/>
  <c r="M674" i="14"/>
  <c r="M662" i="14"/>
  <c r="M650" i="14"/>
  <c r="M638" i="14"/>
  <c r="M626" i="14"/>
  <c r="M614" i="14"/>
  <c r="M602" i="14"/>
  <c r="M590" i="14"/>
  <c r="M578" i="14"/>
  <c r="M566" i="14"/>
  <c r="M554" i="14"/>
  <c r="M542" i="14"/>
  <c r="M530" i="14"/>
  <c r="M518" i="14"/>
  <c r="M506" i="14"/>
  <c r="M494" i="14"/>
  <c r="M482" i="14"/>
  <c r="M470" i="14"/>
  <c r="M458" i="14"/>
  <c r="M446" i="14"/>
  <c r="M434" i="14"/>
  <c r="M422" i="14"/>
  <c r="M410" i="14"/>
  <c r="M398" i="14"/>
  <c r="M386" i="14"/>
  <c r="M374" i="14"/>
  <c r="M362" i="14"/>
  <c r="M350" i="14"/>
  <c r="M338" i="14"/>
  <c r="M326" i="14"/>
  <c r="M314" i="14"/>
  <c r="M302" i="14"/>
  <c r="M290" i="14"/>
  <c r="M278" i="14"/>
  <c r="M266" i="14"/>
  <c r="M254" i="14"/>
  <c r="M242" i="14"/>
  <c r="M230" i="14"/>
  <c r="M218" i="14"/>
  <c r="M206" i="14"/>
  <c r="M194" i="14"/>
  <c r="M182" i="14"/>
  <c r="M170" i="14"/>
  <c r="M158" i="14"/>
  <c r="M146" i="14"/>
  <c r="M134" i="14"/>
  <c r="M122" i="14"/>
  <c r="M110" i="14"/>
  <c r="M98" i="14"/>
  <c r="M86" i="14"/>
  <c r="M74" i="14"/>
  <c r="M62" i="14"/>
  <c r="M5372" i="14"/>
  <c r="M4542" i="14"/>
  <c r="M4151" i="14"/>
  <c r="M3873" i="14"/>
  <c r="M3753" i="14"/>
  <c r="M3645" i="14"/>
  <c r="M3537" i="14"/>
  <c r="M3448" i="14"/>
  <c r="M3361" i="14"/>
  <c r="M3275" i="14"/>
  <c r="M3189" i="14"/>
  <c r="M3103" i="14"/>
  <c r="M3016" i="14"/>
  <c r="M2929" i="14"/>
  <c r="M2843" i="14"/>
  <c r="M2757" i="14"/>
  <c r="M2671" i="14"/>
  <c r="M2591" i="14"/>
  <c r="M2533" i="14"/>
  <c r="M2476" i="14"/>
  <c r="M2419" i="14"/>
  <c r="M2361" i="14"/>
  <c r="M2309" i="14"/>
  <c r="M2285" i="14"/>
  <c r="M2261" i="14"/>
  <c r="M2237" i="14"/>
  <c r="M2213" i="14"/>
  <c r="M2189" i="14"/>
  <c r="M2165" i="14"/>
  <c r="M2141" i="14"/>
  <c r="M2117" i="14"/>
  <c r="M2093" i="14"/>
  <c r="M2069" i="14"/>
  <c r="M2045" i="14"/>
  <c r="M2022" i="14"/>
  <c r="M2001" i="14"/>
  <c r="M1982" i="14"/>
  <c r="M1961" i="14"/>
  <c r="M1940" i="14"/>
  <c r="M1919" i="14"/>
  <c r="M1900" i="14"/>
  <c r="M1878" i="14"/>
  <c r="M1857" i="14"/>
  <c r="M1838" i="14"/>
  <c r="M1817" i="14"/>
  <c r="M1796" i="14"/>
  <c r="M1775" i="14"/>
  <c r="M1756" i="14"/>
  <c r="M1734" i="14"/>
  <c r="M1713" i="14"/>
  <c r="M1694" i="14"/>
  <c r="M1673" i="14"/>
  <c r="M1652" i="14"/>
  <c r="M1631" i="14"/>
  <c r="M1612" i="14"/>
  <c r="M1590" i="14"/>
  <c r="M1569" i="14"/>
  <c r="M1550" i="14"/>
  <c r="M1529" i="14"/>
  <c r="M1508" i="14"/>
  <c r="M1487" i="14"/>
  <c r="M1468" i="14"/>
  <c r="M5059" i="14"/>
  <c r="M4444" i="14"/>
  <c r="M4069" i="14"/>
  <c r="M3839" i="14"/>
  <c r="M3729" i="14"/>
  <c r="M3621" i="14"/>
  <c r="M3515" i="14"/>
  <c r="M3429" i="14"/>
  <c r="M3343" i="14"/>
  <c r="M3256" i="14"/>
  <c r="M3169" i="14"/>
  <c r="M3083" i="14"/>
  <c r="M2997" i="14"/>
  <c r="M2911" i="14"/>
  <c r="M2824" i="14"/>
  <c r="M2737" i="14"/>
  <c r="M2651" i="14"/>
  <c r="M2589" i="14"/>
  <c r="M2531" i="14"/>
  <c r="M2473" i="14"/>
  <c r="M2416" i="14"/>
  <c r="M2359" i="14"/>
  <c r="M2308" i="14"/>
  <c r="M2284" i="14"/>
  <c r="M2260" i="14"/>
  <c r="M2236" i="14"/>
  <c r="M2212" i="14"/>
  <c r="M2188" i="14"/>
  <c r="M2164" i="14"/>
  <c r="M2140" i="14"/>
  <c r="M2116" i="14"/>
  <c r="M2092" i="14"/>
  <c r="M2068" i="14"/>
  <c r="M2044" i="14"/>
  <c r="M2021" i="14"/>
  <c r="M2000" i="14"/>
  <c r="M1979" i="14"/>
  <c r="M1960" i="14"/>
  <c r="M1938" i="14"/>
  <c r="M1917" i="14"/>
  <c r="M1898" i="14"/>
  <c r="M1877" i="14"/>
  <c r="M1856" i="14"/>
  <c r="M1835" i="14"/>
  <c r="M1816" i="14"/>
  <c r="M1794" i="14"/>
  <c r="M1773" i="14"/>
  <c r="M1754" i="14"/>
  <c r="M1733" i="14"/>
  <c r="M1712" i="14"/>
  <c r="M1691" i="14"/>
  <c r="M1672" i="14"/>
  <c r="M1650" i="14"/>
  <c r="M1629" i="14"/>
  <c r="M1610" i="14"/>
  <c r="M1589" i="14"/>
  <c r="M1568" i="14"/>
  <c r="M1547" i="14"/>
  <c r="M1528" i="14"/>
  <c r="M1506" i="14"/>
  <c r="M1485" i="14"/>
  <c r="M1466" i="14"/>
  <c r="M4950" i="14"/>
  <c r="M4403" i="14"/>
  <c r="M4036" i="14"/>
  <c r="M3825" i="14"/>
  <c r="M3717" i="14"/>
  <c r="M3609" i="14"/>
  <c r="M3505" i="14"/>
  <c r="M3419" i="14"/>
  <c r="M3333" i="14"/>
  <c r="M3247" i="14"/>
  <c r="M3160" i="14"/>
  <c r="M3073" i="14"/>
  <c r="M2987" i="14"/>
  <c r="M2901" i="14"/>
  <c r="M2815" i="14"/>
  <c r="M2728" i="14"/>
  <c r="M2641" i="14"/>
  <c r="M2569" i="14"/>
  <c r="M2512" i="14"/>
  <c r="M2455" i="14"/>
  <c r="M2397" i="14"/>
  <c r="M2339" i="14"/>
  <c r="M2300" i="14"/>
  <c r="M2276" i="14"/>
  <c r="M2252" i="14"/>
  <c r="M2228" i="14"/>
  <c r="M2204" i="14"/>
  <c r="M2180" i="14"/>
  <c r="M2156" i="14"/>
  <c r="M2132" i="14"/>
  <c r="M2108" i="14"/>
  <c r="M2084" i="14"/>
  <c r="M2060" i="14"/>
  <c r="M2036" i="14"/>
  <c r="M2015" i="14"/>
  <c r="M1996" i="14"/>
  <c r="M1974" i="14"/>
  <c r="M1953" i="14"/>
  <c r="M1934" i="14"/>
  <c r="M1913" i="14"/>
  <c r="M1892" i="14"/>
  <c r="M1871" i="14"/>
  <c r="M1852" i="14"/>
  <c r="M1830" i="14"/>
  <c r="M1809" i="14"/>
  <c r="M1790" i="14"/>
  <c r="M1769" i="14"/>
  <c r="M1748" i="14"/>
  <c r="M1727" i="14"/>
  <c r="M1708" i="14"/>
  <c r="M1686" i="14"/>
  <c r="M1665" i="14"/>
  <c r="M1646" i="14"/>
  <c r="M1625" i="14"/>
  <c r="M1604" i="14"/>
  <c r="M1583" i="14"/>
  <c r="M1564" i="14"/>
  <c r="M1542" i="14"/>
  <c r="M1521" i="14"/>
  <c r="M1502" i="14"/>
  <c r="M1481" i="14"/>
  <c r="M1460" i="14"/>
  <c r="M1439" i="14"/>
  <c r="M1420" i="14"/>
  <c r="M1398" i="14"/>
  <c r="M1377" i="14"/>
  <c r="M1358" i="14"/>
  <c r="M1337" i="14"/>
  <c r="M1316" i="14"/>
  <c r="M1295" i="14"/>
  <c r="M1276" i="14"/>
  <c r="M1254" i="14"/>
  <c r="M1233" i="14"/>
  <c r="M1214" i="14"/>
  <c r="M1197" i="14"/>
  <c r="M1185" i="14"/>
  <c r="M1173" i="14"/>
  <c r="M1161" i="14"/>
  <c r="M1149" i="14"/>
  <c r="M1137" i="14"/>
  <c r="M1125" i="14"/>
  <c r="M1113" i="14"/>
  <c r="M1101" i="14"/>
  <c r="M1089" i="14"/>
  <c r="M1077" i="14"/>
  <c r="M1065" i="14"/>
  <c r="M1053" i="14"/>
  <c r="M1041" i="14"/>
  <c r="M1029" i="14"/>
  <c r="M1017" i="14"/>
  <c r="M1005" i="14"/>
  <c r="M993" i="14"/>
  <c r="M981" i="14"/>
  <c r="M969" i="14"/>
  <c r="M957" i="14"/>
  <c r="M945" i="14"/>
  <c r="M933" i="14"/>
  <c r="M921" i="14"/>
  <c r="M909" i="14"/>
  <c r="M897" i="14"/>
  <c r="M885" i="14"/>
  <c r="M873" i="14"/>
  <c r="M861" i="14"/>
  <c r="M849" i="14"/>
  <c r="M837" i="14"/>
  <c r="M825" i="14"/>
  <c r="M813" i="14"/>
  <c r="M801" i="14"/>
  <c r="M789" i="14"/>
  <c r="M777" i="14"/>
  <c r="M765" i="14"/>
  <c r="M753" i="14"/>
  <c r="M741" i="14"/>
  <c r="M729" i="14"/>
  <c r="M717" i="14"/>
  <c r="M705" i="14"/>
  <c r="M693" i="14"/>
  <c r="M681" i="14"/>
  <c r="M669" i="14"/>
  <c r="M657" i="14"/>
  <c r="M645" i="14"/>
  <c r="M633" i="14"/>
  <c r="M621" i="14"/>
  <c r="M609" i="14"/>
  <c r="M597" i="14"/>
  <c r="M585" i="14"/>
  <c r="M573" i="14"/>
  <c r="M561" i="14"/>
  <c r="M549" i="14"/>
  <c r="M537" i="14"/>
  <c r="M525" i="14"/>
  <c r="M513" i="14"/>
  <c r="M501" i="14"/>
  <c r="M489" i="14"/>
  <c r="M477" i="14"/>
  <c r="M465" i="14"/>
  <c r="M453" i="14"/>
  <c r="M441" i="14"/>
  <c r="M429" i="14"/>
  <c r="M417" i="14"/>
  <c r="M405" i="14"/>
  <c r="M393" i="14"/>
  <c r="M381" i="14"/>
  <c r="M369" i="14"/>
  <c r="M357" i="14"/>
  <c r="M345" i="14"/>
  <c r="M333" i="14"/>
  <c r="M321" i="14"/>
  <c r="M309" i="14"/>
  <c r="M297" i="14"/>
  <c r="M285" i="14"/>
  <c r="M273" i="14"/>
  <c r="M261" i="14"/>
  <c r="M249" i="14"/>
  <c r="M237" i="14"/>
  <c r="M225" i="14"/>
  <c r="M213" i="14"/>
  <c r="M201" i="14"/>
  <c r="M189" i="14"/>
  <c r="M177" i="14"/>
  <c r="M165" i="14"/>
  <c r="M153" i="14"/>
  <c r="M141" i="14"/>
  <c r="M129" i="14"/>
  <c r="M117" i="14"/>
  <c r="M105" i="14"/>
  <c r="M93" i="14"/>
  <c r="M81" i="14"/>
  <c r="M69" i="14"/>
  <c r="M57" i="14"/>
  <c r="M4060" i="14"/>
  <c r="M3616" i="14"/>
  <c r="M3337" i="14"/>
  <c r="M3079" i="14"/>
  <c r="M2819" i="14"/>
  <c r="M2572" i="14"/>
  <c r="M2399" i="14"/>
  <c r="M2277" i="14"/>
  <c r="M2205" i="14"/>
  <c r="M2133" i="14"/>
  <c r="M2061" i="14"/>
  <c r="M1997" i="14"/>
  <c r="M1936" i="14"/>
  <c r="M1874" i="14"/>
  <c r="M1811" i="14"/>
  <c r="M1749" i="14"/>
  <c r="M1688" i="14"/>
  <c r="M1626" i="14"/>
  <c r="M1565" i="14"/>
  <c r="M1504" i="14"/>
  <c r="M1445" i="14"/>
  <c r="M1403" i="14"/>
  <c r="M1362" i="14"/>
  <c r="M1322" i="14"/>
  <c r="M1280" i="14"/>
  <c r="M1240" i="14"/>
  <c r="M1201" i="14"/>
  <c r="M1176" i="14"/>
  <c r="M1152" i="14"/>
  <c r="M1128" i="14"/>
  <c r="M1104" i="14"/>
  <c r="M1080" i="14"/>
  <c r="M1056" i="14"/>
  <c r="M1032" i="14"/>
  <c r="M1008" i="14"/>
  <c r="M984" i="14"/>
  <c r="M960" i="14"/>
  <c r="M936" i="14"/>
  <c r="M912" i="14"/>
  <c r="M889" i="14"/>
  <c r="M870" i="14"/>
  <c r="M850" i="14"/>
  <c r="M828" i="14"/>
  <c r="M807" i="14"/>
  <c r="M788" i="14"/>
  <c r="M767" i="14"/>
  <c r="M745" i="14"/>
  <c r="M726" i="14"/>
  <c r="M706" i="14"/>
  <c r="M684" i="14"/>
  <c r="M663" i="14"/>
  <c r="M644" i="14"/>
  <c r="M623" i="14"/>
  <c r="M601" i="14"/>
  <c r="M582" i="14"/>
  <c r="M562" i="14"/>
  <c r="M540" i="14"/>
  <c r="M519" i="14"/>
  <c r="M500" i="14"/>
  <c r="M479" i="14"/>
  <c r="M457" i="14"/>
  <c r="M438" i="14"/>
  <c r="M418" i="14"/>
  <c r="M396" i="14"/>
  <c r="M375" i="14"/>
  <c r="M356" i="14"/>
  <c r="M335" i="14"/>
  <c r="M313" i="14"/>
  <c r="M294" i="14"/>
  <c r="M274" i="14"/>
  <c r="M252" i="14"/>
  <c r="M231" i="14"/>
  <c r="M212" i="14"/>
  <c r="M191" i="14"/>
  <c r="M169" i="14"/>
  <c r="M150" i="14"/>
  <c r="M130" i="14"/>
  <c r="M108" i="14"/>
  <c r="M87" i="14"/>
  <c r="M68" i="14"/>
  <c r="M50" i="14"/>
  <c r="M38" i="14"/>
  <c r="M26" i="14"/>
  <c r="M14" i="14"/>
  <c r="M3945" i="14"/>
  <c r="M3580" i="14"/>
  <c r="M3309" i="14"/>
  <c r="M3049" i="14"/>
  <c r="M2791" i="14"/>
  <c r="M2560" i="14"/>
  <c r="M2387" i="14"/>
  <c r="M2272" i="14"/>
  <c r="M2200" i="14"/>
  <c r="M2128" i="14"/>
  <c r="M2056" i="14"/>
  <c r="M1989" i="14"/>
  <c r="M1928" i="14"/>
  <c r="M1866" i="14"/>
  <c r="M1805" i="14"/>
  <c r="M1744" i="14"/>
  <c r="M1682" i="14"/>
  <c r="M1619" i="14"/>
  <c r="M1557" i="14"/>
  <c r="M1496" i="14"/>
  <c r="M1442" i="14"/>
  <c r="M1400" i="14"/>
  <c r="M1360" i="14"/>
  <c r="M1317" i="14"/>
  <c r="M1277" i="14"/>
  <c r="M1235" i="14"/>
  <c r="M1198" i="14"/>
  <c r="M1174" i="14"/>
  <c r="M1150" i="14"/>
  <c r="M1126" i="14"/>
  <c r="M1102" i="14"/>
  <c r="M1078" i="14"/>
  <c r="M1054" i="14"/>
  <c r="M1030" i="14"/>
  <c r="M1006" i="14"/>
  <c r="M982" i="14"/>
  <c r="M958" i="14"/>
  <c r="M934" i="14"/>
  <c r="M910" i="14"/>
  <c r="M887" i="14"/>
  <c r="M865" i="14"/>
  <c r="M846" i="14"/>
  <c r="M826" i="14"/>
  <c r="M804" i="14"/>
  <c r="M783" i="14"/>
  <c r="M764" i="14"/>
  <c r="M743" i="14"/>
  <c r="M721" i="14"/>
  <c r="M702" i="14"/>
  <c r="M682" i="14"/>
  <c r="M660" i="14"/>
  <c r="M639" i="14"/>
  <c r="M620" i="14"/>
  <c r="M599" i="14"/>
  <c r="M577" i="14"/>
  <c r="M558" i="14"/>
  <c r="M538" i="14"/>
  <c r="M516" i="14"/>
  <c r="M495" i="14"/>
  <c r="M476" i="14"/>
  <c r="M455" i="14"/>
  <c r="M433" i="14"/>
  <c r="M414" i="14"/>
  <c r="M394" i="14"/>
  <c r="M372" i="14"/>
  <c r="M351" i="14"/>
  <c r="M332" i="14"/>
  <c r="M311" i="14"/>
  <c r="M289" i="14"/>
  <c r="M270" i="14"/>
  <c r="M250" i="14"/>
  <c r="M228" i="14"/>
  <c r="M207" i="14"/>
  <c r="M188" i="14"/>
  <c r="M167" i="14"/>
  <c r="M145" i="14"/>
  <c r="M126" i="14"/>
  <c r="M106" i="14"/>
  <c r="M84" i="14"/>
  <c r="M63" i="14"/>
  <c r="M48" i="14"/>
  <c r="M36" i="14"/>
  <c r="M24" i="14"/>
  <c r="M12" i="14"/>
  <c r="M5045" i="14"/>
  <c r="M3837" i="14"/>
  <c r="M3513" i="14"/>
  <c r="M3253" i="14"/>
  <c r="M2995" i="14"/>
  <c r="M2735" i="14"/>
  <c r="M2527" i="14"/>
  <c r="M2353" i="14"/>
  <c r="M2258" i="14"/>
  <c r="M2186" i="14"/>
  <c r="M2114" i="14"/>
  <c r="M2042" i="14"/>
  <c r="M1977" i="14"/>
  <c r="M1916" i="14"/>
  <c r="M1854" i="14"/>
  <c r="M1793" i="14"/>
  <c r="M1732" i="14"/>
  <c r="M1670" i="14"/>
  <c r="M1607" i="14"/>
  <c r="M1545" i="14"/>
  <c r="M1484" i="14"/>
  <c r="M1437" i="14"/>
  <c r="M1397" i="14"/>
  <c r="M1355" i="14"/>
  <c r="M1314" i="14"/>
  <c r="M1274" i="14"/>
  <c r="M1232" i="14"/>
  <c r="M1196" i="14"/>
  <c r="M1172" i="14"/>
  <c r="M1148" i="14"/>
  <c r="M1124" i="14"/>
  <c r="M1100" i="14"/>
  <c r="M1076" i="14"/>
  <c r="M1052" i="14"/>
  <c r="M1028" i="14"/>
  <c r="M1004" i="14"/>
  <c r="M980" i="14"/>
  <c r="M956" i="14"/>
  <c r="M932" i="14"/>
  <c r="M908" i="14"/>
  <c r="M886" i="14"/>
  <c r="M864" i="14"/>
  <c r="M843" i="14"/>
  <c r="M824" i="14"/>
  <c r="M803" i="14"/>
  <c r="M781" i="14"/>
  <c r="M762" i="14"/>
  <c r="M742" i="14"/>
  <c r="M720" i="14"/>
  <c r="M699" i="14"/>
  <c r="M680" i="14"/>
  <c r="M659" i="14"/>
  <c r="M637" i="14"/>
  <c r="M618" i="14"/>
  <c r="M598" i="14"/>
  <c r="M576" i="14"/>
  <c r="M555" i="14"/>
  <c r="M536" i="14"/>
  <c r="M515" i="14"/>
  <c r="M493" i="14"/>
  <c r="M474" i="14"/>
  <c r="M454" i="14"/>
  <c r="M432" i="14"/>
  <c r="M411" i="14"/>
  <c r="M392" i="14"/>
  <c r="M371" i="14"/>
  <c r="M349" i="14"/>
  <c r="M330" i="14"/>
  <c r="M310" i="14"/>
  <c r="M288" i="14"/>
  <c r="M267" i="14"/>
  <c r="M248" i="14"/>
  <c r="M227" i="14"/>
  <c r="M205" i="14"/>
  <c r="M186" i="14"/>
  <c r="M166" i="14"/>
  <c r="M144" i="14"/>
  <c r="M123" i="14"/>
  <c r="M104" i="14"/>
  <c r="M83" i="14"/>
  <c r="M61" i="14"/>
  <c r="M47" i="14"/>
  <c r="M35" i="14"/>
  <c r="M23" i="14"/>
  <c r="M11" i="14"/>
  <c r="M5027" i="14"/>
  <c r="M3835" i="14"/>
  <c r="M3511" i="14"/>
  <c r="M3251" i="14"/>
  <c r="M2992" i="14"/>
  <c r="M2733" i="14"/>
  <c r="M2515" i="14"/>
  <c r="M2341" i="14"/>
  <c r="M2253" i="14"/>
  <c r="M2181" i="14"/>
  <c r="M2109" i="14"/>
  <c r="M2037" i="14"/>
  <c r="M1976" i="14"/>
  <c r="M1914" i="14"/>
  <c r="M1853" i="14"/>
  <c r="M1792" i="14"/>
  <c r="M1730" i="14"/>
  <c r="M1667" i="14"/>
  <c r="M1605" i="14"/>
  <c r="M1544" i="14"/>
  <c r="M1482" i="14"/>
  <c r="M1434" i="14"/>
  <c r="M1394" i="14"/>
  <c r="M1352" i="14"/>
  <c r="M1312" i="14"/>
  <c r="M1269" i="14"/>
  <c r="M1229" i="14"/>
  <c r="M1194" i="14"/>
  <c r="M1170" i="14"/>
  <c r="M1146" i="14"/>
  <c r="M1122" i="14"/>
  <c r="M1098" i="14"/>
  <c r="M1074" i="14"/>
  <c r="M1050" i="14"/>
  <c r="M1026" i="14"/>
  <c r="M1002" i="14"/>
  <c r="M978" i="14"/>
  <c r="M954" i="14"/>
  <c r="M930" i="14"/>
  <c r="M906" i="14"/>
  <c r="M884" i="14"/>
  <c r="M863" i="14"/>
  <c r="M841" i="14"/>
  <c r="M822" i="14"/>
  <c r="M802" i="14"/>
  <c r="M780" i="14"/>
  <c r="M759" i="14"/>
  <c r="M740" i="14"/>
  <c r="M719" i="14"/>
  <c r="M697" i="14"/>
  <c r="M678" i="14"/>
  <c r="M658" i="14"/>
  <c r="M636" i="14"/>
  <c r="M615" i="14"/>
  <c r="M596" i="14"/>
  <c r="M575" i="14"/>
  <c r="M553" i="14"/>
  <c r="M534" i="14"/>
  <c r="M514" i="14"/>
  <c r="M492" i="14"/>
  <c r="M471" i="14"/>
  <c r="M452" i="14"/>
  <c r="M431" i="14"/>
  <c r="M409" i="14"/>
  <c r="M390" i="14"/>
  <c r="M370" i="14"/>
  <c r="M348" i="14"/>
  <c r="M327" i="14"/>
  <c r="M308" i="14"/>
  <c r="M287" i="14"/>
  <c r="M265" i="14"/>
  <c r="M246" i="14"/>
  <c r="M226" i="14"/>
  <c r="M204" i="14"/>
  <c r="M183" i="14"/>
  <c r="M164" i="14"/>
  <c r="M143" i="14"/>
  <c r="M121" i="14"/>
  <c r="M102" i="14"/>
  <c r="M82" i="14"/>
  <c r="M60" i="14"/>
  <c r="M46" i="14"/>
  <c r="M34" i="14"/>
  <c r="M22" i="14"/>
  <c r="M10" i="14"/>
  <c r="M4720" i="14"/>
  <c r="M3801" i="14"/>
  <c r="M3487" i="14"/>
  <c r="M3227" i="14"/>
  <c r="M2968" i="14"/>
  <c r="M2709" i="14"/>
  <c r="M2507" i="14"/>
  <c r="M2335" i="14"/>
  <c r="M2250" i="14"/>
  <c r="M2178" i="14"/>
  <c r="M2106" i="14"/>
  <c r="M2034" i="14"/>
  <c r="M1973" i="14"/>
  <c r="M1912" i="14"/>
  <c r="M1850" i="14"/>
  <c r="M1787" i="14"/>
  <c r="M1725" i="14"/>
  <c r="M1664" i="14"/>
  <c r="M1602" i="14"/>
  <c r="M1541" i="14"/>
  <c r="M1480" i="14"/>
  <c r="M1425" i="14"/>
  <c r="M1385" i="14"/>
  <c r="M1343" i="14"/>
  <c r="M1302" i="14"/>
  <c r="M1262" i="14"/>
  <c r="M1220" i="14"/>
  <c r="M1189" i="14"/>
  <c r="M1165" i="14"/>
  <c r="M1141" i="14"/>
  <c r="M1117" i="14"/>
  <c r="M1093" i="14"/>
  <c r="M1069" i="14"/>
  <c r="M1045" i="14"/>
  <c r="M1021" i="14"/>
  <c r="M997" i="14"/>
  <c r="M973" i="14"/>
  <c r="M949" i="14"/>
  <c r="M925" i="14"/>
  <c r="M901" i="14"/>
  <c r="M882" i="14"/>
  <c r="M862" i="14"/>
  <c r="M840" i="14"/>
  <c r="M819" i="14"/>
  <c r="M800" i="14"/>
  <c r="M779" i="14"/>
  <c r="M757" i="14"/>
  <c r="M738" i="14"/>
  <c r="M718" i="14"/>
  <c r="M696" i="14"/>
  <c r="M675" i="14"/>
  <c r="M656" i="14"/>
  <c r="M635" i="14"/>
  <c r="M613" i="14"/>
  <c r="M594" i="14"/>
  <c r="M574" i="14"/>
  <c r="M552" i="14"/>
  <c r="M531" i="14"/>
  <c r="M512" i="14"/>
  <c r="M491" i="14"/>
  <c r="M469" i="14"/>
  <c r="M450" i="14"/>
  <c r="M430" i="14"/>
  <c r="M408" i="14"/>
  <c r="M387" i="14"/>
  <c r="M368" i="14"/>
  <c r="M347" i="14"/>
  <c r="M325" i="14"/>
  <c r="M306" i="14"/>
  <c r="M286" i="14"/>
  <c r="M264" i="14"/>
  <c r="M243" i="14"/>
  <c r="M224" i="14"/>
  <c r="M203" i="14"/>
  <c r="M181" i="14"/>
  <c r="M162" i="14"/>
  <c r="M142" i="14"/>
  <c r="M120" i="14"/>
  <c r="M99" i="14"/>
  <c r="M80" i="14"/>
  <c r="M59" i="14"/>
  <c r="M45" i="14"/>
  <c r="M33" i="14"/>
  <c r="M21" i="14"/>
  <c r="M9" i="14"/>
  <c r="M4709" i="14"/>
  <c r="M3796" i="14"/>
  <c r="M3481" i="14"/>
  <c r="M3223" i="14"/>
  <c r="M2963" i="14"/>
  <c r="M2704" i="14"/>
  <c r="M2503" i="14"/>
  <c r="M2329" i="14"/>
  <c r="M2248" i="14"/>
  <c r="M2176" i="14"/>
  <c r="M2104" i="14"/>
  <c r="M2032" i="14"/>
  <c r="M1970" i="14"/>
  <c r="M1907" i="14"/>
  <c r="M1845" i="14"/>
  <c r="M1784" i="14"/>
  <c r="M1722" i="14"/>
  <c r="M1661" i="14"/>
  <c r="M1600" i="14"/>
  <c r="M1538" i="14"/>
  <c r="M1475" i="14"/>
  <c r="M1424" i="14"/>
  <c r="M1384" i="14"/>
  <c r="M1341" i="14"/>
  <c r="M1301" i="14"/>
  <c r="M1259" i="14"/>
  <c r="M1218" i="14"/>
  <c r="M1188" i="14"/>
  <c r="M1164" i="14"/>
  <c r="M1140" i="14"/>
  <c r="M1116" i="14"/>
  <c r="M1092" i="14"/>
  <c r="M1068" i="14"/>
  <c r="M1044" i="14"/>
  <c r="M1020" i="14"/>
  <c r="M996" i="14"/>
  <c r="M972" i="14"/>
  <c r="M948" i="14"/>
  <c r="M924" i="14"/>
  <c r="M900" i="14"/>
  <c r="M879" i="14"/>
  <c r="M860" i="14"/>
  <c r="M839" i="14"/>
  <c r="M817" i="14"/>
  <c r="M798" i="14"/>
  <c r="M778" i="14"/>
  <c r="M756" i="14"/>
  <c r="M735" i="14"/>
  <c r="M716" i="14"/>
  <c r="M695" i="14"/>
  <c r="M673" i="14"/>
  <c r="M654" i="14"/>
  <c r="M634" i="14"/>
  <c r="M612" i="14"/>
  <c r="M591" i="14"/>
  <c r="M572" i="14"/>
  <c r="M551" i="14"/>
  <c r="M529" i="14"/>
  <c r="M510" i="14"/>
  <c r="M490" i="14"/>
  <c r="M468" i="14"/>
  <c r="M447" i="14"/>
  <c r="M428" i="14"/>
  <c r="M407" i="14"/>
  <c r="M385" i="14"/>
  <c r="M366" i="14"/>
  <c r="M346" i="14"/>
  <c r="M324" i="14"/>
  <c r="M303" i="14"/>
  <c r="M284" i="14"/>
  <c r="M263" i="14"/>
  <c r="M241" i="14"/>
  <c r="M222" i="14"/>
  <c r="M202" i="14"/>
  <c r="M180" i="14"/>
  <c r="M159" i="14"/>
  <c r="M140" i="14"/>
  <c r="M119" i="14"/>
  <c r="M97" i="14"/>
  <c r="M4439" i="14"/>
  <c r="M3727" i="14"/>
  <c r="M3427" i="14"/>
  <c r="M3167" i="14"/>
  <c r="M2908" i="14"/>
  <c r="M2649" i="14"/>
  <c r="M2469" i="14"/>
  <c r="M2306" i="14"/>
  <c r="M2234" i="14"/>
  <c r="M2162" i="14"/>
  <c r="M2090" i="14"/>
  <c r="M2020" i="14"/>
  <c r="M1958" i="14"/>
  <c r="M1895" i="14"/>
  <c r="M1833" i="14"/>
  <c r="M1772" i="14"/>
  <c r="M1710" i="14"/>
  <c r="M1649" i="14"/>
  <c r="M1588" i="14"/>
  <c r="M1526" i="14"/>
  <c r="M1463" i="14"/>
  <c r="M1422" i="14"/>
  <c r="M1382" i="14"/>
  <c r="M1340" i="14"/>
  <c r="M1300" i="14"/>
  <c r="M1257" i="14"/>
  <c r="M1217" i="14"/>
  <c r="M1187" i="14"/>
  <c r="M1163" i="14"/>
  <c r="M1139" i="14"/>
  <c r="M1115" i="14"/>
  <c r="M1091" i="14"/>
  <c r="M1067" i="14"/>
  <c r="M1043" i="14"/>
  <c r="M1019" i="14"/>
  <c r="M995" i="14"/>
  <c r="M971" i="14"/>
  <c r="M947" i="14"/>
  <c r="M923" i="14"/>
  <c r="M899" i="14"/>
  <c r="M877" i="14"/>
  <c r="M858" i="14"/>
  <c r="M838" i="14"/>
  <c r="M816" i="14"/>
  <c r="M795" i="14"/>
  <c r="M776" i="14"/>
  <c r="M755" i="14"/>
  <c r="M733" i="14"/>
  <c r="M714" i="14"/>
  <c r="M694" i="14"/>
  <c r="M672" i="14"/>
  <c r="M651" i="14"/>
  <c r="M632" i="14"/>
  <c r="M611" i="14"/>
  <c r="M589" i="14"/>
  <c r="M570" i="14"/>
  <c r="M550" i="14"/>
  <c r="M528" i="14"/>
  <c r="M507" i="14"/>
  <c r="M488" i="14"/>
  <c r="M467" i="14"/>
  <c r="M445" i="14"/>
  <c r="M426" i="14"/>
  <c r="M406" i="14"/>
  <c r="M384" i="14"/>
  <c r="M363" i="14"/>
  <c r="M344" i="14"/>
  <c r="M323" i="14"/>
  <c r="M301" i="14"/>
  <c r="M282" i="14"/>
  <c r="M262" i="14"/>
  <c r="M240" i="14"/>
  <c r="M219" i="14"/>
  <c r="M4432" i="14"/>
  <c r="M3724" i="14"/>
  <c r="M3424" i="14"/>
  <c r="M3165" i="14"/>
  <c r="M2905" i="14"/>
  <c r="M2647" i="14"/>
  <c r="M2457" i="14"/>
  <c r="M2301" i="14"/>
  <c r="M2229" i="14"/>
  <c r="M2157" i="14"/>
  <c r="M2085" i="14"/>
  <c r="M2018" i="14"/>
  <c r="M1955" i="14"/>
  <c r="M1893" i="14"/>
  <c r="M1832" i="14"/>
  <c r="M1770" i="14"/>
  <c r="M1709" i="14"/>
  <c r="M1648" i="14"/>
  <c r="M1586" i="14"/>
  <c r="M1523" i="14"/>
  <c r="M1461" i="14"/>
  <c r="M1421" i="14"/>
  <c r="M1379" i="14"/>
  <c r="M1338" i="14"/>
  <c r="M1298" i="14"/>
  <c r="M1256" i="14"/>
  <c r="M1216" i="14"/>
  <c r="M1186" i="14"/>
  <c r="M1162" i="14"/>
  <c r="M1138" i="14"/>
  <c r="M1114" i="14"/>
  <c r="M1090" i="14"/>
  <c r="M1066" i="14"/>
  <c r="M1042" i="14"/>
  <c r="M1018" i="14"/>
  <c r="M994" i="14"/>
  <c r="M970" i="14"/>
  <c r="M946" i="14"/>
  <c r="M922" i="14"/>
  <c r="M898" i="14"/>
  <c r="M876" i="14"/>
  <c r="M855" i="14"/>
  <c r="M836" i="14"/>
  <c r="M815" i="14"/>
  <c r="M793" i="14"/>
  <c r="M774" i="14"/>
  <c r="M754" i="14"/>
  <c r="M732" i="14"/>
  <c r="M711" i="14"/>
  <c r="M692" i="14"/>
  <c r="M671" i="14"/>
  <c r="M649" i="14"/>
  <c r="M630" i="14"/>
  <c r="M610" i="14"/>
  <c r="M588" i="14"/>
  <c r="M567" i="14"/>
  <c r="M548" i="14"/>
  <c r="M527" i="14"/>
  <c r="M505" i="14"/>
  <c r="M486" i="14"/>
  <c r="M466" i="14"/>
  <c r="M444" i="14"/>
  <c r="M423" i="14"/>
  <c r="M404" i="14"/>
  <c r="M383" i="14"/>
  <c r="M361" i="14"/>
  <c r="M342" i="14"/>
  <c r="M322" i="14"/>
  <c r="M300" i="14"/>
  <c r="M279" i="14"/>
  <c r="M260" i="14"/>
  <c r="M239" i="14"/>
  <c r="M217" i="14"/>
  <c r="M198" i="14"/>
  <c r="M178" i="14"/>
  <c r="M156" i="14"/>
  <c r="M135" i="14"/>
  <c r="M116" i="14"/>
  <c r="M95" i="14"/>
  <c r="M73" i="14"/>
  <c r="M54" i="14"/>
  <c r="M42" i="14"/>
  <c r="M30" i="14"/>
  <c r="M18" i="14"/>
  <c r="M6" i="14"/>
  <c r="M28" i="14"/>
  <c r="M52" i="14"/>
  <c r="M92" i="14"/>
  <c r="M138" i="14"/>
  <c r="M192" i="14"/>
  <c r="M251" i="14"/>
  <c r="M312" i="14"/>
  <c r="M373" i="14"/>
  <c r="M435" i="14"/>
  <c r="M498" i="14"/>
  <c r="M560" i="14"/>
  <c r="M622" i="14"/>
  <c r="M683" i="14"/>
  <c r="M744" i="14"/>
  <c r="M805" i="14"/>
  <c r="M867" i="14"/>
  <c r="M935" i="14"/>
  <c r="M1007" i="14"/>
  <c r="M1079" i="14"/>
  <c r="M1151" i="14"/>
  <c r="M1238" i="14"/>
  <c r="M1361" i="14"/>
  <c r="M1499" i="14"/>
  <c r="M1685" i="14"/>
  <c r="M1869" i="14"/>
  <c r="M2058" i="14"/>
  <c r="M2274" i="14"/>
  <c r="M2795" i="14"/>
  <c r="M3585" i="14"/>
  <c r="M15" i="14"/>
  <c r="M39" i="14"/>
  <c r="M70" i="14"/>
  <c r="M111" i="14"/>
  <c r="M157" i="14"/>
  <c r="M214" i="14"/>
  <c r="M275" i="14"/>
  <c r="M336" i="14"/>
  <c r="M397" i="14"/>
  <c r="M459" i="14"/>
  <c r="M522" i="14"/>
  <c r="M584" i="14"/>
  <c r="M646" i="14"/>
  <c r="M707" i="14"/>
  <c r="M768" i="14"/>
  <c r="M829" i="14"/>
  <c r="M891" i="14"/>
  <c r="M961" i="14"/>
  <c r="M1033" i="14"/>
  <c r="M1105" i="14"/>
  <c r="M1177" i="14"/>
  <c r="M1281" i="14"/>
  <c r="M1406" i="14"/>
  <c r="M1566" i="14"/>
  <c r="M1751" i="14"/>
  <c r="M1937" i="14"/>
  <c r="M2138" i="14"/>
  <c r="M2411" i="14"/>
  <c r="M3081" i="14"/>
  <c r="M4065" i="14"/>
  <c r="M16" i="14"/>
  <c r="M40" i="14"/>
  <c r="M71" i="14"/>
  <c r="M114" i="14"/>
  <c r="M168" i="14"/>
  <c r="M215" i="14"/>
  <c r="M276" i="14"/>
  <c r="M337" i="14"/>
  <c r="M399" i="14"/>
  <c r="M462" i="14"/>
  <c r="M524" i="14"/>
  <c r="M586" i="14"/>
  <c r="M647" i="14"/>
  <c r="M708" i="14"/>
  <c r="M769" i="14"/>
  <c r="M831" i="14"/>
  <c r="M894" i="14"/>
  <c r="M966" i="14"/>
  <c r="M1038" i="14"/>
  <c r="M1110" i="14"/>
  <c r="M1182" i="14"/>
  <c r="M1290" i="14"/>
  <c r="M1413" i="14"/>
  <c r="M1578" i="14"/>
  <c r="M1763" i="14"/>
  <c r="M1949" i="14"/>
  <c r="M2152" i="14"/>
  <c r="M2445" i="14"/>
  <c r="M3136" i="14"/>
  <c r="M4295" i="14"/>
  <c r="M17" i="14"/>
  <c r="M41" i="14"/>
  <c r="M72" i="14"/>
  <c r="M118" i="14"/>
  <c r="M171" i="14"/>
  <c r="M216" i="14"/>
  <c r="M277" i="14"/>
  <c r="M339" i="14"/>
  <c r="M402" i="14"/>
  <c r="M464" i="14"/>
  <c r="M526" i="14"/>
  <c r="M587" i="14"/>
  <c r="M648" i="14"/>
  <c r="M709" i="14"/>
  <c r="M771" i="14"/>
  <c r="M834" i="14"/>
  <c r="M896" i="14"/>
  <c r="M968" i="14"/>
  <c r="M1040" i="14"/>
  <c r="M1112" i="14"/>
  <c r="M1184" i="14"/>
  <c r="M1293" i="14"/>
  <c r="M1418" i="14"/>
  <c r="M1581" i="14"/>
  <c r="M1768" i="14"/>
  <c r="M1952" i="14"/>
  <c r="M2154" i="14"/>
  <c r="M2449" i="14"/>
  <c r="M3141" i="14"/>
  <c r="M4306" i="14"/>
  <c r="M19" i="14"/>
  <c r="M43" i="14"/>
  <c r="M75" i="14"/>
  <c r="M128" i="14"/>
  <c r="M174" i="14"/>
  <c r="M229" i="14"/>
  <c r="M291" i="14"/>
  <c r="M354" i="14"/>
  <c r="M416" i="14"/>
  <c r="M478" i="14"/>
  <c r="M539" i="14"/>
  <c r="M600" i="14"/>
  <c r="M661" i="14"/>
  <c r="M723" i="14"/>
  <c r="M786" i="14"/>
  <c r="M848" i="14"/>
  <c r="M911" i="14"/>
  <c r="M983" i="14"/>
  <c r="M1055" i="14"/>
  <c r="M1127" i="14"/>
  <c r="M1199" i="14"/>
  <c r="M1319" i="14"/>
  <c r="M1444" i="14"/>
  <c r="M1624" i="14"/>
  <c r="M1808" i="14"/>
  <c r="M1994" i="14"/>
  <c r="M2202" i="14"/>
  <c r="M2565" i="14"/>
  <c r="M3313" i="14"/>
  <c r="M25" i="14"/>
  <c r="M49" i="14"/>
  <c r="M85" i="14"/>
  <c r="M132" i="14"/>
  <c r="M179" i="14"/>
  <c r="M236" i="14"/>
  <c r="M298" i="14"/>
  <c r="M359" i="14"/>
  <c r="M420" i="14"/>
  <c r="M481" i="14"/>
  <c r="M543" i="14"/>
  <c r="M606" i="14"/>
  <c r="M668" i="14"/>
  <c r="M730" i="14"/>
  <c r="M791" i="14"/>
  <c r="M852" i="14"/>
  <c r="M918" i="14"/>
  <c r="M990" i="14"/>
  <c r="M1062" i="14"/>
  <c r="M1134" i="14"/>
  <c r="M1208" i="14"/>
  <c r="M1331" i="14"/>
  <c r="M1456" i="14"/>
  <c r="M1640" i="14"/>
  <c r="M1826" i="14"/>
  <c r="M2010" i="14"/>
  <c r="M2224" i="14"/>
  <c r="M2617" i="14"/>
  <c r="M3395" i="14"/>
  <c r="M4" i="14"/>
  <c r="L4" i="14" s="1" a="1"/>
  <c r="M27" i="14"/>
  <c r="M51" i="14"/>
  <c r="M90" i="14"/>
  <c r="M133" i="14"/>
  <c r="M190" i="14"/>
  <c r="M238" i="14"/>
  <c r="M299" i="14"/>
  <c r="M360" i="14"/>
  <c r="M421" i="14"/>
  <c r="M483" i="14"/>
  <c r="M546" i="14"/>
  <c r="M608" i="14"/>
  <c r="M670" i="14"/>
  <c r="M731" i="14"/>
  <c r="M792" i="14"/>
  <c r="M853" i="14"/>
  <c r="M920" i="14"/>
  <c r="M992" i="14"/>
  <c r="M1064" i="14"/>
  <c r="M1136" i="14"/>
  <c r="M1211" i="14"/>
  <c r="M1336" i="14"/>
  <c r="M1458" i="14"/>
  <c r="M1643" i="14"/>
  <c r="M1829" i="14"/>
  <c r="M2013" i="14"/>
  <c r="M2226" i="14"/>
  <c r="M2623" i="14"/>
  <c r="M3400" i="14"/>
  <c r="L7176" i="14" l="1"/>
  <c r="L7164" i="14"/>
  <c r="L7152" i="14"/>
  <c r="L7140" i="14"/>
  <c r="L7128" i="14"/>
  <c r="L7116" i="14"/>
  <c r="L7104" i="14"/>
  <c r="L7092" i="14"/>
  <c r="L7080" i="14"/>
  <c r="L7068" i="14"/>
  <c r="L7056" i="14"/>
  <c r="L7044" i="14"/>
  <c r="L7032" i="14"/>
  <c r="L7020" i="14"/>
  <c r="L7008" i="14"/>
  <c r="L6996" i="14"/>
  <c r="L6984" i="14"/>
  <c r="L6972" i="14"/>
  <c r="L6960" i="14"/>
  <c r="L6948" i="14"/>
  <c r="L6936" i="14"/>
  <c r="L6924" i="14"/>
  <c r="L6912" i="14"/>
  <c r="L6900" i="14"/>
  <c r="L6888" i="14"/>
  <c r="L6876" i="14"/>
  <c r="L6864" i="14"/>
  <c r="L6852" i="14"/>
  <c r="L6840" i="14"/>
  <c r="L6828" i="14"/>
  <c r="L6816" i="14"/>
  <c r="L6804" i="14"/>
  <c r="L6792" i="14"/>
  <c r="L6780" i="14"/>
  <c r="L6768" i="14"/>
  <c r="L6756" i="14"/>
  <c r="L6744" i="14"/>
  <c r="L6732" i="14"/>
  <c r="L6720" i="14"/>
  <c r="L6708" i="14"/>
  <c r="L6696" i="14"/>
  <c r="L6684" i="14"/>
  <c r="L6672" i="14"/>
  <c r="L6660" i="14"/>
  <c r="L6648" i="14"/>
  <c r="L6636" i="14"/>
  <c r="L6624" i="14"/>
  <c r="L6612" i="14"/>
  <c r="L6600" i="14"/>
  <c r="L6588" i="14"/>
  <c r="L6576" i="14"/>
  <c r="L6564" i="14"/>
  <c r="L6552" i="14"/>
  <c r="L6540" i="14"/>
  <c r="L6528" i="14"/>
  <c r="L6516" i="14"/>
  <c r="L6504" i="14"/>
  <c r="L6492" i="14"/>
  <c r="L6480" i="14"/>
  <c r="L6468" i="14"/>
  <c r="L6456" i="14"/>
  <c r="L6444" i="14"/>
  <c r="L6432" i="14"/>
  <c r="L6420" i="14"/>
  <c r="L6408" i="14"/>
  <c r="L6396" i="14"/>
  <c r="L6384" i="14"/>
  <c r="L6372" i="14"/>
  <c r="L6360" i="14"/>
  <c r="L6348" i="14"/>
  <c r="L6336" i="14"/>
  <c r="L6324" i="14"/>
  <c r="L6312" i="14"/>
  <c r="L6300" i="14"/>
  <c r="L6288" i="14"/>
  <c r="L6276" i="14"/>
  <c r="L6264" i="14"/>
  <c r="L6252" i="14"/>
  <c r="L6240" i="14"/>
  <c r="L6228" i="14"/>
  <c r="L6216" i="14"/>
  <c r="L6204" i="14"/>
  <c r="L6192" i="14"/>
  <c r="L6180" i="14"/>
  <c r="L6168" i="14"/>
  <c r="L6156" i="14"/>
  <c r="L7174" i="14"/>
  <c r="L7162" i="14"/>
  <c r="L7150" i="14"/>
  <c r="L7138" i="14"/>
  <c r="L7126" i="14"/>
  <c r="L7114" i="14"/>
  <c r="L7102" i="14"/>
  <c r="L7090" i="14"/>
  <c r="L7078" i="14"/>
  <c r="L7066" i="14"/>
  <c r="L7054" i="14"/>
  <c r="L7042" i="14"/>
  <c r="L7030" i="14"/>
  <c r="L7018" i="14"/>
  <c r="L7006" i="14"/>
  <c r="L6994" i="14"/>
  <c r="L6982" i="14"/>
  <c r="L6970" i="14"/>
  <c r="L6958" i="14"/>
  <c r="L6946" i="14"/>
  <c r="L6934" i="14"/>
  <c r="L6922" i="14"/>
  <c r="L6910" i="14"/>
  <c r="L6898" i="14"/>
  <c r="L6886" i="14"/>
  <c r="L6874" i="14"/>
  <c r="L6862" i="14"/>
  <c r="L6850" i="14"/>
  <c r="L6838" i="14"/>
  <c r="L6826" i="14"/>
  <c r="L6814" i="14"/>
  <c r="L6802" i="14"/>
  <c r="L6790" i="14"/>
  <c r="L6778" i="14"/>
  <c r="L6766" i="14"/>
  <c r="L6754" i="14"/>
  <c r="L6742" i="14"/>
  <c r="L6730" i="14"/>
  <c r="L6718" i="14"/>
  <c r="L6706" i="14"/>
  <c r="L6694" i="14"/>
  <c r="L6682" i="14"/>
  <c r="L6670" i="14"/>
  <c r="L6658" i="14"/>
  <c r="L6646" i="14"/>
  <c r="L6634" i="14"/>
  <c r="L6622" i="14"/>
  <c r="L6610" i="14"/>
  <c r="L6598" i="14"/>
  <c r="L6586" i="14"/>
  <c r="L6574" i="14"/>
  <c r="L6562" i="14"/>
  <c r="L6550" i="14"/>
  <c r="L6538" i="14"/>
  <c r="L6526" i="14"/>
  <c r="L6514" i="14"/>
  <c r="L6502" i="14"/>
  <c r="L6490" i="14"/>
  <c r="L6478" i="14"/>
  <c r="L6466" i="14"/>
  <c r="L6454" i="14"/>
  <c r="L6442" i="14"/>
  <c r="L6430" i="14"/>
  <c r="L6418" i="14"/>
  <c r="L6406" i="14"/>
  <c r="L6394" i="14"/>
  <c r="L6382" i="14"/>
  <c r="L6370" i="14"/>
  <c r="L6358" i="14"/>
  <c r="L6346" i="14"/>
  <c r="L6334" i="14"/>
  <c r="L6322" i="14"/>
  <c r="L6310" i="14"/>
  <c r="L6298" i="14"/>
  <c r="L6286" i="14"/>
  <c r="L6274" i="14"/>
  <c r="L6262" i="14"/>
  <c r="L6250" i="14"/>
  <c r="L6238" i="14"/>
  <c r="L6226" i="14"/>
  <c r="L6214" i="14"/>
  <c r="L6202" i="14"/>
  <c r="L6190" i="14"/>
  <c r="L6178" i="14"/>
  <c r="L6166" i="14"/>
  <c r="L6154" i="14"/>
  <c r="L7173" i="14"/>
  <c r="L7161" i="14"/>
  <c r="L7149" i="14"/>
  <c r="L7137" i="14"/>
  <c r="L7125" i="14"/>
  <c r="L7113" i="14"/>
  <c r="L7101" i="14"/>
  <c r="L7089" i="14"/>
  <c r="L7077" i="14"/>
  <c r="L7065" i="14"/>
  <c r="L7053" i="14"/>
  <c r="L7041" i="14"/>
  <c r="L7029" i="14"/>
  <c r="L7017" i="14"/>
  <c r="L7005" i="14"/>
  <c r="L6993" i="14"/>
  <c r="L6981" i="14"/>
  <c r="L6969" i="14"/>
  <c r="L6957" i="14"/>
  <c r="L6945" i="14"/>
  <c r="L6933" i="14"/>
  <c r="L6921" i="14"/>
  <c r="L6909" i="14"/>
  <c r="L6897" i="14"/>
  <c r="L6885" i="14"/>
  <c r="L6873" i="14"/>
  <c r="L6861" i="14"/>
  <c r="L6849" i="14"/>
  <c r="L6837" i="14"/>
  <c r="L6825" i="14"/>
  <c r="L6813" i="14"/>
  <c r="L6801" i="14"/>
  <c r="L6789" i="14"/>
  <c r="L6777" i="14"/>
  <c r="L6765" i="14"/>
  <c r="L6753" i="14"/>
  <c r="L6741" i="14"/>
  <c r="L6729" i="14"/>
  <c r="L6717" i="14"/>
  <c r="L6705" i="14"/>
  <c r="L6693" i="14"/>
  <c r="L6681" i="14"/>
  <c r="L6669" i="14"/>
  <c r="L6657" i="14"/>
  <c r="L6645" i="14"/>
  <c r="L6633" i="14"/>
  <c r="L6621" i="14"/>
  <c r="L6609" i="14"/>
  <c r="L6597" i="14"/>
  <c r="L6585" i="14"/>
  <c r="L6573" i="14"/>
  <c r="L6561" i="14"/>
  <c r="L6549" i="14"/>
  <c r="L6537" i="14"/>
  <c r="L6525" i="14"/>
  <c r="L6513" i="14"/>
  <c r="L6501" i="14"/>
  <c r="L6489" i="14"/>
  <c r="L6477" i="14"/>
  <c r="L6465" i="14"/>
  <c r="L6453" i="14"/>
  <c r="L6441" i="14"/>
  <c r="L6429" i="14"/>
  <c r="L6417" i="14"/>
  <c r="L6405" i="14"/>
  <c r="L6393" i="14"/>
  <c r="L6381" i="14"/>
  <c r="L6369" i="14"/>
  <c r="L6357" i="14"/>
  <c r="L6345" i="14"/>
  <c r="L6333" i="14"/>
  <c r="L6321" i="14"/>
  <c r="L6309" i="14"/>
  <c r="L6297" i="14"/>
  <c r="L6285" i="14"/>
  <c r="L6273" i="14"/>
  <c r="L6261" i="14"/>
  <c r="L6249" i="14"/>
  <c r="L6237" i="14"/>
  <c r="L6225" i="14"/>
  <c r="L6213" i="14"/>
  <c r="L6201" i="14"/>
  <c r="L6189" i="14"/>
  <c r="L6177" i="14"/>
  <c r="L6165" i="14"/>
  <c r="L6153" i="14"/>
  <c r="L7172" i="14"/>
  <c r="L7160" i="14"/>
  <c r="L7148" i="14"/>
  <c r="L7136" i="14"/>
  <c r="L7124" i="14"/>
  <c r="L7112" i="14"/>
  <c r="L7100" i="14"/>
  <c r="L7088" i="14"/>
  <c r="L7076" i="14"/>
  <c r="L7064" i="14"/>
  <c r="L7052" i="14"/>
  <c r="L7040" i="14"/>
  <c r="L7028" i="14"/>
  <c r="L7016" i="14"/>
  <c r="L7004" i="14"/>
  <c r="L6992" i="14"/>
  <c r="L6980" i="14"/>
  <c r="L6968" i="14"/>
  <c r="L6956" i="14"/>
  <c r="L6944" i="14"/>
  <c r="L6932" i="14"/>
  <c r="L6920" i="14"/>
  <c r="L6908" i="14"/>
  <c r="L6896" i="14"/>
  <c r="L6884" i="14"/>
  <c r="L6872" i="14"/>
  <c r="L6860" i="14"/>
  <c r="L6848" i="14"/>
  <c r="L6836" i="14"/>
  <c r="L6824" i="14"/>
  <c r="L6812" i="14"/>
  <c r="L6800" i="14"/>
  <c r="L6788" i="14"/>
  <c r="L6776" i="14"/>
  <c r="L7171" i="14"/>
  <c r="L7159" i="14"/>
  <c r="L7147" i="14"/>
  <c r="L7135" i="14"/>
  <c r="L7123" i="14"/>
  <c r="L7111" i="14"/>
  <c r="L7099" i="14"/>
  <c r="L7087" i="14"/>
  <c r="L7075" i="14"/>
  <c r="L7063" i="14"/>
  <c r="L7051" i="14"/>
  <c r="L7039" i="14"/>
  <c r="L7027" i="14"/>
  <c r="L7015" i="14"/>
  <c r="L7003" i="14"/>
  <c r="L6991" i="14"/>
  <c r="L6979" i="14"/>
  <c r="L6967" i="14"/>
  <c r="L6955" i="14"/>
  <c r="L6943" i="14"/>
  <c r="L6931" i="14"/>
  <c r="L6919" i="14"/>
  <c r="L6907" i="14"/>
  <c r="L6895" i="14"/>
  <c r="L6883" i="14"/>
  <c r="L6871" i="14"/>
  <c r="L6859" i="14"/>
  <c r="L6847" i="14"/>
  <c r="L6835" i="14"/>
  <c r="L6823" i="14"/>
  <c r="L6811" i="14"/>
  <c r="L6799" i="14"/>
  <c r="L6787" i="14"/>
  <c r="L6775" i="14"/>
  <c r="L6763" i="14"/>
  <c r="L6751" i="14"/>
  <c r="L6739" i="14"/>
  <c r="L6727" i="14"/>
  <c r="L6715" i="14"/>
  <c r="L6703" i="14"/>
  <c r="L6691" i="14"/>
  <c r="L6679" i="14"/>
  <c r="L6667" i="14"/>
  <c r="L6655" i="14"/>
  <c r="L6643" i="14"/>
  <c r="L6631" i="14"/>
  <c r="L6619" i="14"/>
  <c r="L6607" i="14"/>
  <c r="L6595" i="14"/>
  <c r="L6583" i="14"/>
  <c r="L6571" i="14"/>
  <c r="L6559" i="14"/>
  <c r="L6547" i="14"/>
  <c r="L6535" i="14"/>
  <c r="L6523" i="14"/>
  <c r="L6511" i="14"/>
  <c r="L6499" i="14"/>
  <c r="L6487" i="14"/>
  <c r="L6475" i="14"/>
  <c r="L6463" i="14"/>
  <c r="L6451" i="14"/>
  <c r="L6439" i="14"/>
  <c r="L6427" i="14"/>
  <c r="L6415" i="14"/>
  <c r="L6403" i="14"/>
  <c r="L6391" i="14"/>
  <c r="L6379" i="14"/>
  <c r="L6367" i="14"/>
  <c r="L6355" i="14"/>
  <c r="L6343" i="14"/>
  <c r="L6331" i="14"/>
  <c r="L6319" i="14"/>
  <c r="L6307" i="14"/>
  <c r="L6295" i="14"/>
  <c r="L6283" i="14"/>
  <c r="L7168" i="14"/>
  <c r="L7156" i="14"/>
  <c r="L7144" i="14"/>
  <c r="L7132" i="14"/>
  <c r="L7120" i="14"/>
  <c r="L7108" i="14"/>
  <c r="L7096" i="14"/>
  <c r="L7084" i="14"/>
  <c r="L7072" i="14"/>
  <c r="L7060" i="14"/>
  <c r="L7048" i="14"/>
  <c r="L7036" i="14"/>
  <c r="L7024" i="14"/>
  <c r="L7012" i="14"/>
  <c r="L7000" i="14"/>
  <c r="L6988" i="14"/>
  <c r="L6976" i="14"/>
  <c r="L6964" i="14"/>
  <c r="L6952" i="14"/>
  <c r="L6940" i="14"/>
  <c r="L6928" i="14"/>
  <c r="L6916" i="14"/>
  <c r="L6904" i="14"/>
  <c r="L6892" i="14"/>
  <c r="L6880" i="14"/>
  <c r="L6868" i="14"/>
  <c r="L6856" i="14"/>
  <c r="L6844" i="14"/>
  <c r="L6832" i="14"/>
  <c r="L6820" i="14"/>
  <c r="L6808" i="14"/>
  <c r="L6796" i="14"/>
  <c r="L6784" i="14"/>
  <c r="L6772" i="14"/>
  <c r="L6760" i="14"/>
  <c r="L6748" i="14"/>
  <c r="L6736" i="14"/>
  <c r="L6724" i="14"/>
  <c r="L6712" i="14"/>
  <c r="L6700" i="14"/>
  <c r="L6688" i="14"/>
  <c r="L6676" i="14"/>
  <c r="L6664" i="14"/>
  <c r="L6652" i="14"/>
  <c r="L6640" i="14"/>
  <c r="L6628" i="14"/>
  <c r="L6616" i="14"/>
  <c r="L6604" i="14"/>
  <c r="L6592" i="14"/>
  <c r="L6580" i="14"/>
  <c r="L6568" i="14"/>
  <c r="L6556" i="14"/>
  <c r="L6544" i="14"/>
  <c r="L6532" i="14"/>
  <c r="L6520" i="14"/>
  <c r="L6508" i="14"/>
  <c r="L6496" i="14"/>
  <c r="L6484" i="14"/>
  <c r="L6472" i="14"/>
  <c r="L6460" i="14"/>
  <c r="L6448" i="14"/>
  <c r="L6436" i="14"/>
  <c r="L6424" i="14"/>
  <c r="L6412" i="14"/>
  <c r="L6400" i="14"/>
  <c r="L6388" i="14"/>
  <c r="L6376" i="14"/>
  <c r="L6364" i="14"/>
  <c r="L6352" i="14"/>
  <c r="L6340" i="14"/>
  <c r="L6328" i="14"/>
  <c r="L6316" i="14"/>
  <c r="L6304" i="14"/>
  <c r="L6292" i="14"/>
  <c r="L6280" i="14"/>
  <c r="L6268" i="14"/>
  <c r="L6256" i="14"/>
  <c r="L6244" i="14"/>
  <c r="L6232" i="14"/>
  <c r="L6220" i="14"/>
  <c r="L6208" i="14"/>
  <c r="L6196" i="14"/>
  <c r="L6184" i="14"/>
  <c r="L6172" i="14"/>
  <c r="L6160" i="14"/>
  <c r="L6148" i="14"/>
  <c r="L7153" i="14"/>
  <c r="L7129" i="14"/>
  <c r="L7105" i="14"/>
  <c r="L7081" i="14"/>
  <c r="L7057" i="14"/>
  <c r="L7033" i="14"/>
  <c r="L7009" i="14"/>
  <c r="L6985" i="14"/>
  <c r="L6961" i="14"/>
  <c r="L6937" i="14"/>
  <c r="L6913" i="14"/>
  <c r="L6889" i="14"/>
  <c r="L6865" i="14"/>
  <c r="L6841" i="14"/>
  <c r="L6817" i="14"/>
  <c r="L6793" i="14"/>
  <c r="L6769" i="14"/>
  <c r="L6747" i="14"/>
  <c r="L6726" i="14"/>
  <c r="L6707" i="14"/>
  <c r="L6686" i="14"/>
  <c r="L6665" i="14"/>
  <c r="L6644" i="14"/>
  <c r="L6625" i="14"/>
  <c r="L6603" i="14"/>
  <c r="L6582" i="14"/>
  <c r="L6563" i="14"/>
  <c r="L6542" i="14"/>
  <c r="L6521" i="14"/>
  <c r="L6500" i="14"/>
  <c r="L6481" i="14"/>
  <c r="L6459" i="14"/>
  <c r="L6438" i="14"/>
  <c r="L6419" i="14"/>
  <c r="L6398" i="14"/>
  <c r="L6377" i="14"/>
  <c r="L6356" i="14"/>
  <c r="L6337" i="14"/>
  <c r="L6315" i="14"/>
  <c r="L6294" i="14"/>
  <c r="L6275" i="14"/>
  <c r="L6257" i="14"/>
  <c r="L6239" i="14"/>
  <c r="L6221" i="14"/>
  <c r="L6203" i="14"/>
  <c r="L6185" i="14"/>
  <c r="L6167" i="14"/>
  <c r="L6149" i="14"/>
  <c r="L6136" i="14"/>
  <c r="L6124" i="14"/>
  <c r="L6112" i="14"/>
  <c r="L6100" i="14"/>
  <c r="L6088" i="14"/>
  <c r="L6076" i="14"/>
  <c r="L6064" i="14"/>
  <c r="L7175" i="14"/>
  <c r="L7151" i="14"/>
  <c r="L7127" i="14"/>
  <c r="L7103" i="14"/>
  <c r="L7079" i="14"/>
  <c r="L7055" i="14"/>
  <c r="L7031" i="14"/>
  <c r="L7007" i="14"/>
  <c r="L6983" i="14"/>
  <c r="L6959" i="14"/>
  <c r="L6935" i="14"/>
  <c r="L6911" i="14"/>
  <c r="L6887" i="14"/>
  <c r="L6863" i="14"/>
  <c r="L6839" i="14"/>
  <c r="L6815" i="14"/>
  <c r="L6791" i="14"/>
  <c r="L6767" i="14"/>
  <c r="L6746" i="14"/>
  <c r="L6725" i="14"/>
  <c r="L6704" i="14"/>
  <c r="L6685" i="14"/>
  <c r="L6663" i="14"/>
  <c r="L6642" i="14"/>
  <c r="L6623" i="14"/>
  <c r="L6602" i="14"/>
  <c r="L6581" i="14"/>
  <c r="L6560" i="14"/>
  <c r="L6541" i="14"/>
  <c r="L6519" i="14"/>
  <c r="L6498" i="14"/>
  <c r="L6479" i="14"/>
  <c r="L6458" i="14"/>
  <c r="L6437" i="14"/>
  <c r="L6416" i="14"/>
  <c r="L6397" i="14"/>
  <c r="L7169" i="14"/>
  <c r="L7145" i="14"/>
  <c r="L7121" i="14"/>
  <c r="L7097" i="14"/>
  <c r="L7073" i="14"/>
  <c r="L7049" i="14"/>
  <c r="L7025" i="14"/>
  <c r="L7001" i="14"/>
  <c r="L6977" i="14"/>
  <c r="L6953" i="14"/>
  <c r="L6929" i="14"/>
  <c r="L6905" i="14"/>
  <c r="L6881" i="14"/>
  <c r="L6857" i="14"/>
  <c r="L6833" i="14"/>
  <c r="L6809" i="14"/>
  <c r="L6785" i="14"/>
  <c r="L6762" i="14"/>
  <c r="L6743" i="14"/>
  <c r="L6722" i="14"/>
  <c r="L6701" i="14"/>
  <c r="L6680" i="14"/>
  <c r="L6661" i="14"/>
  <c r="L6639" i="14"/>
  <c r="L6618" i="14"/>
  <c r="L6599" i="14"/>
  <c r="L6578" i="14"/>
  <c r="L6557" i="14"/>
  <c r="L6536" i="14"/>
  <c r="L6517" i="14"/>
  <c r="L6495" i="14"/>
  <c r="L6474" i="14"/>
  <c r="L6455" i="14"/>
  <c r="L6434" i="14"/>
  <c r="L6413" i="14"/>
  <c r="L6392" i="14"/>
  <c r="L7167" i="14"/>
  <c r="L7143" i="14"/>
  <c r="L7119" i="14"/>
  <c r="L7095" i="14"/>
  <c r="L7071" i="14"/>
  <c r="L7047" i="14"/>
  <c r="L7023" i="14"/>
  <c r="L6999" i="14"/>
  <c r="L6975" i="14"/>
  <c r="L6951" i="14"/>
  <c r="L6927" i="14"/>
  <c r="L6903" i="14"/>
  <c r="L6879" i="14"/>
  <c r="L6855" i="14"/>
  <c r="L6831" i="14"/>
  <c r="L6807" i="14"/>
  <c r="L6783" i="14"/>
  <c r="L6761" i="14"/>
  <c r="L6740" i="14"/>
  <c r="L6721" i="14"/>
  <c r="L6699" i="14"/>
  <c r="L6678" i="14"/>
  <c r="L6659" i="14"/>
  <c r="L6638" i="14"/>
  <c r="L6617" i="14"/>
  <c r="L6596" i="14"/>
  <c r="L6577" i="14"/>
  <c r="L6555" i="14"/>
  <c r="L6534" i="14"/>
  <c r="L6515" i="14"/>
  <c r="L6494" i="14"/>
  <c r="L6473" i="14"/>
  <c r="L6452" i="14"/>
  <c r="L6433" i="14"/>
  <c r="L6411" i="14"/>
  <c r="L6390" i="14"/>
  <c r="L7165" i="14"/>
  <c r="L7141" i="14"/>
  <c r="L7117" i="14"/>
  <c r="L7093" i="14"/>
  <c r="L7069" i="14"/>
  <c r="L7045" i="14"/>
  <c r="L7021" i="14"/>
  <c r="L6997" i="14"/>
  <c r="L6973" i="14"/>
  <c r="L6949" i="14"/>
  <c r="L6925" i="14"/>
  <c r="L6901" i="14"/>
  <c r="L6877" i="14"/>
  <c r="L6853" i="14"/>
  <c r="L6829" i="14"/>
  <c r="L6805" i="14"/>
  <c r="L6781" i="14"/>
  <c r="L6758" i="14"/>
  <c r="L6737" i="14"/>
  <c r="L6716" i="14"/>
  <c r="L6697" i="14"/>
  <c r="L6675" i="14"/>
  <c r="L6654" i="14"/>
  <c r="L6635" i="14"/>
  <c r="L6614" i="14"/>
  <c r="L6593" i="14"/>
  <c r="L6572" i="14"/>
  <c r="L6553" i="14"/>
  <c r="L6531" i="14"/>
  <c r="L6510" i="14"/>
  <c r="L6491" i="14"/>
  <c r="L6470" i="14"/>
  <c r="L6449" i="14"/>
  <c r="L6428" i="14"/>
  <c r="L6409" i="14"/>
  <c r="L6387" i="14"/>
  <c r="L6366" i="14"/>
  <c r="L6347" i="14"/>
  <c r="L6326" i="14"/>
  <c r="L6305" i="14"/>
  <c r="L6284" i="14"/>
  <c r="L6266" i="14"/>
  <c r="L6247" i="14"/>
  <c r="L6230" i="14"/>
  <c r="L6211" i="14"/>
  <c r="L6194" i="14"/>
  <c r="L6175" i="14"/>
  <c r="L6158" i="14"/>
  <c r="L6142" i="14"/>
  <c r="L6130" i="14"/>
  <c r="L6118" i="14"/>
  <c r="L6106" i="14"/>
  <c r="L6094" i="14"/>
  <c r="L6082" i="14"/>
  <c r="L6070" i="14"/>
  <c r="L6058" i="14"/>
  <c r="L7163" i="14"/>
  <c r="L7122" i="14"/>
  <c r="L7083" i="14"/>
  <c r="L7038" i="14"/>
  <c r="L6998" i="14"/>
  <c r="L6962" i="14"/>
  <c r="L6917" i="14"/>
  <c r="L6875" i="14"/>
  <c r="L6834" i="14"/>
  <c r="L6795" i="14"/>
  <c r="L6755" i="14"/>
  <c r="L6719" i="14"/>
  <c r="L6687" i="14"/>
  <c r="L6650" i="14"/>
  <c r="L6613" i="14"/>
  <c r="L6579" i="14"/>
  <c r="L6545" i="14"/>
  <c r="L6507" i="14"/>
  <c r="L6471" i="14"/>
  <c r="L6440" i="14"/>
  <c r="L6402" i="14"/>
  <c r="L6373" i="14"/>
  <c r="L6349" i="14"/>
  <c r="L6323" i="14"/>
  <c r="L6299" i="14"/>
  <c r="L6272" i="14"/>
  <c r="L6253" i="14"/>
  <c r="L6231" i="14"/>
  <c r="L6209" i="14"/>
  <c r="L6187" i="14"/>
  <c r="L6164" i="14"/>
  <c r="L6145" i="14"/>
  <c r="L6131" i="14"/>
  <c r="L6116" i="14"/>
  <c r="L6102" i="14"/>
  <c r="L6087" i="14"/>
  <c r="L6073" i="14"/>
  <c r="L6059" i="14"/>
  <c r="L6046" i="14"/>
  <c r="L6034" i="14"/>
  <c r="L6022" i="14"/>
  <c r="L6010" i="14"/>
  <c r="L5998" i="14"/>
  <c r="L5986" i="14"/>
  <c r="L5974" i="14"/>
  <c r="L5962" i="14"/>
  <c r="L5950" i="14"/>
  <c r="L5938" i="14"/>
  <c r="L5926" i="14"/>
  <c r="L5914" i="14"/>
  <c r="L5902" i="14"/>
  <c r="L5890" i="14"/>
  <c r="L5878" i="14"/>
  <c r="L5866" i="14"/>
  <c r="L5854" i="14"/>
  <c r="L5842" i="14"/>
  <c r="L5830" i="14"/>
  <c r="L5818" i="14"/>
  <c r="L5806" i="14"/>
  <c r="L5794" i="14"/>
  <c r="L5782" i="14"/>
  <c r="L5770" i="14"/>
  <c r="L5758" i="14"/>
  <c r="L5746" i="14"/>
  <c r="L5734" i="14"/>
  <c r="L5722" i="14"/>
  <c r="L5710" i="14"/>
  <c r="L5698" i="14"/>
  <c r="L5686" i="14"/>
  <c r="L5674" i="14"/>
  <c r="L5662" i="14"/>
  <c r="L5650" i="14"/>
  <c r="L5638" i="14"/>
  <c r="L5626" i="14"/>
  <c r="L5614" i="14"/>
  <c r="L5602" i="14"/>
  <c r="L5590" i="14"/>
  <c r="L5578" i="14"/>
  <c r="L5566" i="14"/>
  <c r="L5554" i="14"/>
  <c r="L5542" i="14"/>
  <c r="L5530" i="14"/>
  <c r="L5518" i="14"/>
  <c r="L5506" i="14"/>
  <c r="L5494" i="14"/>
  <c r="L5482" i="14"/>
  <c r="L5470" i="14"/>
  <c r="L5458" i="14"/>
  <c r="L5446" i="14"/>
  <c r="L5434" i="14"/>
  <c r="L5422" i="14"/>
  <c r="L5410" i="14"/>
  <c r="L5398" i="14"/>
  <c r="L5386" i="14"/>
  <c r="L5374" i="14"/>
  <c r="L5362" i="14"/>
  <c r="L5350" i="14"/>
  <c r="L5338" i="14"/>
  <c r="L5326" i="14"/>
  <c r="L5314" i="14"/>
  <c r="L5302" i="14"/>
  <c r="L5290" i="14"/>
  <c r="L5278" i="14"/>
  <c r="L5266" i="14"/>
  <c r="L5254" i="14"/>
  <c r="L5242" i="14"/>
  <c r="L5230" i="14"/>
  <c r="L5218" i="14"/>
  <c r="L5206" i="14"/>
  <c r="L5194" i="14"/>
  <c r="L5182" i="14"/>
  <c r="L5170" i="14"/>
  <c r="L5158" i="14"/>
  <c r="L5146" i="14"/>
  <c r="L5134" i="14"/>
  <c r="L5122" i="14"/>
  <c r="L5110" i="14"/>
  <c r="L5098" i="14"/>
  <c r="L5086" i="14"/>
  <c r="L5074" i="14"/>
  <c r="L5062" i="14"/>
  <c r="L5050" i="14"/>
  <c r="L5038" i="14"/>
  <c r="L5026" i="14"/>
  <c r="L5014" i="14"/>
  <c r="L5002" i="14"/>
  <c r="L4990" i="14"/>
  <c r="L4978" i="14"/>
  <c r="L4966" i="14"/>
  <c r="L4954" i="14"/>
  <c r="L4942" i="14"/>
  <c r="L4930" i="14"/>
  <c r="L4918" i="14"/>
  <c r="L4906" i="14"/>
  <c r="L4894" i="14"/>
  <c r="L4882" i="14"/>
  <c r="L4870" i="14"/>
  <c r="L4858" i="14"/>
  <c r="L4846" i="14"/>
  <c r="L4834" i="14"/>
  <c r="L4822" i="14"/>
  <c r="L4810" i="14"/>
  <c r="L4798" i="14"/>
  <c r="L4786" i="14"/>
  <c r="L4774" i="14"/>
  <c r="L4762" i="14"/>
  <c r="L4750" i="14"/>
  <c r="L4738" i="14"/>
  <c r="L4726" i="14"/>
  <c r="L4714" i="14"/>
  <c r="L4702" i="14"/>
  <c r="L4690" i="14"/>
  <c r="L4678" i="14"/>
  <c r="L4666" i="14"/>
  <c r="L4654" i="14"/>
  <c r="L4642" i="14"/>
  <c r="L4630" i="14"/>
  <c r="L4618" i="14"/>
  <c r="L4606" i="14"/>
  <c r="L4594" i="14"/>
  <c r="L4582" i="14"/>
  <c r="L4570" i="14"/>
  <c r="L4558" i="14"/>
  <c r="L4546" i="14"/>
  <c r="L4534" i="14"/>
  <c r="L4522" i="14"/>
  <c r="L4510" i="14"/>
  <c r="L4498" i="14"/>
  <c r="L4486" i="14"/>
  <c r="L4474" i="14"/>
  <c r="L7158" i="14"/>
  <c r="L7118" i="14"/>
  <c r="L7082" i="14"/>
  <c r="L7037" i="14"/>
  <c r="L6995" i="14"/>
  <c r="L6954" i="14"/>
  <c r="L6915" i="14"/>
  <c r="L6870" i="14"/>
  <c r="L6830" i="14"/>
  <c r="L6794" i="14"/>
  <c r="L6752" i="14"/>
  <c r="L6714" i="14"/>
  <c r="L6683" i="14"/>
  <c r="L6649" i="14"/>
  <c r="L6611" i="14"/>
  <c r="L6575" i="14"/>
  <c r="L6543" i="14"/>
  <c r="L6506" i="14"/>
  <c r="L6469" i="14"/>
  <c r="L6435" i="14"/>
  <c r="L6401" i="14"/>
  <c r="L6371" i="14"/>
  <c r="L6344" i="14"/>
  <c r="L6320" i="14"/>
  <c r="L6296" i="14"/>
  <c r="L6271" i="14"/>
  <c r="L6251" i="14"/>
  <c r="L6229" i="14"/>
  <c r="L6207" i="14"/>
  <c r="L6186" i="14"/>
  <c r="L6163" i="14"/>
  <c r="L6144" i="14"/>
  <c r="L6129" i="14"/>
  <c r="L6115" i="14"/>
  <c r="L6101" i="14"/>
  <c r="L6086" i="14"/>
  <c r="L6072" i="14"/>
  <c r="L6057" i="14"/>
  <c r="L6045" i="14"/>
  <c r="L6033" i="14"/>
  <c r="L6021" i="14"/>
  <c r="L6009" i="14"/>
  <c r="L5997" i="14"/>
  <c r="L5985" i="14"/>
  <c r="L5973" i="14"/>
  <c r="L5961" i="14"/>
  <c r="L5949" i="14"/>
  <c r="L5937" i="14"/>
  <c r="L5925" i="14"/>
  <c r="L5913" i="14"/>
  <c r="L5901" i="14"/>
  <c r="L5889" i="14"/>
  <c r="L5877" i="14"/>
  <c r="L5865" i="14"/>
  <c r="L5853" i="14"/>
  <c r="L5841" i="14"/>
  <c r="L5829" i="14"/>
  <c r="L5817" i="14"/>
  <c r="L5805" i="14"/>
  <c r="L5793" i="14"/>
  <c r="L5781" i="14"/>
  <c r="L5769" i="14"/>
  <c r="L5757" i="14"/>
  <c r="L5745" i="14"/>
  <c r="L5733" i="14"/>
  <c r="L5721" i="14"/>
  <c r="L5709" i="14"/>
  <c r="L5697" i="14"/>
  <c r="L5685" i="14"/>
  <c r="L5673" i="14"/>
  <c r="L5661" i="14"/>
  <c r="L5649" i="14"/>
  <c r="L5637" i="14"/>
  <c r="L5625" i="14"/>
  <c r="L5613" i="14"/>
  <c r="L5601" i="14"/>
  <c r="L5589" i="14"/>
  <c r="L5577" i="14"/>
  <c r="L5565" i="14"/>
  <c r="L5553" i="14"/>
  <c r="L5541" i="14"/>
  <c r="L5529" i="14"/>
  <c r="L5517" i="14"/>
  <c r="L5505" i="14"/>
  <c r="L5493" i="14"/>
  <c r="L5481" i="14"/>
  <c r="L5469" i="14"/>
  <c r="L5457" i="14"/>
  <c r="L5445" i="14"/>
  <c r="L5433" i="14"/>
  <c r="L5421" i="14"/>
  <c r="L5409" i="14"/>
  <c r="L5397" i="14"/>
  <c r="L5385" i="14"/>
  <c r="L5373" i="14"/>
  <c r="L5361" i="14"/>
  <c r="L5349" i="14"/>
  <c r="L5337" i="14"/>
  <c r="L5325" i="14"/>
  <c r="L5313" i="14"/>
  <c r="L5301" i="14"/>
  <c r="L5289" i="14"/>
  <c r="L5277" i="14"/>
  <c r="L5265" i="14"/>
  <c r="L5253" i="14"/>
  <c r="L5241" i="14"/>
  <c r="L5229" i="14"/>
  <c r="L5217" i="14"/>
  <c r="L5205" i="14"/>
  <c r="L5193" i="14"/>
  <c r="L5181" i="14"/>
  <c r="L5169" i="14"/>
  <c r="L5157" i="14"/>
  <c r="L5145" i="14"/>
  <c r="L5133" i="14"/>
  <c r="L5121" i="14"/>
  <c r="L5109" i="14"/>
  <c r="L5097" i="14"/>
  <c r="L5085" i="14"/>
  <c r="L5073" i="14"/>
  <c r="L5061" i="14"/>
  <c r="L5049" i="14"/>
  <c r="L5037" i="14"/>
  <c r="L5025" i="14"/>
  <c r="L5013" i="14"/>
  <c r="L5001" i="14"/>
  <c r="L4989" i="14"/>
  <c r="L4977" i="14"/>
  <c r="L4965" i="14"/>
  <c r="L4953" i="14"/>
  <c r="L4941" i="14"/>
  <c r="L4929" i="14"/>
  <c r="L4917" i="14"/>
  <c r="L4905" i="14"/>
  <c r="L4893" i="14"/>
  <c r="L4881" i="14"/>
  <c r="L4869" i="14"/>
  <c r="L4857" i="14"/>
  <c r="L4845" i="14"/>
  <c r="L4833" i="14"/>
  <c r="L4821" i="14"/>
  <c r="L4809" i="14"/>
  <c r="L4797" i="14"/>
  <c r="L4785" i="14"/>
  <c r="L4773" i="14"/>
  <c r="L4761" i="14"/>
  <c r="L4749" i="14"/>
  <c r="L4737" i="14"/>
  <c r="L4725" i="14"/>
  <c r="L4713" i="14"/>
  <c r="L4701" i="14"/>
  <c r="L4689" i="14"/>
  <c r="L4677" i="14"/>
  <c r="L4665" i="14"/>
  <c r="L4653" i="14"/>
  <c r="L4641" i="14"/>
  <c r="L4629" i="14"/>
  <c r="L4617" i="14"/>
  <c r="L4605" i="14"/>
  <c r="L7155" i="14"/>
  <c r="L7110" i="14"/>
  <c r="L7070" i="14"/>
  <c r="L7034" i="14"/>
  <c r="L6989" i="14"/>
  <c r="L6947" i="14"/>
  <c r="L6906" i="14"/>
  <c r="L6867" i="14"/>
  <c r="L6822" i="14"/>
  <c r="L6782" i="14"/>
  <c r="L6749" i="14"/>
  <c r="L6711" i="14"/>
  <c r="L6674" i="14"/>
  <c r="L6641" i="14"/>
  <c r="L6606" i="14"/>
  <c r="L6569" i="14"/>
  <c r="L6533" i="14"/>
  <c r="L6503" i="14"/>
  <c r="L6464" i="14"/>
  <c r="L6426" i="14"/>
  <c r="L6395" i="14"/>
  <c r="L6365" i="14"/>
  <c r="L6341" i="14"/>
  <c r="L6317" i="14"/>
  <c r="L6291" i="14"/>
  <c r="L6269" i="14"/>
  <c r="L6246" i="14"/>
  <c r="L6224" i="14"/>
  <c r="L6205" i="14"/>
  <c r="L6182" i="14"/>
  <c r="L6161" i="14"/>
  <c r="L6141" i="14"/>
  <c r="L6127" i="14"/>
  <c r="L6113" i="14"/>
  <c r="L6098" i="14"/>
  <c r="L6084" i="14"/>
  <c r="L6069" i="14"/>
  <c r="L6055" i="14"/>
  <c r="L6043" i="14"/>
  <c r="L6031" i="14"/>
  <c r="L6019" i="14"/>
  <c r="L6007" i="14"/>
  <c r="L5995" i="14"/>
  <c r="L5983" i="14"/>
  <c r="L5971" i="14"/>
  <c r="L5959" i="14"/>
  <c r="L5947" i="14"/>
  <c r="L5935" i="14"/>
  <c r="L5923" i="14"/>
  <c r="L5911" i="14"/>
  <c r="L5899" i="14"/>
  <c r="L5887" i="14"/>
  <c r="L5875" i="14"/>
  <c r="L5863" i="14"/>
  <c r="L5851" i="14"/>
  <c r="L5839" i="14"/>
  <c r="L5827" i="14"/>
  <c r="L5815" i="14"/>
  <c r="L5803" i="14"/>
  <c r="L5791" i="14"/>
  <c r="L5779" i="14"/>
  <c r="L5767" i="14"/>
  <c r="L5755" i="14"/>
  <c r="L5743" i="14"/>
  <c r="L5731" i="14"/>
  <c r="L5719" i="14"/>
  <c r="L5707" i="14"/>
  <c r="L5695" i="14"/>
  <c r="L5683" i="14"/>
  <c r="L5671" i="14"/>
  <c r="L5659" i="14"/>
  <c r="L5647" i="14"/>
  <c r="L5635" i="14"/>
  <c r="L5623" i="14"/>
  <c r="L5611" i="14"/>
  <c r="L5599" i="14"/>
  <c r="L5587" i="14"/>
  <c r="L5575" i="14"/>
  <c r="L5563" i="14"/>
  <c r="L5551" i="14"/>
  <c r="L5539" i="14"/>
  <c r="L5527" i="14"/>
  <c r="L5515" i="14"/>
  <c r="L5503" i="14"/>
  <c r="L5491" i="14"/>
  <c r="L5479" i="14"/>
  <c r="L5467" i="14"/>
  <c r="L5455" i="14"/>
  <c r="L5443" i="14"/>
  <c r="L5431" i="14"/>
  <c r="L5419" i="14"/>
  <c r="L5407" i="14"/>
  <c r="L5395" i="14"/>
  <c r="L5383" i="14"/>
  <c r="L5371" i="14"/>
  <c r="L5359" i="14"/>
  <c r="L5347" i="14"/>
  <c r="L5335" i="14"/>
  <c r="L5323" i="14"/>
  <c r="L5311" i="14"/>
  <c r="L5299" i="14"/>
  <c r="L5287" i="14"/>
  <c r="L5275" i="14"/>
  <c r="L5263" i="14"/>
  <c r="L5251" i="14"/>
  <c r="L5239" i="14"/>
  <c r="L5227" i="14"/>
  <c r="L5215" i="14"/>
  <c r="L5203" i="14"/>
  <c r="L5191" i="14"/>
  <c r="L5179" i="14"/>
  <c r="L5167" i="14"/>
  <c r="L5155" i="14"/>
  <c r="L5143" i="14"/>
  <c r="L5131" i="14"/>
  <c r="L5119" i="14"/>
  <c r="L5107" i="14"/>
  <c r="L5095" i="14"/>
  <c r="L5083" i="14"/>
  <c r="L5071" i="14"/>
  <c r="L5059" i="14"/>
  <c r="L5047" i="14"/>
  <c r="L5035" i="14"/>
  <c r="L5023" i="14"/>
  <c r="L5011" i="14"/>
  <c r="L4999" i="14"/>
  <c r="L4987" i="14"/>
  <c r="L4975" i="14"/>
  <c r="L4963" i="14"/>
  <c r="L4951" i="14"/>
  <c r="L4939" i="14"/>
  <c r="L4927" i="14"/>
  <c r="L4915" i="14"/>
  <c r="L4903" i="14"/>
  <c r="L4891" i="14"/>
  <c r="L4879" i="14"/>
  <c r="L4867" i="14"/>
  <c r="L4855" i="14"/>
  <c r="L4843" i="14"/>
  <c r="L4831" i="14"/>
  <c r="L4819" i="14"/>
  <c r="L4807" i="14"/>
  <c r="L4795" i="14"/>
  <c r="L4783" i="14"/>
  <c r="L4771" i="14"/>
  <c r="L4759" i="14"/>
  <c r="L4747" i="14"/>
  <c r="L4735" i="14"/>
  <c r="L4723" i="14"/>
  <c r="L4711" i="14"/>
  <c r="L4699" i="14"/>
  <c r="L4687" i="14"/>
  <c r="L4675" i="14"/>
  <c r="L4663" i="14"/>
  <c r="L4651" i="14"/>
  <c r="L4639" i="14"/>
  <c r="L4627" i="14"/>
  <c r="L4615" i="14"/>
  <c r="L4603" i="14"/>
  <c r="L4591" i="14"/>
  <c r="L4579" i="14"/>
  <c r="L4567" i="14"/>
  <c r="L4555" i="14"/>
  <c r="L4543" i="14"/>
  <c r="L4531" i="14"/>
  <c r="L4519" i="14"/>
  <c r="L4507" i="14"/>
  <c r="L4495" i="14"/>
  <c r="L4483" i="14"/>
  <c r="L4471" i="14"/>
  <c r="L4459" i="14"/>
  <c r="L7154" i="14"/>
  <c r="L7109" i="14"/>
  <c r="L7067" i="14"/>
  <c r="L7026" i="14"/>
  <c r="L6987" i="14"/>
  <c r="L6942" i="14"/>
  <c r="L6902" i="14"/>
  <c r="L6866" i="14"/>
  <c r="L6821" i="14"/>
  <c r="L6779" i="14"/>
  <c r="L6745" i="14"/>
  <c r="L6710" i="14"/>
  <c r="L6673" i="14"/>
  <c r="L6637" i="14"/>
  <c r="L6605" i="14"/>
  <c r="L6567" i="14"/>
  <c r="L6530" i="14"/>
  <c r="L6497" i="14"/>
  <c r="L6462" i="14"/>
  <c r="L6425" i="14"/>
  <c r="L6389" i="14"/>
  <c r="L6363" i="14"/>
  <c r="L6339" i="14"/>
  <c r="L6314" i="14"/>
  <c r="L6290" i="14"/>
  <c r="L6267" i="14"/>
  <c r="L6245" i="14"/>
  <c r="L6223" i="14"/>
  <c r="L6200" i="14"/>
  <c r="L6181" i="14"/>
  <c r="L6159" i="14"/>
  <c r="L6140" i="14"/>
  <c r="L6126" i="14"/>
  <c r="L6111" i="14"/>
  <c r="L6097" i="14"/>
  <c r="L6083" i="14"/>
  <c r="L6068" i="14"/>
  <c r="L6054" i="14"/>
  <c r="L6042" i="14"/>
  <c r="L6030" i="14"/>
  <c r="L6018" i="14"/>
  <c r="L6006" i="14"/>
  <c r="L5994" i="14"/>
  <c r="L5982" i="14"/>
  <c r="L5970" i="14"/>
  <c r="L5958" i="14"/>
  <c r="L5946" i="14"/>
  <c r="L5934" i="14"/>
  <c r="L5922" i="14"/>
  <c r="L5910" i="14"/>
  <c r="L5898" i="14"/>
  <c r="L5886" i="14"/>
  <c r="L5874" i="14"/>
  <c r="L5862" i="14"/>
  <c r="L5850" i="14"/>
  <c r="L5838" i="14"/>
  <c r="L5826" i="14"/>
  <c r="L5814" i="14"/>
  <c r="L5802" i="14"/>
  <c r="L5790" i="14"/>
  <c r="L5778" i="14"/>
  <c r="L5766" i="14"/>
  <c r="L5754" i="14"/>
  <c r="L5742" i="14"/>
  <c r="L5730" i="14"/>
  <c r="L5718" i="14"/>
  <c r="L5706" i="14"/>
  <c r="L5694" i="14"/>
  <c r="L5682" i="14"/>
  <c r="L5670" i="14"/>
  <c r="L5658" i="14"/>
  <c r="L5646" i="14"/>
  <c r="L5634" i="14"/>
  <c r="L5622" i="14"/>
  <c r="L5610" i="14"/>
  <c r="L5598" i="14"/>
  <c r="L5586" i="14"/>
  <c r="L5574" i="14"/>
  <c r="L5562" i="14"/>
  <c r="L5550" i="14"/>
  <c r="L5538" i="14"/>
  <c r="L5526" i="14"/>
  <c r="L5514" i="14"/>
  <c r="L5502" i="14"/>
  <c r="L5490" i="14"/>
  <c r="L5478" i="14"/>
  <c r="L5466" i="14"/>
  <c r="L5454" i="14"/>
  <c r="L5442" i="14"/>
  <c r="L5430" i="14"/>
  <c r="L5418" i="14"/>
  <c r="L5406" i="14"/>
  <c r="L5394" i="14"/>
  <c r="L5382" i="14"/>
  <c r="L5370" i="14"/>
  <c r="L5358" i="14"/>
  <c r="L5346" i="14"/>
  <c r="L5334" i="14"/>
  <c r="L5322" i="14"/>
  <c r="L5310" i="14"/>
  <c r="L5298" i="14"/>
  <c r="L5286" i="14"/>
  <c r="L5274" i="14"/>
  <c r="L5262" i="14"/>
  <c r="L5250" i="14"/>
  <c r="L5238" i="14"/>
  <c r="L5226" i="14"/>
  <c r="L5214" i="14"/>
  <c r="L5202" i="14"/>
  <c r="L5190" i="14"/>
  <c r="L5178" i="14"/>
  <c r="L5166" i="14"/>
  <c r="L5154" i="14"/>
  <c r="L5142" i="14"/>
  <c r="L5130" i="14"/>
  <c r="L5118" i="14"/>
  <c r="L5106" i="14"/>
  <c r="L5094" i="14"/>
  <c r="L5082" i="14"/>
  <c r="L5070" i="14"/>
  <c r="L5058" i="14"/>
  <c r="L5046" i="14"/>
  <c r="L5034" i="14"/>
  <c r="L5022" i="14"/>
  <c r="L5010" i="14"/>
  <c r="L4998" i="14"/>
  <c r="L4986" i="14"/>
  <c r="L4974" i="14"/>
  <c r="L4962" i="14"/>
  <c r="L4950" i="14"/>
  <c r="L4938" i="14"/>
  <c r="L4926" i="14"/>
  <c r="L4914" i="14"/>
  <c r="L4902" i="14"/>
  <c r="L4890" i="14"/>
  <c r="L4878" i="14"/>
  <c r="L4866" i="14"/>
  <c r="L4854" i="14"/>
  <c r="L4842" i="14"/>
  <c r="L4830" i="14"/>
  <c r="L4818" i="14"/>
  <c r="L4806" i="14"/>
  <c r="L4794" i="14"/>
  <c r="L4782" i="14"/>
  <c r="L4770" i="14"/>
  <c r="L4758" i="14"/>
  <c r="L4746" i="14"/>
  <c r="L4734" i="14"/>
  <c r="L4722" i="14"/>
  <c r="L4710" i="14"/>
  <c r="L4698" i="14"/>
  <c r="L4686" i="14"/>
  <c r="L4674" i="14"/>
  <c r="L4662" i="14"/>
  <c r="L4650" i="14"/>
  <c r="L4638" i="14"/>
  <c r="L4626" i="14"/>
  <c r="L4614" i="14"/>
  <c r="L4602" i="14"/>
  <c r="L4590" i="14"/>
  <c r="L4578" i="14"/>
  <c r="L4566" i="14"/>
  <c r="L4554" i="14"/>
  <c r="L4542" i="14"/>
  <c r="L4530" i="14"/>
  <c r="L4518" i="14"/>
  <c r="L4506" i="14"/>
  <c r="L4494" i="14"/>
  <c r="L4482" i="14"/>
  <c r="L4470" i="14"/>
  <c r="L7146" i="14"/>
  <c r="L7107" i="14"/>
  <c r="L7062" i="14"/>
  <c r="L7022" i="14"/>
  <c r="L6986" i="14"/>
  <c r="L6941" i="14"/>
  <c r="L6899" i="14"/>
  <c r="L6858" i="14"/>
  <c r="L6819" i="14"/>
  <c r="L6774" i="14"/>
  <c r="L6738" i="14"/>
  <c r="L6709" i="14"/>
  <c r="L6671" i="14"/>
  <c r="L6632" i="14"/>
  <c r="L6601" i="14"/>
  <c r="L6566" i="14"/>
  <c r="L6529" i="14"/>
  <c r="L6493" i="14"/>
  <c r="L6461" i="14"/>
  <c r="L6423" i="14"/>
  <c r="L6386" i="14"/>
  <c r="L6362" i="14"/>
  <c r="L6338" i="14"/>
  <c r="L6313" i="14"/>
  <c r="L6289" i="14"/>
  <c r="L6265" i="14"/>
  <c r="L6243" i="14"/>
  <c r="L6222" i="14"/>
  <c r="L6199" i="14"/>
  <c r="L6179" i="14"/>
  <c r="L6157" i="14"/>
  <c r="L6139" i="14"/>
  <c r="L6125" i="14"/>
  <c r="L6110" i="14"/>
  <c r="L6096" i="14"/>
  <c r="L6081" i="14"/>
  <c r="L6067" i="14"/>
  <c r="L6053" i="14"/>
  <c r="L6041" i="14"/>
  <c r="L6029" i="14"/>
  <c r="L6017" i="14"/>
  <c r="L6005" i="14"/>
  <c r="L5993" i="14"/>
  <c r="L5981" i="14"/>
  <c r="L5969" i="14"/>
  <c r="L5957" i="14"/>
  <c r="L5945" i="14"/>
  <c r="L5933" i="14"/>
  <c r="L5921" i="14"/>
  <c r="L5909" i="14"/>
  <c r="L5897" i="14"/>
  <c r="L5885" i="14"/>
  <c r="L5873" i="14"/>
  <c r="L5861" i="14"/>
  <c r="L5849" i="14"/>
  <c r="L5837" i="14"/>
  <c r="L5825" i="14"/>
  <c r="L5813" i="14"/>
  <c r="L5801" i="14"/>
  <c r="L5789" i="14"/>
  <c r="L5777" i="14"/>
  <c r="L5765" i="14"/>
  <c r="L5753" i="14"/>
  <c r="L5741" i="14"/>
  <c r="L5729" i="14"/>
  <c r="L5717" i="14"/>
  <c r="L5705" i="14"/>
  <c r="L5693" i="14"/>
  <c r="L5681" i="14"/>
  <c r="L5669" i="14"/>
  <c r="L5657" i="14"/>
  <c r="L5645" i="14"/>
  <c r="L5633" i="14"/>
  <c r="L5621" i="14"/>
  <c r="L5609" i="14"/>
  <c r="L5597" i="14"/>
  <c r="L5585" i="14"/>
  <c r="L5573" i="14"/>
  <c r="L5561" i="14"/>
  <c r="L5549" i="14"/>
  <c r="L5537" i="14"/>
  <c r="L5525" i="14"/>
  <c r="L5513" i="14"/>
  <c r="L5501" i="14"/>
  <c r="L5489" i="14"/>
  <c r="L5477" i="14"/>
  <c r="L5465" i="14"/>
  <c r="L5453" i="14"/>
  <c r="L5441" i="14"/>
  <c r="L5429" i="14"/>
  <c r="L5417" i="14"/>
  <c r="L5405" i="14"/>
  <c r="L5393" i="14"/>
  <c r="L5381" i="14"/>
  <c r="L5369" i="14"/>
  <c r="L5357" i="14"/>
  <c r="L5345" i="14"/>
  <c r="L5333" i="14"/>
  <c r="L5321" i="14"/>
  <c r="L5309" i="14"/>
  <c r="L5297" i="14"/>
  <c r="L5285" i="14"/>
  <c r="L5273" i="14"/>
  <c r="L5261" i="14"/>
  <c r="L5249" i="14"/>
  <c r="L5237" i="14"/>
  <c r="L5225" i="14"/>
  <c r="L5213" i="14"/>
  <c r="L5201" i="14"/>
  <c r="L5189" i="14"/>
  <c r="L5177" i="14"/>
  <c r="L5165" i="14"/>
  <c r="L5153" i="14"/>
  <c r="L5141" i="14"/>
  <c r="L5129" i="14"/>
  <c r="L5117" i="14"/>
  <c r="L5105" i="14"/>
  <c r="L5093" i="14"/>
  <c r="L5081" i="14"/>
  <c r="L5069" i="14"/>
  <c r="L5057" i="14"/>
  <c r="L5045" i="14"/>
  <c r="L5033" i="14"/>
  <c r="L5021" i="14"/>
  <c r="L5009" i="14"/>
  <c r="L4997" i="14"/>
  <c r="L4985" i="14"/>
  <c r="L4973" i="14"/>
  <c r="L4961" i="14"/>
  <c r="L4949" i="14"/>
  <c r="L4937" i="14"/>
  <c r="L4925" i="14"/>
  <c r="L4913" i="14"/>
  <c r="L4901" i="14"/>
  <c r="L4889" i="14"/>
  <c r="L4877" i="14"/>
  <c r="L4865" i="14"/>
  <c r="L4853" i="14"/>
  <c r="L4841" i="14"/>
  <c r="L4829" i="14"/>
  <c r="L4817" i="14"/>
  <c r="L4805" i="14"/>
  <c r="L4793" i="14"/>
  <c r="L4781" i="14"/>
  <c r="L4769" i="14"/>
  <c r="L4757" i="14"/>
  <c r="L4745" i="14"/>
  <c r="L4733" i="14"/>
  <c r="L4721" i="14"/>
  <c r="L4709" i="14"/>
  <c r="L4697" i="14"/>
  <c r="L4685" i="14"/>
  <c r="L4673" i="14"/>
  <c r="L4661" i="14"/>
  <c r="L4649" i="14"/>
  <c r="L4637" i="14"/>
  <c r="L4625" i="14"/>
  <c r="L4613" i="14"/>
  <c r="L4601" i="14"/>
  <c r="L4589" i="14"/>
  <c r="L4577" i="14"/>
  <c r="L4565" i="14"/>
  <c r="L4553" i="14"/>
  <c r="L7142" i="14"/>
  <c r="L7106" i="14"/>
  <c r="L7061" i="14"/>
  <c r="L7019" i="14"/>
  <c r="L6978" i="14"/>
  <c r="L6939" i="14"/>
  <c r="L6894" i="14"/>
  <c r="L6854" i="14"/>
  <c r="L6818" i="14"/>
  <c r="L6773" i="14"/>
  <c r="L6735" i="14"/>
  <c r="L6702" i="14"/>
  <c r="L6668" i="14"/>
  <c r="L6630" i="14"/>
  <c r="L6594" i="14"/>
  <c r="L6565" i="14"/>
  <c r="L6527" i="14"/>
  <c r="L6488" i="14"/>
  <c r="L6457" i="14"/>
  <c r="L6422" i="14"/>
  <c r="L6385" i="14"/>
  <c r="L6361" i="14"/>
  <c r="L6335" i="14"/>
  <c r="L6311" i="14"/>
  <c r="L6287" i="14"/>
  <c r="L6263" i="14"/>
  <c r="L6242" i="14"/>
  <c r="L6219" i="14"/>
  <c r="L6198" i="14"/>
  <c r="L6176" i="14"/>
  <c r="L6155" i="14"/>
  <c r="L6138" i="14"/>
  <c r="L6123" i="14"/>
  <c r="L6109" i="14"/>
  <c r="L6095" i="14"/>
  <c r="L6080" i="14"/>
  <c r="L6066" i="14"/>
  <c r="L6052" i="14"/>
  <c r="L6040" i="14"/>
  <c r="L6028" i="14"/>
  <c r="L6016" i="14"/>
  <c r="L6004" i="14"/>
  <c r="L5992" i="14"/>
  <c r="L5980" i="14"/>
  <c r="L5968" i="14"/>
  <c r="L5956" i="14"/>
  <c r="L5944" i="14"/>
  <c r="L5932" i="14"/>
  <c r="L5920" i="14"/>
  <c r="L5908" i="14"/>
  <c r="L5896" i="14"/>
  <c r="L5884" i="14"/>
  <c r="L5872" i="14"/>
  <c r="L5860" i="14"/>
  <c r="L5848" i="14"/>
  <c r="L5836" i="14"/>
  <c r="L5824" i="14"/>
  <c r="L5812" i="14"/>
  <c r="L5800" i="14"/>
  <c r="L5788" i="14"/>
  <c r="L5776" i="14"/>
  <c r="L5764" i="14"/>
  <c r="L5752" i="14"/>
  <c r="L5740" i="14"/>
  <c r="L5728" i="14"/>
  <c r="L5716" i="14"/>
  <c r="L5704" i="14"/>
  <c r="L5692" i="14"/>
  <c r="L5680" i="14"/>
  <c r="L5668" i="14"/>
  <c r="L5656" i="14"/>
  <c r="L5644" i="14"/>
  <c r="L5632" i="14"/>
  <c r="L5620" i="14"/>
  <c r="L5608" i="14"/>
  <c r="L5596" i="14"/>
  <c r="L5584" i="14"/>
  <c r="L5572" i="14"/>
  <c r="L5560" i="14"/>
  <c r="L5548" i="14"/>
  <c r="L5536" i="14"/>
  <c r="L5524" i="14"/>
  <c r="L5512" i="14"/>
  <c r="L5500" i="14"/>
  <c r="L5488" i="14"/>
  <c r="L5476" i="14"/>
  <c r="L5464" i="14"/>
  <c r="L5452" i="14"/>
  <c r="L5440" i="14"/>
  <c r="L5428" i="14"/>
  <c r="L5416" i="14"/>
  <c r="L5404" i="14"/>
  <c r="L5392" i="14"/>
  <c r="L5380" i="14"/>
  <c r="L5368" i="14"/>
  <c r="L5356" i="14"/>
  <c r="L5344" i="14"/>
  <c r="L5332" i="14"/>
  <c r="L5320" i="14"/>
  <c r="L5308" i="14"/>
  <c r="L5296" i="14"/>
  <c r="L5284" i="14"/>
  <c r="L5272" i="14"/>
  <c r="L5260" i="14"/>
  <c r="L5248" i="14"/>
  <c r="L5236" i="14"/>
  <c r="L5224" i="14"/>
  <c r="L5212" i="14"/>
  <c r="L5200" i="14"/>
  <c r="L5188" i="14"/>
  <c r="L5176" i="14"/>
  <c r="L5164" i="14"/>
  <c r="L5152" i="14"/>
  <c r="L5140" i="14"/>
  <c r="L5128" i="14"/>
  <c r="L5116" i="14"/>
  <c r="L5104" i="14"/>
  <c r="L5092" i="14"/>
  <c r="L5080" i="14"/>
  <c r="L5068" i="14"/>
  <c r="L5056" i="14"/>
  <c r="L5044" i="14"/>
  <c r="L5032" i="14"/>
  <c r="L5020" i="14"/>
  <c r="L5008" i="14"/>
  <c r="L4996" i="14"/>
  <c r="L4984" i="14"/>
  <c r="L4972" i="14"/>
  <c r="L4960" i="14"/>
  <c r="L4948" i="14"/>
  <c r="L4936" i="14"/>
  <c r="L4924" i="14"/>
  <c r="L4912" i="14"/>
  <c r="L4900" i="14"/>
  <c r="L4888" i="14"/>
  <c r="L4876" i="14"/>
  <c r="L4864" i="14"/>
  <c r="L4852" i="14"/>
  <c r="L4840" i="14"/>
  <c r="L4828" i="14"/>
  <c r="L4816" i="14"/>
  <c r="L4804" i="14"/>
  <c r="L4792" i="14"/>
  <c r="L4780" i="14"/>
  <c r="L4768" i="14"/>
  <c r="L4756" i="14"/>
  <c r="L4744" i="14"/>
  <c r="L4732" i="14"/>
  <c r="L4720" i="14"/>
  <c r="L4708" i="14"/>
  <c r="L4696" i="14"/>
  <c r="L4684" i="14"/>
  <c r="L4672" i="14"/>
  <c r="L4660" i="14"/>
  <c r="L4648" i="14"/>
  <c r="L4636" i="14"/>
  <c r="L4624" i="14"/>
  <c r="L4612" i="14"/>
  <c r="L4600" i="14"/>
  <c r="L4588" i="14"/>
  <c r="L4576" i="14"/>
  <c r="L4564" i="14"/>
  <c r="L4552" i="14"/>
  <c r="L4540" i="14"/>
  <c r="L4528" i="14"/>
  <c r="L4516" i="14"/>
  <c r="L4504" i="14"/>
  <c r="L4492" i="14"/>
  <c r="L4480" i="14"/>
  <c r="L4468" i="14"/>
  <c r="L7139" i="14"/>
  <c r="L7098" i="14"/>
  <c r="L7059" i="14"/>
  <c r="L7014" i="14"/>
  <c r="L6974" i="14"/>
  <c r="L6938" i="14"/>
  <c r="L6893" i="14"/>
  <c r="L6851" i="14"/>
  <c r="L6810" i="14"/>
  <c r="L6771" i="14"/>
  <c r="L6734" i="14"/>
  <c r="L6698" i="14"/>
  <c r="L6666" i="14"/>
  <c r="L6629" i="14"/>
  <c r="L6591" i="14"/>
  <c r="L6558" i="14"/>
  <c r="L6524" i="14"/>
  <c r="L6486" i="14"/>
  <c r="L6450" i="14"/>
  <c r="L6421" i="14"/>
  <c r="L6383" i="14"/>
  <c r="L6359" i="14"/>
  <c r="L6332" i="14"/>
  <c r="L6308" i="14"/>
  <c r="L6282" i="14"/>
  <c r="L6260" i="14"/>
  <c r="L6241" i="14"/>
  <c r="L6218" i="14"/>
  <c r="L6197" i="14"/>
  <c r="L6174" i="14"/>
  <c r="L6152" i="14"/>
  <c r="L6137" i="14"/>
  <c r="L6122" i="14"/>
  <c r="L6108" i="14"/>
  <c r="L6093" i="14"/>
  <c r="L6079" i="14"/>
  <c r="L6065" i="14"/>
  <c r="L6051" i="14"/>
  <c r="L6039" i="14"/>
  <c r="L6027" i="14"/>
  <c r="L6015" i="14"/>
  <c r="L6003" i="14"/>
  <c r="L5991" i="14"/>
  <c r="L5979" i="14"/>
  <c r="L5967" i="14"/>
  <c r="L5955" i="14"/>
  <c r="L5943" i="14"/>
  <c r="L5931" i="14"/>
  <c r="L5919" i="14"/>
  <c r="L5907" i="14"/>
  <c r="L5895" i="14"/>
  <c r="L5883" i="14"/>
  <c r="L5871" i="14"/>
  <c r="L5859" i="14"/>
  <c r="L5847" i="14"/>
  <c r="L5835" i="14"/>
  <c r="L5823" i="14"/>
  <c r="L5811" i="14"/>
  <c r="L5799" i="14"/>
  <c r="L5787" i="14"/>
  <c r="L5775" i="14"/>
  <c r="L5763" i="14"/>
  <c r="L5751" i="14"/>
  <c r="L5739" i="14"/>
  <c r="L5727" i="14"/>
  <c r="L5715" i="14"/>
  <c r="L5703" i="14"/>
  <c r="L5691" i="14"/>
  <c r="L5679" i="14"/>
  <c r="L5667" i="14"/>
  <c r="L5655" i="14"/>
  <c r="L5643" i="14"/>
  <c r="L5631" i="14"/>
  <c r="L5619" i="14"/>
  <c r="L5607" i="14"/>
  <c r="L5595" i="14"/>
  <c r="L5583" i="14"/>
  <c r="L5571" i="14"/>
  <c r="L5559" i="14"/>
  <c r="L5547" i="14"/>
  <c r="L5535" i="14"/>
  <c r="L5523" i="14"/>
  <c r="L5511" i="14"/>
  <c r="L5499" i="14"/>
  <c r="L5487" i="14"/>
  <c r="L5475" i="14"/>
  <c r="L5463" i="14"/>
  <c r="L5451" i="14"/>
  <c r="L5439" i="14"/>
  <c r="L5427" i="14"/>
  <c r="L5415" i="14"/>
  <c r="L5403" i="14"/>
  <c r="L5391" i="14"/>
  <c r="L5379" i="14"/>
  <c r="L5367" i="14"/>
  <c r="L5355" i="14"/>
  <c r="L5343" i="14"/>
  <c r="L5331" i="14"/>
  <c r="L5319" i="14"/>
  <c r="L5307" i="14"/>
  <c r="L5295" i="14"/>
  <c r="L5283" i="14"/>
  <c r="L5271" i="14"/>
  <c r="L5259" i="14"/>
  <c r="L5247" i="14"/>
  <c r="L5235" i="14"/>
  <c r="L5223" i="14"/>
  <c r="L5211" i="14"/>
  <c r="L5199" i="14"/>
  <c r="L5187" i="14"/>
  <c r="L5175" i="14"/>
  <c r="L5163" i="14"/>
  <c r="L5151" i="14"/>
  <c r="L5139" i="14"/>
  <c r="L5127" i="14"/>
  <c r="L5115" i="14"/>
  <c r="L5103" i="14"/>
  <c r="L5091" i="14"/>
  <c r="L5079" i="14"/>
  <c r="L5067" i="14"/>
  <c r="L5055" i="14"/>
  <c r="L5043" i="14"/>
  <c r="L5031" i="14"/>
  <c r="L5019" i="14"/>
  <c r="L5007" i="14"/>
  <c r="L4995" i="14"/>
  <c r="L4983" i="14"/>
  <c r="L4971" i="14"/>
  <c r="L4959" i="14"/>
  <c r="L4947" i="14"/>
  <c r="L4935" i="14"/>
  <c r="L4923" i="14"/>
  <c r="L4911" i="14"/>
  <c r="L4899" i="14"/>
  <c r="L4887" i="14"/>
  <c r="L4875" i="14"/>
  <c r="L4863" i="14"/>
  <c r="L4851" i="14"/>
  <c r="L4839" i="14"/>
  <c r="L4827" i="14"/>
  <c r="L4815" i="14"/>
  <c r="L4803" i="14"/>
  <c r="L4791" i="14"/>
  <c r="L4779" i="14"/>
  <c r="L4767" i="14"/>
  <c r="L4755" i="14"/>
  <c r="L4743" i="14"/>
  <c r="L4731" i="14"/>
  <c r="L4719" i="14"/>
  <c r="L4707" i="14"/>
  <c r="L4695" i="14"/>
  <c r="L4683" i="14"/>
  <c r="L4671" i="14"/>
  <c r="L4659" i="14"/>
  <c r="L4647" i="14"/>
  <c r="L4635" i="14"/>
  <c r="L4623" i="14"/>
  <c r="L4611" i="14"/>
  <c r="L4599" i="14"/>
  <c r="L4587" i="14"/>
  <c r="L4575" i="14"/>
  <c r="L4563" i="14"/>
  <c r="L4551" i="14"/>
  <c r="L4539" i="14"/>
  <c r="L4527" i="14"/>
  <c r="L4515" i="14"/>
  <c r="L4503" i="14"/>
  <c r="L4491" i="14"/>
  <c r="L4479" i="14"/>
  <c r="L4467" i="14"/>
  <c r="L7134" i="14"/>
  <c r="L7094" i="14"/>
  <c r="L7058" i="14"/>
  <c r="L7013" i="14"/>
  <c r="L6971" i="14"/>
  <c r="L6930" i="14"/>
  <c r="L6891" i="14"/>
  <c r="L6846" i="14"/>
  <c r="L6806" i="14"/>
  <c r="L6770" i="14"/>
  <c r="L6733" i="14"/>
  <c r="L6695" i="14"/>
  <c r="L6662" i="14"/>
  <c r="L6627" i="14"/>
  <c r="L6590" i="14"/>
  <c r="L6554" i="14"/>
  <c r="L6522" i="14"/>
  <c r="L6485" i="14"/>
  <c r="L6447" i="14"/>
  <c r="L6414" i="14"/>
  <c r="L6380" i="14"/>
  <c r="L6354" i="14"/>
  <c r="L6330" i="14"/>
  <c r="L6306" i="14"/>
  <c r="L6281" i="14"/>
  <c r="L6259" i="14"/>
  <c r="L6236" i="14"/>
  <c r="L6217" i="14"/>
  <c r="L6195" i="14"/>
  <c r="L6173" i="14"/>
  <c r="L6151" i="14"/>
  <c r="L6135" i="14"/>
  <c r="L6121" i="14"/>
  <c r="L6107" i="14"/>
  <c r="L6092" i="14"/>
  <c r="L6078" i="14"/>
  <c r="L6063" i="14"/>
  <c r="L6050" i="14"/>
  <c r="L6038" i="14"/>
  <c r="L6026" i="14"/>
  <c r="L6014" i="14"/>
  <c r="L6002" i="14"/>
  <c r="L5990" i="14"/>
  <c r="L5978" i="14"/>
  <c r="L5966" i="14"/>
  <c r="L5954" i="14"/>
  <c r="L5942" i="14"/>
  <c r="L5930" i="14"/>
  <c r="L5918" i="14"/>
  <c r="L5906" i="14"/>
  <c r="L5894" i="14"/>
  <c r="L5882" i="14"/>
  <c r="L5870" i="14"/>
  <c r="L5858" i="14"/>
  <c r="L5846" i="14"/>
  <c r="L5834" i="14"/>
  <c r="L5822" i="14"/>
  <c r="L5810" i="14"/>
  <c r="L5798" i="14"/>
  <c r="L5786" i="14"/>
  <c r="L5774" i="14"/>
  <c r="L5762" i="14"/>
  <c r="L5750" i="14"/>
  <c r="L5738" i="14"/>
  <c r="L5726" i="14"/>
  <c r="L5714" i="14"/>
  <c r="L5702" i="14"/>
  <c r="L5690" i="14"/>
  <c r="L5678" i="14"/>
  <c r="L5666" i="14"/>
  <c r="L5654" i="14"/>
  <c r="L5642" i="14"/>
  <c r="L5630" i="14"/>
  <c r="L5618" i="14"/>
  <c r="L5606" i="14"/>
  <c r="L5594" i="14"/>
  <c r="L5582" i="14"/>
  <c r="L5570" i="14"/>
  <c r="L5558" i="14"/>
  <c r="L5546" i="14"/>
  <c r="L5534" i="14"/>
  <c r="L5522" i="14"/>
  <c r="L5510" i="14"/>
  <c r="L5498" i="14"/>
  <c r="L5486" i="14"/>
  <c r="L5474" i="14"/>
  <c r="L5462" i="14"/>
  <c r="L5450" i="14"/>
  <c r="L5438" i="14"/>
  <c r="L5426" i="14"/>
  <c r="L5414" i="14"/>
  <c r="L5402" i="14"/>
  <c r="L5390" i="14"/>
  <c r="L5378" i="14"/>
  <c r="L5366" i="14"/>
  <c r="L5354" i="14"/>
  <c r="L5342" i="14"/>
  <c r="L5330" i="14"/>
  <c r="L5318" i="14"/>
  <c r="L5306" i="14"/>
  <c r="L5294" i="14"/>
  <c r="L5282" i="14"/>
  <c r="L5270" i="14"/>
  <c r="L5258" i="14"/>
  <c r="L5246" i="14"/>
  <c r="L5234" i="14"/>
  <c r="L5222" i="14"/>
  <c r="L5210" i="14"/>
  <c r="L5198" i="14"/>
  <c r="L5186" i="14"/>
  <c r="L5174" i="14"/>
  <c r="L5162" i="14"/>
  <c r="L5150" i="14"/>
  <c r="L5138" i="14"/>
  <c r="L5126" i="14"/>
  <c r="L5114" i="14"/>
  <c r="L5102" i="14"/>
  <c r="L5090" i="14"/>
  <c r="L5078" i="14"/>
  <c r="L5066" i="14"/>
  <c r="L5054" i="14"/>
  <c r="L5042" i="14"/>
  <c r="L5030" i="14"/>
  <c r="L5018" i="14"/>
  <c r="L5006" i="14"/>
  <c r="L4994" i="14"/>
  <c r="L4982" i="14"/>
  <c r="L4970" i="14"/>
  <c r="L4958" i="14"/>
  <c r="L4946" i="14"/>
  <c r="L4934" i="14"/>
  <c r="L4922" i="14"/>
  <c r="L4910" i="14"/>
  <c r="L4898" i="14"/>
  <c r="L4886" i="14"/>
  <c r="L4874" i="14"/>
  <c r="L4862" i="14"/>
  <c r="L4850" i="14"/>
  <c r="L4838" i="14"/>
  <c r="L4826" i="14"/>
  <c r="L4814" i="14"/>
  <c r="L4802" i="14"/>
  <c r="L4790" i="14"/>
  <c r="L4778" i="14"/>
  <c r="L4766" i="14"/>
  <c r="L4754" i="14"/>
  <c r="L4742" i="14"/>
  <c r="L4730" i="14"/>
  <c r="L4718" i="14"/>
  <c r="L4706" i="14"/>
  <c r="L4694" i="14"/>
  <c r="L4682" i="14"/>
  <c r="L4670" i="14"/>
  <c r="L4658" i="14"/>
  <c r="L4646" i="14"/>
  <c r="L4634" i="14"/>
  <c r="L4622" i="14"/>
  <c r="L4610" i="14"/>
  <c r="L4598" i="14"/>
  <c r="L4586" i="14"/>
  <c r="L4574" i="14"/>
  <c r="L4562" i="14"/>
  <c r="L4550" i="14"/>
  <c r="L4538" i="14"/>
  <c r="L4526" i="14"/>
  <c r="L4514" i="14"/>
  <c r="L4502" i="14"/>
  <c r="L4490" i="14"/>
  <c r="L4478" i="14"/>
  <c r="L7133" i="14"/>
  <c r="L7091" i="14"/>
  <c r="L7050" i="14"/>
  <c r="L7011" i="14"/>
  <c r="L6966" i="14"/>
  <c r="L6926" i="14"/>
  <c r="L6890" i="14"/>
  <c r="L6845" i="14"/>
  <c r="L6803" i="14"/>
  <c r="L6764" i="14"/>
  <c r="L6731" i="14"/>
  <c r="L6692" i="14"/>
  <c r="L6656" i="14"/>
  <c r="L6626" i="14"/>
  <c r="L6589" i="14"/>
  <c r="L6551" i="14"/>
  <c r="L6518" i="14"/>
  <c r="L6483" i="14"/>
  <c r="L6446" i="14"/>
  <c r="L6410" i="14"/>
  <c r="L6378" i="14"/>
  <c r="L6353" i="14"/>
  <c r="L6329" i="14"/>
  <c r="L6303" i="14"/>
  <c r="L6279" i="14"/>
  <c r="L6258" i="14"/>
  <c r="L6235" i="14"/>
  <c r="L6215" i="14"/>
  <c r="L6193" i="14"/>
  <c r="L6171" i="14"/>
  <c r="L6150" i="14"/>
  <c r="L6134" i="14"/>
  <c r="L6120" i="14"/>
  <c r="L6105" i="14"/>
  <c r="L6091" i="14"/>
  <c r="L6077" i="14"/>
  <c r="L6062" i="14"/>
  <c r="L6049" i="14"/>
  <c r="L6037" i="14"/>
  <c r="L6025" i="14"/>
  <c r="L6013" i="14"/>
  <c r="L6001" i="14"/>
  <c r="L5989" i="14"/>
  <c r="L5977" i="14"/>
  <c r="L5965" i="14"/>
  <c r="L5953" i="14"/>
  <c r="L5941" i="14"/>
  <c r="L5929" i="14"/>
  <c r="L5917" i="14"/>
  <c r="L5905" i="14"/>
  <c r="L5893" i="14"/>
  <c r="L5881" i="14"/>
  <c r="L5869" i="14"/>
  <c r="L5857" i="14"/>
  <c r="L5845" i="14"/>
  <c r="L5833" i="14"/>
  <c r="L5821" i="14"/>
  <c r="L5809" i="14"/>
  <c r="L5797" i="14"/>
  <c r="L5785" i="14"/>
  <c r="L5773" i="14"/>
  <c r="L5761" i="14"/>
  <c r="L5749" i="14"/>
  <c r="L5737" i="14"/>
  <c r="L5725" i="14"/>
  <c r="L5713" i="14"/>
  <c r="L5701" i="14"/>
  <c r="L5689" i="14"/>
  <c r="L5677" i="14"/>
  <c r="L5665" i="14"/>
  <c r="L5653" i="14"/>
  <c r="L5641" i="14"/>
  <c r="L5629" i="14"/>
  <c r="L5617" i="14"/>
  <c r="L5605" i="14"/>
  <c r="L5593" i="14"/>
  <c r="L5581" i="14"/>
  <c r="L5569" i="14"/>
  <c r="L5557" i="14"/>
  <c r="L5545" i="14"/>
  <c r="L5533" i="14"/>
  <c r="L5521" i="14"/>
  <c r="L5509" i="14"/>
  <c r="L5497" i="14"/>
  <c r="L5485" i="14"/>
  <c r="L5473" i="14"/>
  <c r="L5461" i="14"/>
  <c r="L5449" i="14"/>
  <c r="L5437" i="14"/>
  <c r="L5425" i="14"/>
  <c r="L5413" i="14"/>
  <c r="L5401" i="14"/>
  <c r="L5389" i="14"/>
  <c r="L5377" i="14"/>
  <c r="L5365" i="14"/>
  <c r="L5353" i="14"/>
  <c r="L5341" i="14"/>
  <c r="L5329" i="14"/>
  <c r="L5317" i="14"/>
  <c r="L5305" i="14"/>
  <c r="L5293" i="14"/>
  <c r="L5281" i="14"/>
  <c r="L5269" i="14"/>
  <c r="L5257" i="14"/>
  <c r="L5245" i="14"/>
  <c r="L5233" i="14"/>
  <c r="L5221" i="14"/>
  <c r="L5209" i="14"/>
  <c r="L5197" i="14"/>
  <c r="L5185" i="14"/>
  <c r="L5173" i="14"/>
  <c r="L5161" i="14"/>
  <c r="L5149" i="14"/>
  <c r="L5137" i="14"/>
  <c r="L5125" i="14"/>
  <c r="L5113" i="14"/>
  <c r="L5101" i="14"/>
  <c r="L5089" i="14"/>
  <c r="L5077" i="14"/>
  <c r="L5065" i="14"/>
  <c r="L5053" i="14"/>
  <c r="L5041" i="14"/>
  <c r="L5029" i="14"/>
  <c r="L5017" i="14"/>
  <c r="L5005" i="14"/>
  <c r="L4993" i="14"/>
  <c r="L4981" i="14"/>
  <c r="L4969" i="14"/>
  <c r="L4957" i="14"/>
  <c r="L4945" i="14"/>
  <c r="L4933" i="14"/>
  <c r="L4921" i="14"/>
  <c r="L4909" i="14"/>
  <c r="L4897" i="14"/>
  <c r="L4885" i="14"/>
  <c r="L4873" i="14"/>
  <c r="L4861" i="14"/>
  <c r="L4849" i="14"/>
  <c r="L4837" i="14"/>
  <c r="L4825" i="14"/>
  <c r="L4813" i="14"/>
  <c r="L4801" i="14"/>
  <c r="L4789" i="14"/>
  <c r="L4777" i="14"/>
  <c r="L4765" i="14"/>
  <c r="L4753" i="14"/>
  <c r="L4741" i="14"/>
  <c r="L4729" i="14"/>
  <c r="L4717" i="14"/>
  <c r="L4705" i="14"/>
  <c r="L4693" i="14"/>
  <c r="L4681" i="14"/>
  <c r="L4669" i="14"/>
  <c r="L4657" i="14"/>
  <c r="L4645" i="14"/>
  <c r="L4633" i="14"/>
  <c r="L4621" i="14"/>
  <c r="L4609" i="14"/>
  <c r="L4597" i="14"/>
  <c r="L4585" i="14"/>
  <c r="L4573" i="14"/>
  <c r="L4561" i="14"/>
  <c r="L4549" i="14"/>
  <c r="L4537" i="14"/>
  <c r="L4525" i="14"/>
  <c r="L4513" i="14"/>
  <c r="L4501" i="14"/>
  <c r="L4489" i="14"/>
  <c r="L4477" i="14"/>
  <c r="L4465" i="14"/>
  <c r="L7157" i="14"/>
  <c r="L6990" i="14"/>
  <c r="L6827" i="14"/>
  <c r="L6677" i="14"/>
  <c r="L6539" i="14"/>
  <c r="L6399" i="14"/>
  <c r="L6293" i="14"/>
  <c r="L6206" i="14"/>
  <c r="L6128" i="14"/>
  <c r="L6071" i="14"/>
  <c r="L6020" i="14"/>
  <c r="L5972" i="14"/>
  <c r="L5924" i="14"/>
  <c r="L5876" i="14"/>
  <c r="L5828" i="14"/>
  <c r="L5780" i="14"/>
  <c r="L5732" i="14"/>
  <c r="L5684" i="14"/>
  <c r="L5636" i="14"/>
  <c r="L5588" i="14"/>
  <c r="L5540" i="14"/>
  <c r="L5492" i="14"/>
  <c r="L5444" i="14"/>
  <c r="L5396" i="14"/>
  <c r="L5348" i="14"/>
  <c r="L5300" i="14"/>
  <c r="L5252" i="14"/>
  <c r="L5204" i="14"/>
  <c r="L5156" i="14"/>
  <c r="L5108" i="14"/>
  <c r="L5060" i="14"/>
  <c r="L5012" i="14"/>
  <c r="L4964" i="14"/>
  <c r="L4916" i="14"/>
  <c r="L4868" i="14"/>
  <c r="L4820" i="14"/>
  <c r="L4772" i="14"/>
  <c r="L4724" i="14"/>
  <c r="L4676" i="14"/>
  <c r="L4628" i="14"/>
  <c r="L4583" i="14"/>
  <c r="L4547" i="14"/>
  <c r="L4520" i="14"/>
  <c r="L4488" i="14"/>
  <c r="L4463" i="14"/>
  <c r="L4450" i="14"/>
  <c r="L4438" i="14"/>
  <c r="L4426" i="14"/>
  <c r="L4414" i="14"/>
  <c r="L4402" i="14"/>
  <c r="L4390" i="14"/>
  <c r="L4378" i="14"/>
  <c r="L4366" i="14"/>
  <c r="L4354" i="14"/>
  <c r="L4342" i="14"/>
  <c r="L4330" i="14"/>
  <c r="L4318" i="14"/>
  <c r="L4306" i="14"/>
  <c r="L4294" i="14"/>
  <c r="L4282" i="14"/>
  <c r="L4270" i="14"/>
  <c r="L4258" i="14"/>
  <c r="L4246" i="14"/>
  <c r="L4234" i="14"/>
  <c r="L4222" i="14"/>
  <c r="L4210" i="14"/>
  <c r="L4198" i="14"/>
  <c r="L4186" i="14"/>
  <c r="L4174" i="14"/>
  <c r="L4162" i="14"/>
  <c r="L4150" i="14"/>
  <c r="L4138" i="14"/>
  <c r="L4126" i="14"/>
  <c r="L4114" i="14"/>
  <c r="L4102" i="14"/>
  <c r="L4090" i="14"/>
  <c r="L4078" i="14"/>
  <c r="L4066" i="14"/>
  <c r="L4054" i="14"/>
  <c r="L4042" i="14"/>
  <c r="L4030" i="14"/>
  <c r="L4018" i="14"/>
  <c r="L4006" i="14"/>
  <c r="L3994" i="14"/>
  <c r="L3982" i="14"/>
  <c r="L3970" i="14"/>
  <c r="L3958" i="14"/>
  <c r="L3946" i="14"/>
  <c r="L3934" i="14"/>
  <c r="L3922" i="14"/>
  <c r="L3910" i="14"/>
  <c r="L3898" i="14"/>
  <c r="L3886" i="14"/>
  <c r="L3874" i="14"/>
  <c r="L3862" i="14"/>
  <c r="L3850" i="14"/>
  <c r="L3838" i="14"/>
  <c r="L3826" i="14"/>
  <c r="L3814" i="14"/>
  <c r="L3802" i="14"/>
  <c r="L3790" i="14"/>
  <c r="L3778" i="14"/>
  <c r="L3766" i="14"/>
  <c r="L3754" i="14"/>
  <c r="L3742" i="14"/>
  <c r="L3730" i="14"/>
  <c r="L3718" i="14"/>
  <c r="L3706" i="14"/>
  <c r="L3694" i="14"/>
  <c r="L3682" i="14"/>
  <c r="L3670" i="14"/>
  <c r="L3658" i="14"/>
  <c r="L3646" i="14"/>
  <c r="L3634" i="14"/>
  <c r="L3622" i="14"/>
  <c r="L3610" i="14"/>
  <c r="L3598" i="14"/>
  <c r="L3586" i="14"/>
  <c r="L3574" i="14"/>
  <c r="L3562" i="14"/>
  <c r="L3550" i="14"/>
  <c r="L3538" i="14"/>
  <c r="L3526" i="14"/>
  <c r="L3514" i="14"/>
  <c r="L3502" i="14"/>
  <c r="L3490" i="14"/>
  <c r="L3478" i="14"/>
  <c r="L3466" i="14"/>
  <c r="L3454" i="14"/>
  <c r="L3442" i="14"/>
  <c r="L3430" i="14"/>
  <c r="L3418" i="14"/>
  <c r="L3406" i="14"/>
  <c r="L3394" i="14"/>
  <c r="L3382" i="14"/>
  <c r="L3370" i="14"/>
  <c r="L3358" i="14"/>
  <c r="L3346" i="14"/>
  <c r="L3334" i="14"/>
  <c r="L3322" i="14"/>
  <c r="L3310" i="14"/>
  <c r="L3298" i="14"/>
  <c r="L3286" i="14"/>
  <c r="L3274" i="14"/>
  <c r="L3262" i="14"/>
  <c r="L3250" i="14"/>
  <c r="L3238" i="14"/>
  <c r="L3226" i="14"/>
  <c r="L3214" i="14"/>
  <c r="L3202" i="14"/>
  <c r="L3190" i="14"/>
  <c r="L3178" i="14"/>
  <c r="L3166" i="14"/>
  <c r="L3154" i="14"/>
  <c r="L3142" i="14"/>
  <c r="L3130" i="14"/>
  <c r="L3118" i="14"/>
  <c r="L3106" i="14"/>
  <c r="L3094" i="14"/>
  <c r="L3082" i="14"/>
  <c r="L3070" i="14"/>
  <c r="L3058" i="14"/>
  <c r="L3046" i="14"/>
  <c r="L3034" i="14"/>
  <c r="L3022" i="14"/>
  <c r="L3010" i="14"/>
  <c r="L2998" i="14"/>
  <c r="L2986" i="14"/>
  <c r="L2974" i="14"/>
  <c r="L2962" i="14"/>
  <c r="L7131" i="14"/>
  <c r="L6965" i="14"/>
  <c r="L6798" i="14"/>
  <c r="L6653" i="14"/>
  <c r="L6512" i="14"/>
  <c r="L6375" i="14"/>
  <c r="L6278" i="14"/>
  <c r="L6191" i="14"/>
  <c r="L6119" i="14"/>
  <c r="L6061" i="14"/>
  <c r="L6012" i="14"/>
  <c r="L5964" i="14"/>
  <c r="L5916" i="14"/>
  <c r="L5868" i="14"/>
  <c r="L5820" i="14"/>
  <c r="L5772" i="14"/>
  <c r="L5724" i="14"/>
  <c r="L5676" i="14"/>
  <c r="L5628" i="14"/>
  <c r="L5580" i="14"/>
  <c r="L5532" i="14"/>
  <c r="L5484" i="14"/>
  <c r="L5436" i="14"/>
  <c r="L5388" i="14"/>
  <c r="L5340" i="14"/>
  <c r="L5292" i="14"/>
  <c r="L5244" i="14"/>
  <c r="L5196" i="14"/>
  <c r="L5148" i="14"/>
  <c r="L5100" i="14"/>
  <c r="L5052" i="14"/>
  <c r="L5004" i="14"/>
  <c r="L4956" i="14"/>
  <c r="L4908" i="14"/>
  <c r="L4860" i="14"/>
  <c r="L4812" i="14"/>
  <c r="L4764" i="14"/>
  <c r="L4716" i="14"/>
  <c r="L4668" i="14"/>
  <c r="L4620" i="14"/>
  <c r="L4581" i="14"/>
  <c r="L4545" i="14"/>
  <c r="L4517" i="14"/>
  <c r="L4487" i="14"/>
  <c r="L4462" i="14"/>
  <c r="L4449" i="14"/>
  <c r="L4437" i="14"/>
  <c r="L4425" i="14"/>
  <c r="L4413" i="14"/>
  <c r="L4401" i="14"/>
  <c r="L4389" i="14"/>
  <c r="L4377" i="14"/>
  <c r="L4365" i="14"/>
  <c r="L4353" i="14"/>
  <c r="L4341" i="14"/>
  <c r="L4329" i="14"/>
  <c r="L4317" i="14"/>
  <c r="L4305" i="14"/>
  <c r="L4293" i="14"/>
  <c r="L4281" i="14"/>
  <c r="L4269" i="14"/>
  <c r="L4257" i="14"/>
  <c r="L4245" i="14"/>
  <c r="L4233" i="14"/>
  <c r="L4221" i="14"/>
  <c r="L4209" i="14"/>
  <c r="L4197" i="14"/>
  <c r="L4185" i="14"/>
  <c r="L4173" i="14"/>
  <c r="L4161" i="14"/>
  <c r="L4149" i="14"/>
  <c r="L4137" i="14"/>
  <c r="L4125" i="14"/>
  <c r="L4113" i="14"/>
  <c r="L4101" i="14"/>
  <c r="L4089" i="14"/>
  <c r="L4077" i="14"/>
  <c r="L4065" i="14"/>
  <c r="L4053" i="14"/>
  <c r="L4041" i="14"/>
  <c r="L4029" i="14"/>
  <c r="L4017" i="14"/>
  <c r="L4005" i="14"/>
  <c r="L3993" i="14"/>
  <c r="L3981" i="14"/>
  <c r="L3969" i="14"/>
  <c r="L3957" i="14"/>
  <c r="L3945" i="14"/>
  <c r="L3933" i="14"/>
  <c r="L3921" i="14"/>
  <c r="L3909" i="14"/>
  <c r="L3897" i="14"/>
  <c r="L3885" i="14"/>
  <c r="L3873" i="14"/>
  <c r="L3861" i="14"/>
  <c r="L3849" i="14"/>
  <c r="L3837" i="14"/>
  <c r="L3825" i="14"/>
  <c r="L3813" i="14"/>
  <c r="L3801" i="14"/>
  <c r="L3789" i="14"/>
  <c r="L3777" i="14"/>
  <c r="L3765" i="14"/>
  <c r="L3753" i="14"/>
  <c r="L3741" i="14"/>
  <c r="L3729" i="14"/>
  <c r="L3717" i="14"/>
  <c r="L3705" i="14"/>
  <c r="L3693" i="14"/>
  <c r="L3681" i="14"/>
  <c r="L3669" i="14"/>
  <c r="L3657" i="14"/>
  <c r="L3645" i="14"/>
  <c r="L3633" i="14"/>
  <c r="L3621" i="14"/>
  <c r="L3609" i="14"/>
  <c r="L3597" i="14"/>
  <c r="L3585" i="14"/>
  <c r="L3573" i="14"/>
  <c r="L3561" i="14"/>
  <c r="L3549" i="14"/>
  <c r="L3537" i="14"/>
  <c r="L3525" i="14"/>
  <c r="L3513" i="14"/>
  <c r="L3501" i="14"/>
  <c r="L3489" i="14"/>
  <c r="L3477" i="14"/>
  <c r="L3465" i="14"/>
  <c r="L3453" i="14"/>
  <c r="L3441" i="14"/>
  <c r="L3429" i="14"/>
  <c r="L3417" i="14"/>
  <c r="L3405" i="14"/>
  <c r="L3393" i="14"/>
  <c r="L3381" i="14"/>
  <c r="L3369" i="14"/>
  <c r="L3357" i="14"/>
  <c r="L3345" i="14"/>
  <c r="L3333" i="14"/>
  <c r="L3321" i="14"/>
  <c r="L3309" i="14"/>
  <c r="L3297" i="14"/>
  <c r="L3285" i="14"/>
  <c r="L3273" i="14"/>
  <c r="L3261" i="14"/>
  <c r="L3249" i="14"/>
  <c r="L3237" i="14"/>
  <c r="L3225" i="14"/>
  <c r="L3213" i="14"/>
  <c r="L3201" i="14"/>
  <c r="L3189" i="14"/>
  <c r="L3177" i="14"/>
  <c r="L3165" i="14"/>
  <c r="L3153" i="14"/>
  <c r="L3141" i="14"/>
  <c r="L3129" i="14"/>
  <c r="L3117" i="14"/>
  <c r="L3105" i="14"/>
  <c r="L3093" i="14"/>
  <c r="L3081" i="14"/>
  <c r="L3069" i="14"/>
  <c r="L3057" i="14"/>
  <c r="L3045" i="14"/>
  <c r="L3033" i="14"/>
  <c r="L3021" i="14"/>
  <c r="L3009" i="14"/>
  <c r="L2997" i="14"/>
  <c r="L2985" i="14"/>
  <c r="L2973" i="14"/>
  <c r="L2961" i="14"/>
  <c r="L7115" i="14"/>
  <c r="L6950" i="14"/>
  <c r="L6786" i="14"/>
  <c r="L6647" i="14"/>
  <c r="L6505" i="14"/>
  <c r="L6368" i="14"/>
  <c r="L6270" i="14"/>
  <c r="L6183" i="14"/>
  <c r="L6114" i="14"/>
  <c r="L6056" i="14"/>
  <c r="L6008" i="14"/>
  <c r="L5960" i="14"/>
  <c r="L5912" i="14"/>
  <c r="L5864" i="14"/>
  <c r="L5816" i="14"/>
  <c r="L5768" i="14"/>
  <c r="L5720" i="14"/>
  <c r="L5672" i="14"/>
  <c r="L5624" i="14"/>
  <c r="L5576" i="14"/>
  <c r="L5528" i="14"/>
  <c r="L5480" i="14"/>
  <c r="L5432" i="14"/>
  <c r="L5384" i="14"/>
  <c r="L5336" i="14"/>
  <c r="L5288" i="14"/>
  <c r="L5240" i="14"/>
  <c r="L5192" i="14"/>
  <c r="L5144" i="14"/>
  <c r="L5096" i="14"/>
  <c r="L5048" i="14"/>
  <c r="L5000" i="14"/>
  <c r="L4952" i="14"/>
  <c r="L4904" i="14"/>
  <c r="L4856" i="14"/>
  <c r="L4808" i="14"/>
  <c r="L4760" i="14"/>
  <c r="L4712" i="14"/>
  <c r="L4664" i="14"/>
  <c r="L4616" i="14"/>
  <c r="L4572" i="14"/>
  <c r="L4541" i="14"/>
  <c r="L4511" i="14"/>
  <c r="L4484" i="14"/>
  <c r="L4460" i="14"/>
  <c r="L4447" i="14"/>
  <c r="L4435" i="14"/>
  <c r="L4423" i="14"/>
  <c r="L4411" i="14"/>
  <c r="L4399" i="14"/>
  <c r="L4387" i="14"/>
  <c r="L4375" i="14"/>
  <c r="L4363" i="14"/>
  <c r="L4351" i="14"/>
  <c r="L4339" i="14"/>
  <c r="L4327" i="14"/>
  <c r="L4315" i="14"/>
  <c r="L4303" i="14"/>
  <c r="L4291" i="14"/>
  <c r="L4279" i="14"/>
  <c r="L4267" i="14"/>
  <c r="L4255" i="14"/>
  <c r="L4243" i="14"/>
  <c r="L4231" i="14"/>
  <c r="L4219" i="14"/>
  <c r="L4207" i="14"/>
  <c r="L4195" i="14"/>
  <c r="L4183" i="14"/>
  <c r="L4171" i="14"/>
  <c r="L4159" i="14"/>
  <c r="L4147" i="14"/>
  <c r="L4135" i="14"/>
  <c r="L4123" i="14"/>
  <c r="L4111" i="14"/>
  <c r="L4099" i="14"/>
  <c r="L4087" i="14"/>
  <c r="L4075" i="14"/>
  <c r="L4063" i="14"/>
  <c r="L4051" i="14"/>
  <c r="L4039" i="14"/>
  <c r="L4027" i="14"/>
  <c r="L4015" i="14"/>
  <c r="L4003" i="14"/>
  <c r="L3991" i="14"/>
  <c r="L3979" i="14"/>
  <c r="L3967" i="14"/>
  <c r="L3955" i="14"/>
  <c r="L3943" i="14"/>
  <c r="L3931" i="14"/>
  <c r="L3919" i="14"/>
  <c r="L3907" i="14"/>
  <c r="L3895" i="14"/>
  <c r="L3883" i="14"/>
  <c r="L3871" i="14"/>
  <c r="L3859" i="14"/>
  <c r="L3847" i="14"/>
  <c r="L3835" i="14"/>
  <c r="L3823" i="14"/>
  <c r="L3811" i="14"/>
  <c r="L3799" i="14"/>
  <c r="L3787" i="14"/>
  <c r="L3775" i="14"/>
  <c r="L3763" i="14"/>
  <c r="L3751" i="14"/>
  <c r="L3739" i="14"/>
  <c r="L3727" i="14"/>
  <c r="L3715" i="14"/>
  <c r="L3703" i="14"/>
  <c r="L3691" i="14"/>
  <c r="L3679" i="14"/>
  <c r="L3667" i="14"/>
  <c r="L3655" i="14"/>
  <c r="L3643" i="14"/>
  <c r="L3631" i="14"/>
  <c r="L3619" i="14"/>
  <c r="L3607" i="14"/>
  <c r="L3595" i="14"/>
  <c r="L3583" i="14"/>
  <c r="L3571" i="14"/>
  <c r="L3559" i="14"/>
  <c r="L3547" i="14"/>
  <c r="L3535" i="14"/>
  <c r="L3523" i="14"/>
  <c r="L3511" i="14"/>
  <c r="L3499" i="14"/>
  <c r="L3487" i="14"/>
  <c r="L3475" i="14"/>
  <c r="L3463" i="14"/>
  <c r="L3451" i="14"/>
  <c r="L3439" i="14"/>
  <c r="L3427" i="14"/>
  <c r="L3415" i="14"/>
  <c r="L3403" i="14"/>
  <c r="L3391" i="14"/>
  <c r="L3379" i="14"/>
  <c r="L3367" i="14"/>
  <c r="L3355" i="14"/>
  <c r="L3343" i="14"/>
  <c r="L3331" i="14"/>
  <c r="L3319" i="14"/>
  <c r="L3307" i="14"/>
  <c r="L3295" i="14"/>
  <c r="L3283" i="14"/>
  <c r="L3271" i="14"/>
  <c r="L3259" i="14"/>
  <c r="L3247" i="14"/>
  <c r="L3235" i="14"/>
  <c r="L3223" i="14"/>
  <c r="L3211" i="14"/>
  <c r="L3199" i="14"/>
  <c r="L3187" i="14"/>
  <c r="L3175" i="14"/>
  <c r="L3163" i="14"/>
  <c r="L3151" i="14"/>
  <c r="L3139" i="14"/>
  <c r="L3127" i="14"/>
  <c r="L3115" i="14"/>
  <c r="L3103" i="14"/>
  <c r="L3091" i="14"/>
  <c r="L3079" i="14"/>
  <c r="L3067" i="14"/>
  <c r="L3055" i="14"/>
  <c r="L3043" i="14"/>
  <c r="L3031" i="14"/>
  <c r="L3019" i="14"/>
  <c r="L3007" i="14"/>
  <c r="L2995" i="14"/>
  <c r="L2983" i="14"/>
  <c r="L2971" i="14"/>
  <c r="L2959" i="14"/>
  <c r="L7086" i="14"/>
  <c r="L6923" i="14"/>
  <c r="L6759" i="14"/>
  <c r="L6620" i="14"/>
  <c r="L6482" i="14"/>
  <c r="L6351" i="14"/>
  <c r="L6255" i="14"/>
  <c r="L6170" i="14"/>
  <c r="L6104" i="14"/>
  <c r="L6048" i="14"/>
  <c r="L6000" i="14"/>
  <c r="L5952" i="14"/>
  <c r="L5904" i="14"/>
  <c r="L5856" i="14"/>
  <c r="L5808" i="14"/>
  <c r="L5760" i="14"/>
  <c r="L5712" i="14"/>
  <c r="L5664" i="14"/>
  <c r="L5616" i="14"/>
  <c r="L5568" i="14"/>
  <c r="L5520" i="14"/>
  <c r="L5472" i="14"/>
  <c r="L5424" i="14"/>
  <c r="L5376" i="14"/>
  <c r="L5328" i="14"/>
  <c r="L5280" i="14"/>
  <c r="L5232" i="14"/>
  <c r="L5184" i="14"/>
  <c r="L5136" i="14"/>
  <c r="L5088" i="14"/>
  <c r="L5040" i="14"/>
  <c r="L4992" i="14"/>
  <c r="L4944" i="14"/>
  <c r="L4896" i="14"/>
  <c r="L4848" i="14"/>
  <c r="L4800" i="14"/>
  <c r="L4752" i="14"/>
  <c r="L4704" i="14"/>
  <c r="L4656" i="14"/>
  <c r="L4608" i="14"/>
  <c r="L4571" i="14"/>
  <c r="L4536" i="14"/>
  <c r="L4509" i="14"/>
  <c r="L4481" i="14"/>
  <c r="L4458" i="14"/>
  <c r="L4446" i="14"/>
  <c r="L4434" i="14"/>
  <c r="L4422" i="14"/>
  <c r="L4410" i="14"/>
  <c r="L4398" i="14"/>
  <c r="L4386" i="14"/>
  <c r="L4374" i="14"/>
  <c r="L4362" i="14"/>
  <c r="L4350" i="14"/>
  <c r="L4338" i="14"/>
  <c r="L4326" i="14"/>
  <c r="L4314" i="14"/>
  <c r="L4302" i="14"/>
  <c r="L4290" i="14"/>
  <c r="L4278" i="14"/>
  <c r="L4266" i="14"/>
  <c r="L4254" i="14"/>
  <c r="L4242" i="14"/>
  <c r="L4230" i="14"/>
  <c r="L4218" i="14"/>
  <c r="L4206" i="14"/>
  <c r="L4194" i="14"/>
  <c r="L4182" i="14"/>
  <c r="L4170" i="14"/>
  <c r="L4158" i="14"/>
  <c r="L4146" i="14"/>
  <c r="L4134" i="14"/>
  <c r="L4122" i="14"/>
  <c r="L4110" i="14"/>
  <c r="L4098" i="14"/>
  <c r="L4086" i="14"/>
  <c r="L4074" i="14"/>
  <c r="L4062" i="14"/>
  <c r="L4050" i="14"/>
  <c r="L4038" i="14"/>
  <c r="L4026" i="14"/>
  <c r="L4014" i="14"/>
  <c r="L4002" i="14"/>
  <c r="L3990" i="14"/>
  <c r="L3978" i="14"/>
  <c r="L3966" i="14"/>
  <c r="L3954" i="14"/>
  <c r="L3942" i="14"/>
  <c r="L3930" i="14"/>
  <c r="L3918" i="14"/>
  <c r="L3906" i="14"/>
  <c r="L3894" i="14"/>
  <c r="L3882" i="14"/>
  <c r="L3870" i="14"/>
  <c r="L3858" i="14"/>
  <c r="L3846" i="14"/>
  <c r="L3834" i="14"/>
  <c r="L3822" i="14"/>
  <c r="L3810" i="14"/>
  <c r="L3798" i="14"/>
  <c r="L3786" i="14"/>
  <c r="L3774" i="14"/>
  <c r="L3762" i="14"/>
  <c r="L3750" i="14"/>
  <c r="L3738" i="14"/>
  <c r="L3726" i="14"/>
  <c r="L3714" i="14"/>
  <c r="L3702" i="14"/>
  <c r="L3690" i="14"/>
  <c r="L3678" i="14"/>
  <c r="L3666" i="14"/>
  <c r="L3654" i="14"/>
  <c r="L3642" i="14"/>
  <c r="L3630" i="14"/>
  <c r="L3618" i="14"/>
  <c r="L3606" i="14"/>
  <c r="L3594" i="14"/>
  <c r="L3582" i="14"/>
  <c r="L3570" i="14"/>
  <c r="L3558" i="14"/>
  <c r="L3546" i="14"/>
  <c r="L3534" i="14"/>
  <c r="L3522" i="14"/>
  <c r="L3510" i="14"/>
  <c r="L3498" i="14"/>
  <c r="L3486" i="14"/>
  <c r="L3474" i="14"/>
  <c r="L3462" i="14"/>
  <c r="L3450" i="14"/>
  <c r="L3438" i="14"/>
  <c r="L3426" i="14"/>
  <c r="L3414" i="14"/>
  <c r="L3402" i="14"/>
  <c r="L3390" i="14"/>
  <c r="L3378" i="14"/>
  <c r="L3366" i="14"/>
  <c r="L3354" i="14"/>
  <c r="L3342" i="14"/>
  <c r="L3330" i="14"/>
  <c r="L3318" i="14"/>
  <c r="L3306" i="14"/>
  <c r="L3294" i="14"/>
  <c r="L3282" i="14"/>
  <c r="L3270" i="14"/>
  <c r="L3258" i="14"/>
  <c r="L3246" i="14"/>
  <c r="L3234" i="14"/>
  <c r="L3222" i="14"/>
  <c r="L3210" i="14"/>
  <c r="L3198" i="14"/>
  <c r="L3186" i="14"/>
  <c r="L3174" i="14"/>
  <c r="L3162" i="14"/>
  <c r="L3150" i="14"/>
  <c r="L3138" i="14"/>
  <c r="L3126" i="14"/>
  <c r="L3114" i="14"/>
  <c r="L3102" i="14"/>
  <c r="L3090" i="14"/>
  <c r="L3078" i="14"/>
  <c r="L3066" i="14"/>
  <c r="L3054" i="14"/>
  <c r="L3042" i="14"/>
  <c r="L3030" i="14"/>
  <c r="L3018" i="14"/>
  <c r="L3006" i="14"/>
  <c r="L2994" i="14"/>
  <c r="L2982" i="14"/>
  <c r="L2970" i="14"/>
  <c r="L7085" i="14"/>
  <c r="L6918" i="14"/>
  <c r="L6757" i="14"/>
  <c r="L6615" i="14"/>
  <c r="L6476" i="14"/>
  <c r="L6350" i="14"/>
  <c r="L6254" i="14"/>
  <c r="L6169" i="14"/>
  <c r="L6103" i="14"/>
  <c r="L6047" i="14"/>
  <c r="L5999" i="14"/>
  <c r="L5951" i="14"/>
  <c r="L5903" i="14"/>
  <c r="L5855" i="14"/>
  <c r="L5807" i="14"/>
  <c r="L5759" i="14"/>
  <c r="L5711" i="14"/>
  <c r="L5663" i="14"/>
  <c r="L5615" i="14"/>
  <c r="L5567" i="14"/>
  <c r="L5519" i="14"/>
  <c r="L5471" i="14"/>
  <c r="L5423" i="14"/>
  <c r="L5375" i="14"/>
  <c r="L5327" i="14"/>
  <c r="L5279" i="14"/>
  <c r="L5231" i="14"/>
  <c r="L5183" i="14"/>
  <c r="L5135" i="14"/>
  <c r="L5087" i="14"/>
  <c r="L5039" i="14"/>
  <c r="L4991" i="14"/>
  <c r="L4943" i="14"/>
  <c r="L4895" i="14"/>
  <c r="L4847" i="14"/>
  <c r="L4799" i="14"/>
  <c r="L4751" i="14"/>
  <c r="L4703" i="14"/>
  <c r="L4655" i="14"/>
  <c r="L4607" i="14"/>
  <c r="L4569" i="14"/>
  <c r="L4535" i="14"/>
  <c r="L4508" i="14"/>
  <c r="L4476" i="14"/>
  <c r="L4457" i="14"/>
  <c r="L4445" i="14"/>
  <c r="L4433" i="14"/>
  <c r="L4421" i="14"/>
  <c r="L4409" i="14"/>
  <c r="L4397" i="14"/>
  <c r="L4385" i="14"/>
  <c r="L4373" i="14"/>
  <c r="L4361" i="14"/>
  <c r="L4349" i="14"/>
  <c r="L4337" i="14"/>
  <c r="L4325" i="14"/>
  <c r="L4313" i="14"/>
  <c r="L4301" i="14"/>
  <c r="L4289" i="14"/>
  <c r="L4277" i="14"/>
  <c r="L4265" i="14"/>
  <c r="L4253" i="14"/>
  <c r="L4241" i="14"/>
  <c r="L4229" i="14"/>
  <c r="L4217" i="14"/>
  <c r="L4205" i="14"/>
  <c r="L4193" i="14"/>
  <c r="L4181" i="14"/>
  <c r="L4169" i="14"/>
  <c r="L4157" i="14"/>
  <c r="L4145" i="14"/>
  <c r="L4133" i="14"/>
  <c r="L4121" i="14"/>
  <c r="L4109" i="14"/>
  <c r="L4097" i="14"/>
  <c r="L4085" i="14"/>
  <c r="L4073" i="14"/>
  <c r="L4061" i="14"/>
  <c r="L4049" i="14"/>
  <c r="L4037" i="14"/>
  <c r="L4025" i="14"/>
  <c r="L4013" i="14"/>
  <c r="L4001" i="14"/>
  <c r="L3989" i="14"/>
  <c r="L3977" i="14"/>
  <c r="L3965" i="14"/>
  <c r="L3953" i="14"/>
  <c r="L3941" i="14"/>
  <c r="L3929" i="14"/>
  <c r="L3917" i="14"/>
  <c r="L3905" i="14"/>
  <c r="L3893" i="14"/>
  <c r="L3881" i="14"/>
  <c r="L3869" i="14"/>
  <c r="L3857" i="14"/>
  <c r="L3845" i="14"/>
  <c r="L3833" i="14"/>
  <c r="L3821" i="14"/>
  <c r="L3809" i="14"/>
  <c r="L3797" i="14"/>
  <c r="L3785" i="14"/>
  <c r="L3773" i="14"/>
  <c r="L3761" i="14"/>
  <c r="L3749" i="14"/>
  <c r="L3737" i="14"/>
  <c r="L3725" i="14"/>
  <c r="L3713" i="14"/>
  <c r="L3701" i="14"/>
  <c r="L3689" i="14"/>
  <c r="L7074" i="14"/>
  <c r="L6914" i="14"/>
  <c r="L6750" i="14"/>
  <c r="L6608" i="14"/>
  <c r="L6467" i="14"/>
  <c r="L6342" i="14"/>
  <c r="L6248" i="14"/>
  <c r="L6162" i="14"/>
  <c r="L6099" i="14"/>
  <c r="L6044" i="14"/>
  <c r="L5996" i="14"/>
  <c r="L5948" i="14"/>
  <c r="L5900" i="14"/>
  <c r="L5852" i="14"/>
  <c r="L5804" i="14"/>
  <c r="L5756" i="14"/>
  <c r="L5708" i="14"/>
  <c r="L5660" i="14"/>
  <c r="L5612" i="14"/>
  <c r="L5564" i="14"/>
  <c r="L5516" i="14"/>
  <c r="L5468" i="14"/>
  <c r="L5420" i="14"/>
  <c r="L5372" i="14"/>
  <c r="L5324" i="14"/>
  <c r="L5276" i="14"/>
  <c r="L5228" i="14"/>
  <c r="L5180" i="14"/>
  <c r="L5132" i="14"/>
  <c r="L5084" i="14"/>
  <c r="L5036" i="14"/>
  <c r="L4988" i="14"/>
  <c r="L4940" i="14"/>
  <c r="L4892" i="14"/>
  <c r="L4844" i="14"/>
  <c r="L4796" i="14"/>
  <c r="L4748" i="14"/>
  <c r="L4700" i="14"/>
  <c r="L4652" i="14"/>
  <c r="L4604" i="14"/>
  <c r="L4568" i="14"/>
  <c r="L4533" i="14"/>
  <c r="L4505" i="14"/>
  <c r="L4475" i="14"/>
  <c r="L4456" i="14"/>
  <c r="L4444" i="14"/>
  <c r="L4432" i="14"/>
  <c r="L4420" i="14"/>
  <c r="L4408" i="14"/>
  <c r="L4396" i="14"/>
  <c r="L4384" i="14"/>
  <c r="L4372" i="14"/>
  <c r="L4360" i="14"/>
  <c r="L4348" i="14"/>
  <c r="L4336" i="14"/>
  <c r="L4324" i="14"/>
  <c r="L4312" i="14"/>
  <c r="L4300" i="14"/>
  <c r="L4288" i="14"/>
  <c r="L4276" i="14"/>
  <c r="L4264" i="14"/>
  <c r="L4252" i="14"/>
  <c r="L4240" i="14"/>
  <c r="L4228" i="14"/>
  <c r="L4216" i="14"/>
  <c r="L4204" i="14"/>
  <c r="L4192" i="14"/>
  <c r="L4180" i="14"/>
  <c r="L4168" i="14"/>
  <c r="L4156" i="14"/>
  <c r="L4144" i="14"/>
  <c r="L4132" i="14"/>
  <c r="L4120" i="14"/>
  <c r="L4108" i="14"/>
  <c r="L4096" i="14"/>
  <c r="L4084" i="14"/>
  <c r="L4072" i="14"/>
  <c r="L4060" i="14"/>
  <c r="L4048" i="14"/>
  <c r="L4036" i="14"/>
  <c r="L4024" i="14"/>
  <c r="L4012" i="14"/>
  <c r="L4000" i="14"/>
  <c r="L3988" i="14"/>
  <c r="L3976" i="14"/>
  <c r="L3964" i="14"/>
  <c r="L3952" i="14"/>
  <c r="L3940" i="14"/>
  <c r="L3928" i="14"/>
  <c r="L3916" i="14"/>
  <c r="L3904" i="14"/>
  <c r="L3892" i="14"/>
  <c r="L3880" i="14"/>
  <c r="L3868" i="14"/>
  <c r="L3856" i="14"/>
  <c r="L3844" i="14"/>
  <c r="L3832" i="14"/>
  <c r="L3820" i="14"/>
  <c r="L3808" i="14"/>
  <c r="L3796" i="14"/>
  <c r="L3784" i="14"/>
  <c r="L3772" i="14"/>
  <c r="L3760" i="14"/>
  <c r="L3748" i="14"/>
  <c r="L3736" i="14"/>
  <c r="L3724" i="14"/>
  <c r="L3712" i="14"/>
  <c r="L3700" i="14"/>
  <c r="L3688" i="14"/>
  <c r="L3676" i="14"/>
  <c r="L3664" i="14"/>
  <c r="L3652" i="14"/>
  <c r="L3640" i="14"/>
  <c r="L3628" i="14"/>
  <c r="L3616" i="14"/>
  <c r="L3604" i="14"/>
  <c r="L3592" i="14"/>
  <c r="L3580" i="14"/>
  <c r="L3568" i="14"/>
  <c r="L3556" i="14"/>
  <c r="L3544" i="14"/>
  <c r="L3532" i="14"/>
  <c r="L3520" i="14"/>
  <c r="L3508" i="14"/>
  <c r="L3496" i="14"/>
  <c r="L3484" i="14"/>
  <c r="L3472" i="14"/>
  <c r="L3460" i="14"/>
  <c r="L3448" i="14"/>
  <c r="L3436" i="14"/>
  <c r="L3424" i="14"/>
  <c r="L3412" i="14"/>
  <c r="L3400" i="14"/>
  <c r="L3388" i="14"/>
  <c r="L3376" i="14"/>
  <c r="L3364" i="14"/>
  <c r="L3352" i="14"/>
  <c r="L3340" i="14"/>
  <c r="L3328" i="14"/>
  <c r="L3316" i="14"/>
  <c r="L3304" i="14"/>
  <c r="L3292" i="14"/>
  <c r="L3280" i="14"/>
  <c r="L3268" i="14"/>
  <c r="L3256" i="14"/>
  <c r="L3244" i="14"/>
  <c r="L3232" i="14"/>
  <c r="L3220" i="14"/>
  <c r="L3208" i="14"/>
  <c r="L3196" i="14"/>
  <c r="L3184" i="14"/>
  <c r="L3172" i="14"/>
  <c r="L3160" i="14"/>
  <c r="L3148" i="14"/>
  <c r="L3136" i="14"/>
  <c r="L3124" i="14"/>
  <c r="L3112" i="14"/>
  <c r="L3100" i="14"/>
  <c r="L3088" i="14"/>
  <c r="L3076" i="14"/>
  <c r="L3064" i="14"/>
  <c r="L3052" i="14"/>
  <c r="L3040" i="14"/>
  <c r="L3028" i="14"/>
  <c r="L3016" i="14"/>
  <c r="L3004" i="14"/>
  <c r="L2992" i="14"/>
  <c r="L2980" i="14"/>
  <c r="L2968" i="14"/>
  <c r="L2956" i="14"/>
  <c r="L7046" i="14"/>
  <c r="L6882" i="14"/>
  <c r="L6728" i="14"/>
  <c r="L6587" i="14"/>
  <c r="L6445" i="14"/>
  <c r="L6327" i="14"/>
  <c r="L6234" i="14"/>
  <c r="L6147" i="14"/>
  <c r="L6090" i="14"/>
  <c r="L6036" i="14"/>
  <c r="L5988" i="14"/>
  <c r="L5940" i="14"/>
  <c r="L5892" i="14"/>
  <c r="L5844" i="14"/>
  <c r="L5796" i="14"/>
  <c r="L5748" i="14"/>
  <c r="L5700" i="14"/>
  <c r="L5652" i="14"/>
  <c r="L5604" i="14"/>
  <c r="L5556" i="14"/>
  <c r="L5508" i="14"/>
  <c r="L5460" i="14"/>
  <c r="L5412" i="14"/>
  <c r="L5364" i="14"/>
  <c r="L5316" i="14"/>
  <c r="L5268" i="14"/>
  <c r="L5220" i="14"/>
  <c r="L5172" i="14"/>
  <c r="L5124" i="14"/>
  <c r="L5076" i="14"/>
  <c r="L5028" i="14"/>
  <c r="L4980" i="14"/>
  <c r="L4932" i="14"/>
  <c r="L4884" i="14"/>
  <c r="L4836" i="14"/>
  <c r="L4788" i="14"/>
  <c r="L4740" i="14"/>
  <c r="L4692" i="14"/>
  <c r="L4644" i="14"/>
  <c r="L4596" i="14"/>
  <c r="L4560" i="14"/>
  <c r="L4532" i="14"/>
  <c r="L4500" i="14"/>
  <c r="L4473" i="14"/>
  <c r="L4455" i="14"/>
  <c r="L4443" i="14"/>
  <c r="L4431" i="14"/>
  <c r="L4419" i="14"/>
  <c r="L4407" i="14"/>
  <c r="L4395" i="14"/>
  <c r="L4383" i="14"/>
  <c r="L4371" i="14"/>
  <c r="L4359" i="14"/>
  <c r="L4347" i="14"/>
  <c r="L4335" i="14"/>
  <c r="L4323" i="14"/>
  <c r="L4311" i="14"/>
  <c r="L4299" i="14"/>
  <c r="L4287" i="14"/>
  <c r="L4275" i="14"/>
  <c r="L4263" i="14"/>
  <c r="L4251" i="14"/>
  <c r="L4239" i="14"/>
  <c r="L4227" i="14"/>
  <c r="L4215" i="14"/>
  <c r="L4203" i="14"/>
  <c r="L4191" i="14"/>
  <c r="L4179" i="14"/>
  <c r="L4167" i="14"/>
  <c r="L4155" i="14"/>
  <c r="L4143" i="14"/>
  <c r="L4131" i="14"/>
  <c r="L4119" i="14"/>
  <c r="L4107" i="14"/>
  <c r="L4095" i="14"/>
  <c r="L4083" i="14"/>
  <c r="L4071" i="14"/>
  <c r="L4059" i="14"/>
  <c r="L4047" i="14"/>
  <c r="L4035" i="14"/>
  <c r="L4023" i="14"/>
  <c r="L4011" i="14"/>
  <c r="L3999" i="14"/>
  <c r="L3987" i="14"/>
  <c r="L3975" i="14"/>
  <c r="L3963" i="14"/>
  <c r="L3951" i="14"/>
  <c r="L3939" i="14"/>
  <c r="L3927" i="14"/>
  <c r="L3915" i="14"/>
  <c r="L3903" i="14"/>
  <c r="L3891" i="14"/>
  <c r="L3879" i="14"/>
  <c r="L3867" i="14"/>
  <c r="L3855" i="14"/>
  <c r="L3843" i="14"/>
  <c r="L3831" i="14"/>
  <c r="L3819" i="14"/>
  <c r="L3807" i="14"/>
  <c r="L3795" i="14"/>
  <c r="L3783" i="14"/>
  <c r="L3771" i="14"/>
  <c r="L3759" i="14"/>
  <c r="L3747" i="14"/>
  <c r="L3735" i="14"/>
  <c r="L3723" i="14"/>
  <c r="L3711" i="14"/>
  <c r="L3699" i="14"/>
  <c r="L3687" i="14"/>
  <c r="L3675" i="14"/>
  <c r="L3663" i="14"/>
  <c r="L3651" i="14"/>
  <c r="L3639" i="14"/>
  <c r="L3627" i="14"/>
  <c r="L3615" i="14"/>
  <c r="L3603" i="14"/>
  <c r="L3591" i="14"/>
  <c r="L3579" i="14"/>
  <c r="L3567" i="14"/>
  <c r="L3555" i="14"/>
  <c r="L3543" i="14"/>
  <c r="L3531" i="14"/>
  <c r="L3519" i="14"/>
  <c r="L3507" i="14"/>
  <c r="L3495" i="14"/>
  <c r="L3483" i="14"/>
  <c r="L3471" i="14"/>
  <c r="L3459" i="14"/>
  <c r="L3447" i="14"/>
  <c r="L3435" i="14"/>
  <c r="L3423" i="14"/>
  <c r="L3411" i="14"/>
  <c r="L3399" i="14"/>
  <c r="L3387" i="14"/>
  <c r="L3375" i="14"/>
  <c r="L3363" i="14"/>
  <c r="L3351" i="14"/>
  <c r="L3339" i="14"/>
  <c r="L3327" i="14"/>
  <c r="L3315" i="14"/>
  <c r="L3303" i="14"/>
  <c r="L3291" i="14"/>
  <c r="L3279" i="14"/>
  <c r="L3267" i="14"/>
  <c r="L3255" i="14"/>
  <c r="L3243" i="14"/>
  <c r="L3231" i="14"/>
  <c r="L3219" i="14"/>
  <c r="L3207" i="14"/>
  <c r="L3195" i="14"/>
  <c r="L3183" i="14"/>
  <c r="L3171" i="14"/>
  <c r="L3159" i="14"/>
  <c r="L3147" i="14"/>
  <c r="L3135" i="14"/>
  <c r="L3123" i="14"/>
  <c r="L3111" i="14"/>
  <c r="L7043" i="14"/>
  <c r="L6878" i="14"/>
  <c r="L6723" i="14"/>
  <c r="L6584" i="14"/>
  <c r="L6443" i="14"/>
  <c r="L6325" i="14"/>
  <c r="L6233" i="14"/>
  <c r="L6146" i="14"/>
  <c r="L6089" i="14"/>
  <c r="L6035" i="14"/>
  <c r="L5987" i="14"/>
  <c r="L5939" i="14"/>
  <c r="L5891" i="14"/>
  <c r="L5843" i="14"/>
  <c r="L5795" i="14"/>
  <c r="L5747" i="14"/>
  <c r="L5699" i="14"/>
  <c r="L5651" i="14"/>
  <c r="L5603" i="14"/>
  <c r="L5555" i="14"/>
  <c r="L5507" i="14"/>
  <c r="L5459" i="14"/>
  <c r="L5411" i="14"/>
  <c r="L5363" i="14"/>
  <c r="L5315" i="14"/>
  <c r="L5267" i="14"/>
  <c r="L5219" i="14"/>
  <c r="L5171" i="14"/>
  <c r="L5123" i="14"/>
  <c r="L5075" i="14"/>
  <c r="L5027" i="14"/>
  <c r="L4979" i="14"/>
  <c r="L4931" i="14"/>
  <c r="L4883" i="14"/>
  <c r="L4835" i="14"/>
  <c r="L4787" i="14"/>
  <c r="L4739" i="14"/>
  <c r="L4691" i="14"/>
  <c r="L4643" i="14"/>
  <c r="L4595" i="14"/>
  <c r="L4559" i="14"/>
  <c r="L4529" i="14"/>
  <c r="L4499" i="14"/>
  <c r="L4472" i="14"/>
  <c r="L4454" i="14"/>
  <c r="L4442" i="14"/>
  <c r="L4430" i="14"/>
  <c r="L4418" i="14"/>
  <c r="L4406" i="14"/>
  <c r="L4394" i="14"/>
  <c r="L4382" i="14"/>
  <c r="L4370" i="14"/>
  <c r="L4358" i="14"/>
  <c r="L4346" i="14"/>
  <c r="L4334" i="14"/>
  <c r="L4322" i="14"/>
  <c r="L4310" i="14"/>
  <c r="L4298" i="14"/>
  <c r="L4286" i="14"/>
  <c r="L4274" i="14"/>
  <c r="L4262" i="14"/>
  <c r="L4250" i="14"/>
  <c r="L4238" i="14"/>
  <c r="L4226" i="14"/>
  <c r="L4214" i="14"/>
  <c r="L4202" i="14"/>
  <c r="L4190" i="14"/>
  <c r="L4178" i="14"/>
  <c r="L4166" i="14"/>
  <c r="L4154" i="14"/>
  <c r="L4142" i="14"/>
  <c r="L4130" i="14"/>
  <c r="L4118" i="14"/>
  <c r="L4106" i="14"/>
  <c r="L4094" i="14"/>
  <c r="L4082" i="14"/>
  <c r="L4070" i="14"/>
  <c r="L4058" i="14"/>
  <c r="L4046" i="14"/>
  <c r="L4034" i="14"/>
  <c r="L4022" i="14"/>
  <c r="L4010" i="14"/>
  <c r="L3998" i="14"/>
  <c r="L3986" i="14"/>
  <c r="L3974" i="14"/>
  <c r="L3962" i="14"/>
  <c r="L3950" i="14"/>
  <c r="L3938" i="14"/>
  <c r="L3926" i="14"/>
  <c r="L3914" i="14"/>
  <c r="L3902" i="14"/>
  <c r="L3890" i="14"/>
  <c r="L3878" i="14"/>
  <c r="L3866" i="14"/>
  <c r="L3854" i="14"/>
  <c r="L3842" i="14"/>
  <c r="L3830" i="14"/>
  <c r="L3818" i="14"/>
  <c r="L3806" i="14"/>
  <c r="L3794" i="14"/>
  <c r="L3782" i="14"/>
  <c r="L3770" i="14"/>
  <c r="L3758" i="14"/>
  <c r="L3746" i="14"/>
  <c r="L3734" i="14"/>
  <c r="L3722" i="14"/>
  <c r="L3710" i="14"/>
  <c r="L3698" i="14"/>
  <c r="L3686" i="14"/>
  <c r="L3674" i="14"/>
  <c r="L3662" i="14"/>
  <c r="L3650" i="14"/>
  <c r="L3638" i="14"/>
  <c r="L3626" i="14"/>
  <c r="L3614" i="14"/>
  <c r="L3602" i="14"/>
  <c r="L3590" i="14"/>
  <c r="L3578" i="14"/>
  <c r="L3566" i="14"/>
  <c r="L3554" i="14"/>
  <c r="L3542" i="14"/>
  <c r="L3530" i="14"/>
  <c r="L3518" i="14"/>
  <c r="L3506" i="14"/>
  <c r="L3494" i="14"/>
  <c r="L3482" i="14"/>
  <c r="L3470" i="14"/>
  <c r="L3458" i="14"/>
  <c r="L3446" i="14"/>
  <c r="L3434" i="14"/>
  <c r="L3422" i="14"/>
  <c r="L3410" i="14"/>
  <c r="L3398" i="14"/>
  <c r="L3386" i="14"/>
  <c r="L3374" i="14"/>
  <c r="L3362" i="14"/>
  <c r="L3350" i="14"/>
  <c r="L3338" i="14"/>
  <c r="L3326" i="14"/>
  <c r="L3314" i="14"/>
  <c r="L3302" i="14"/>
  <c r="L3290" i="14"/>
  <c r="L3278" i="14"/>
  <c r="L3266" i="14"/>
  <c r="L3254" i="14"/>
  <c r="L3242" i="14"/>
  <c r="L3230" i="14"/>
  <c r="L3218" i="14"/>
  <c r="L3206" i="14"/>
  <c r="L3194" i="14"/>
  <c r="L3182" i="14"/>
  <c r="L3170" i="14"/>
  <c r="L3158" i="14"/>
  <c r="L3146" i="14"/>
  <c r="L3134" i="14"/>
  <c r="L3122" i="14"/>
  <c r="L3110" i="14"/>
  <c r="L3098" i="14"/>
  <c r="L7035" i="14"/>
  <c r="L6869" i="14"/>
  <c r="L6713" i="14"/>
  <c r="L6570" i="14"/>
  <c r="L6431" i="14"/>
  <c r="L6318" i="14"/>
  <c r="L6227" i="14"/>
  <c r="L6143" i="14"/>
  <c r="L6085" i="14"/>
  <c r="L6032" i="14"/>
  <c r="L5984" i="14"/>
  <c r="L5936" i="14"/>
  <c r="L5888" i="14"/>
  <c r="L5840" i="14"/>
  <c r="L5792" i="14"/>
  <c r="L5744" i="14"/>
  <c r="L5696" i="14"/>
  <c r="L5648" i="14"/>
  <c r="L5600" i="14"/>
  <c r="L5552" i="14"/>
  <c r="L5504" i="14"/>
  <c r="L5456" i="14"/>
  <c r="L5408" i="14"/>
  <c r="L5360" i="14"/>
  <c r="L5312" i="14"/>
  <c r="L5264" i="14"/>
  <c r="L5216" i="14"/>
  <c r="L5168" i="14"/>
  <c r="L5120" i="14"/>
  <c r="L5072" i="14"/>
  <c r="L5024" i="14"/>
  <c r="L4976" i="14"/>
  <c r="L4928" i="14"/>
  <c r="L4880" i="14"/>
  <c r="L4832" i="14"/>
  <c r="L4784" i="14"/>
  <c r="L4736" i="14"/>
  <c r="L4688" i="14"/>
  <c r="L4640" i="14"/>
  <c r="L4593" i="14"/>
  <c r="L4557" i="14"/>
  <c r="L4524" i="14"/>
  <c r="L4497" i="14"/>
  <c r="L4469" i="14"/>
  <c r="L4453" i="14"/>
  <c r="L4441" i="14"/>
  <c r="L4429" i="14"/>
  <c r="L4417" i="14"/>
  <c r="L4405" i="14"/>
  <c r="L4393" i="14"/>
  <c r="L4381" i="14"/>
  <c r="L4369" i="14"/>
  <c r="L4357" i="14"/>
  <c r="L4345" i="14"/>
  <c r="L4333" i="14"/>
  <c r="L4321" i="14"/>
  <c r="L4309" i="14"/>
  <c r="L4297" i="14"/>
  <c r="L4285" i="14"/>
  <c r="L4273" i="14"/>
  <c r="L4261" i="14"/>
  <c r="L4249" i="14"/>
  <c r="L4237" i="14"/>
  <c r="L4225" i="14"/>
  <c r="L4213" i="14"/>
  <c r="L4201" i="14"/>
  <c r="L4189" i="14"/>
  <c r="L4177" i="14"/>
  <c r="L4165" i="14"/>
  <c r="L4153" i="14"/>
  <c r="L4141" i="14"/>
  <c r="L4129" i="14"/>
  <c r="L4117" i="14"/>
  <c r="L4105" i="14"/>
  <c r="L4093" i="14"/>
  <c r="L4081" i="14"/>
  <c r="L4069" i="14"/>
  <c r="L4057" i="14"/>
  <c r="L4045" i="14"/>
  <c r="L4033" i="14"/>
  <c r="L4021" i="14"/>
  <c r="L4009" i="14"/>
  <c r="L3997" i="14"/>
  <c r="L3985" i="14"/>
  <c r="L3973" i="14"/>
  <c r="L3961" i="14"/>
  <c r="L3949" i="14"/>
  <c r="L3937" i="14"/>
  <c r="L3925" i="14"/>
  <c r="L3913" i="14"/>
  <c r="L3901" i="14"/>
  <c r="L3889" i="14"/>
  <c r="L3877" i="14"/>
  <c r="L3865" i="14"/>
  <c r="L3853" i="14"/>
  <c r="L3841" i="14"/>
  <c r="L3829" i="14"/>
  <c r="L3817" i="14"/>
  <c r="L3805" i="14"/>
  <c r="L3793" i="14"/>
  <c r="L3781" i="14"/>
  <c r="L3769" i="14"/>
  <c r="L3757" i="14"/>
  <c r="L3745" i="14"/>
  <c r="L3733" i="14"/>
  <c r="L3721" i="14"/>
  <c r="L3709" i="14"/>
  <c r="L3697" i="14"/>
  <c r="L3685" i="14"/>
  <c r="L3673" i="14"/>
  <c r="L3661" i="14"/>
  <c r="L3649" i="14"/>
  <c r="L3637" i="14"/>
  <c r="L3625" i="14"/>
  <c r="L3613" i="14"/>
  <c r="L3601" i="14"/>
  <c r="L3589" i="14"/>
  <c r="L3577" i="14"/>
  <c r="L3565" i="14"/>
  <c r="L3553" i="14"/>
  <c r="L3541" i="14"/>
  <c r="L3529" i="14"/>
  <c r="L3517" i="14"/>
  <c r="L3505" i="14"/>
  <c r="L3493" i="14"/>
  <c r="L3481" i="14"/>
  <c r="L3469" i="14"/>
  <c r="L3457" i="14"/>
  <c r="L3445" i="14"/>
  <c r="L3433" i="14"/>
  <c r="L3421" i="14"/>
  <c r="L3409" i="14"/>
  <c r="L3397" i="14"/>
  <c r="L3385" i="14"/>
  <c r="L3373" i="14"/>
  <c r="L3361" i="14"/>
  <c r="L3349" i="14"/>
  <c r="L3337" i="14"/>
  <c r="L3325" i="14"/>
  <c r="L3313" i="14"/>
  <c r="L3301" i="14"/>
  <c r="L3289" i="14"/>
  <c r="L3277" i="14"/>
  <c r="L3265" i="14"/>
  <c r="L3253" i="14"/>
  <c r="L3241" i="14"/>
  <c r="L3229" i="14"/>
  <c r="L3217" i="14"/>
  <c r="L3205" i="14"/>
  <c r="L3193" i="14"/>
  <c r="L3181" i="14"/>
  <c r="L3169" i="14"/>
  <c r="L3157" i="14"/>
  <c r="L3145" i="14"/>
  <c r="L3133" i="14"/>
  <c r="L3121" i="14"/>
  <c r="L3109" i="14"/>
  <c r="L3097" i="14"/>
  <c r="L3085" i="14"/>
  <c r="L3073" i="14"/>
  <c r="L3061" i="14"/>
  <c r="L3049" i="14"/>
  <c r="L3037" i="14"/>
  <c r="L3025" i="14"/>
  <c r="L3013" i="14"/>
  <c r="L3001" i="14"/>
  <c r="L2989" i="14"/>
  <c r="L2977" i="14"/>
  <c r="L2965" i="14"/>
  <c r="L7166" i="14"/>
  <c r="L7002" i="14"/>
  <c r="L6842" i="14"/>
  <c r="L6689" i="14"/>
  <c r="L6546" i="14"/>
  <c r="L6404" i="14"/>
  <c r="L6301" i="14"/>
  <c r="L6210" i="14"/>
  <c r="L6132" i="14"/>
  <c r="L6074" i="14"/>
  <c r="L6023" i="14"/>
  <c r="L5975" i="14"/>
  <c r="L5927" i="14"/>
  <c r="L5879" i="14"/>
  <c r="L5831" i="14"/>
  <c r="L5783" i="14"/>
  <c r="L5735" i="14"/>
  <c r="L5687" i="14"/>
  <c r="L5639" i="14"/>
  <c r="L5591" i="14"/>
  <c r="L5543" i="14"/>
  <c r="L5495" i="14"/>
  <c r="L5447" i="14"/>
  <c r="L5399" i="14"/>
  <c r="L5351" i="14"/>
  <c r="L5303" i="14"/>
  <c r="L5255" i="14"/>
  <c r="L5207" i="14"/>
  <c r="L5159" i="14"/>
  <c r="L5111" i="14"/>
  <c r="L5063" i="14"/>
  <c r="L5015" i="14"/>
  <c r="L4967" i="14"/>
  <c r="L4919" i="14"/>
  <c r="L4871" i="14"/>
  <c r="L4823" i="14"/>
  <c r="L4775" i="14"/>
  <c r="L4727" i="14"/>
  <c r="L4679" i="14"/>
  <c r="L4631" i="14"/>
  <c r="L4584" i="14"/>
  <c r="L4548" i="14"/>
  <c r="L4521" i="14"/>
  <c r="L4493" i="14"/>
  <c r="L4464" i="14"/>
  <c r="L4451" i="14"/>
  <c r="L4439" i="14"/>
  <c r="L4427" i="14"/>
  <c r="L4415" i="14"/>
  <c r="L4403" i="14"/>
  <c r="L4391" i="14"/>
  <c r="L4379" i="14"/>
  <c r="L4367" i="14"/>
  <c r="L4355" i="14"/>
  <c r="L4343" i="14"/>
  <c r="L4331" i="14"/>
  <c r="L4319" i="14"/>
  <c r="L4307" i="14"/>
  <c r="L4295" i="14"/>
  <c r="L4283" i="14"/>
  <c r="L4271" i="14"/>
  <c r="L4259" i="14"/>
  <c r="L4247" i="14"/>
  <c r="L4235" i="14"/>
  <c r="L4223" i="14"/>
  <c r="L4211" i="14"/>
  <c r="L4199" i="14"/>
  <c r="L4187" i="14"/>
  <c r="L4175" i="14"/>
  <c r="L4163" i="14"/>
  <c r="L4151" i="14"/>
  <c r="L4139" i="14"/>
  <c r="L4127" i="14"/>
  <c r="L4115" i="14"/>
  <c r="L4103" i="14"/>
  <c r="L4091" i="14"/>
  <c r="L4079" i="14"/>
  <c r="L4067" i="14"/>
  <c r="L4055" i="14"/>
  <c r="L4043" i="14"/>
  <c r="L4031" i="14"/>
  <c r="L4019" i="14"/>
  <c r="L4007" i="14"/>
  <c r="L3995" i="14"/>
  <c r="L3983" i="14"/>
  <c r="L3971" i="14"/>
  <c r="L3959" i="14"/>
  <c r="L3947" i="14"/>
  <c r="L3935" i="14"/>
  <c r="L3923" i="14"/>
  <c r="L3911" i="14"/>
  <c r="L3899" i="14"/>
  <c r="L3887" i="14"/>
  <c r="L3875" i="14"/>
  <c r="L3863" i="14"/>
  <c r="L3851" i="14"/>
  <c r="L3839" i="14"/>
  <c r="L3827" i="14"/>
  <c r="L3815" i="14"/>
  <c r="L3803" i="14"/>
  <c r="L3791" i="14"/>
  <c r="L3779" i="14"/>
  <c r="L3767" i="14"/>
  <c r="L3755" i="14"/>
  <c r="L3743" i="14"/>
  <c r="L3731" i="14"/>
  <c r="L3719" i="14"/>
  <c r="L3707" i="14"/>
  <c r="L3695" i="14"/>
  <c r="L3683" i="14"/>
  <c r="L3671" i="14"/>
  <c r="L3659" i="14"/>
  <c r="L3647" i="14"/>
  <c r="L7010" i="14"/>
  <c r="L6212" i="14"/>
  <c r="L5880" i="14"/>
  <c r="L5592" i="14"/>
  <c r="L5304" i="14"/>
  <c r="L5016" i="14"/>
  <c r="L4728" i="14"/>
  <c r="L4496" i="14"/>
  <c r="L4404" i="14"/>
  <c r="L4332" i="14"/>
  <c r="L4260" i="14"/>
  <c r="L4188" i="14"/>
  <c r="L4116" i="14"/>
  <c r="L4044" i="14"/>
  <c r="L3972" i="14"/>
  <c r="L3900" i="14"/>
  <c r="L3828" i="14"/>
  <c r="L3756" i="14"/>
  <c r="L3684" i="14"/>
  <c r="L3636" i="14"/>
  <c r="L3600" i="14"/>
  <c r="L3564" i="14"/>
  <c r="L3528" i="14"/>
  <c r="L3492" i="14"/>
  <c r="L3456" i="14"/>
  <c r="L3420" i="14"/>
  <c r="L3384" i="14"/>
  <c r="L3348" i="14"/>
  <c r="L3312" i="14"/>
  <c r="L3276" i="14"/>
  <c r="L3240" i="14"/>
  <c r="L3204" i="14"/>
  <c r="L3168" i="14"/>
  <c r="L3132" i="14"/>
  <c r="L3099" i="14"/>
  <c r="L3074" i="14"/>
  <c r="L3050" i="14"/>
  <c r="L3026" i="14"/>
  <c r="L3002" i="14"/>
  <c r="L2978" i="14"/>
  <c r="L2955" i="14"/>
  <c r="L2943" i="14"/>
  <c r="L2931" i="14"/>
  <c r="L2919" i="14"/>
  <c r="L2907" i="14"/>
  <c r="L2895" i="14"/>
  <c r="L2883" i="14"/>
  <c r="L2871" i="14"/>
  <c r="L2859" i="14"/>
  <c r="L2847" i="14"/>
  <c r="L2835" i="14"/>
  <c r="L2823" i="14"/>
  <c r="L2811" i="14"/>
  <c r="L2799" i="14"/>
  <c r="L2787" i="14"/>
  <c r="L2775" i="14"/>
  <c r="L2763" i="14"/>
  <c r="L2751" i="14"/>
  <c r="L2739" i="14"/>
  <c r="L2727" i="14"/>
  <c r="L2715" i="14"/>
  <c r="L2703" i="14"/>
  <c r="L2691" i="14"/>
  <c r="L2679" i="14"/>
  <c r="L2667" i="14"/>
  <c r="L2655" i="14"/>
  <c r="L2643" i="14"/>
  <c r="L2631" i="14"/>
  <c r="L2619" i="14"/>
  <c r="L2607" i="14"/>
  <c r="L2595" i="14"/>
  <c r="L2583" i="14"/>
  <c r="L2571" i="14"/>
  <c r="L2559" i="14"/>
  <c r="L2547" i="14"/>
  <c r="L2535" i="14"/>
  <c r="L2523" i="14"/>
  <c r="L2511" i="14"/>
  <c r="L2499" i="14"/>
  <c r="L2487" i="14"/>
  <c r="L2475" i="14"/>
  <c r="L2463" i="14"/>
  <c r="L2451" i="14"/>
  <c r="L2439" i="14"/>
  <c r="L2427" i="14"/>
  <c r="L2415" i="14"/>
  <c r="L2403" i="14"/>
  <c r="L2391" i="14"/>
  <c r="L2379" i="14"/>
  <c r="L2367" i="14"/>
  <c r="L2355" i="14"/>
  <c r="L2343" i="14"/>
  <c r="L2331" i="14"/>
  <c r="L2319" i="14"/>
  <c r="L2307" i="14"/>
  <c r="L2295" i="14"/>
  <c r="L2283" i="14"/>
  <c r="L2271" i="14"/>
  <c r="L2259" i="14"/>
  <c r="L2247" i="14"/>
  <c r="L2235" i="14"/>
  <c r="L2223" i="14"/>
  <c r="L2211" i="14"/>
  <c r="L2199" i="14"/>
  <c r="L2187" i="14"/>
  <c r="L2175" i="14"/>
  <c r="L2163" i="14"/>
  <c r="L2151" i="14"/>
  <c r="L2139" i="14"/>
  <c r="L2127" i="14"/>
  <c r="L2115" i="14"/>
  <c r="L2103" i="14"/>
  <c r="L2091" i="14"/>
  <c r="L2079" i="14"/>
  <c r="L2067" i="14"/>
  <c r="L2055" i="14"/>
  <c r="L2043" i="14"/>
  <c r="L2031" i="14"/>
  <c r="L2019" i="14"/>
  <c r="L2007" i="14"/>
  <c r="L1995" i="14"/>
  <c r="L1983" i="14"/>
  <c r="L1971" i="14"/>
  <c r="L1959" i="14"/>
  <c r="L1947" i="14"/>
  <c r="L1935" i="14"/>
  <c r="L1923" i="14"/>
  <c r="L1911" i="14"/>
  <c r="L1899" i="14"/>
  <c r="L1887" i="14"/>
  <c r="L1875" i="14"/>
  <c r="L1863" i="14"/>
  <c r="L1851" i="14"/>
  <c r="L1839" i="14"/>
  <c r="L1827" i="14"/>
  <c r="L1815" i="14"/>
  <c r="L1803" i="14"/>
  <c r="L1791" i="14"/>
  <c r="L1779" i="14"/>
  <c r="L1767" i="14"/>
  <c r="L1755" i="14"/>
  <c r="L1743" i="14"/>
  <c r="L1731" i="14"/>
  <c r="L1719" i="14"/>
  <c r="L1707" i="14"/>
  <c r="L1695" i="14"/>
  <c r="L1683" i="14"/>
  <c r="L1671" i="14"/>
  <c r="L1659" i="14"/>
  <c r="L1647" i="14"/>
  <c r="L1635" i="14"/>
  <c r="L1623" i="14"/>
  <c r="L1611" i="14"/>
  <c r="L1599" i="14"/>
  <c r="L1587" i="14"/>
  <c r="L1575" i="14"/>
  <c r="L1563" i="14"/>
  <c r="L1551" i="14"/>
  <c r="L1539" i="14"/>
  <c r="L1527" i="14"/>
  <c r="L1515" i="14"/>
  <c r="L6963" i="14"/>
  <c r="L6188" i="14"/>
  <c r="L5867" i="14"/>
  <c r="L5579" i="14"/>
  <c r="L5291" i="14"/>
  <c r="L5003" i="14"/>
  <c r="L4715" i="14"/>
  <c r="L4485" i="14"/>
  <c r="L4400" i="14"/>
  <c r="L4328" i="14"/>
  <c r="L4256" i="14"/>
  <c r="L4184" i="14"/>
  <c r="L4112" i="14"/>
  <c r="L4040" i="14"/>
  <c r="L3968" i="14"/>
  <c r="L3896" i="14"/>
  <c r="L3824" i="14"/>
  <c r="L3752" i="14"/>
  <c r="L3680" i="14"/>
  <c r="L3635" i="14"/>
  <c r="L3599" i="14"/>
  <c r="L3563" i="14"/>
  <c r="L3527" i="14"/>
  <c r="L3491" i="14"/>
  <c r="L3455" i="14"/>
  <c r="L3419" i="14"/>
  <c r="L3383" i="14"/>
  <c r="L3347" i="14"/>
  <c r="L3311" i="14"/>
  <c r="L3275" i="14"/>
  <c r="L3239" i="14"/>
  <c r="L3203" i="14"/>
  <c r="L3167" i="14"/>
  <c r="L3131" i="14"/>
  <c r="L3096" i="14"/>
  <c r="L3072" i="14"/>
  <c r="L3048" i="14"/>
  <c r="L3024" i="14"/>
  <c r="L3000" i="14"/>
  <c r="L2976" i="14"/>
  <c r="L2954" i="14"/>
  <c r="L2942" i="14"/>
  <c r="L2930" i="14"/>
  <c r="L2918" i="14"/>
  <c r="L2906" i="14"/>
  <c r="L2894" i="14"/>
  <c r="L2882" i="14"/>
  <c r="L2870" i="14"/>
  <c r="L2858" i="14"/>
  <c r="L2846" i="14"/>
  <c r="L2834" i="14"/>
  <c r="L2822" i="14"/>
  <c r="L2810" i="14"/>
  <c r="L2798" i="14"/>
  <c r="L2786" i="14"/>
  <c r="L2774" i="14"/>
  <c r="L2762" i="14"/>
  <c r="L2750" i="14"/>
  <c r="L2738" i="14"/>
  <c r="L2726" i="14"/>
  <c r="L2714" i="14"/>
  <c r="L2702" i="14"/>
  <c r="L2690" i="14"/>
  <c r="L2678" i="14"/>
  <c r="L2666" i="14"/>
  <c r="L2654" i="14"/>
  <c r="L2642" i="14"/>
  <c r="L2630" i="14"/>
  <c r="L2618" i="14"/>
  <c r="L2606" i="14"/>
  <c r="L2594" i="14"/>
  <c r="L2582" i="14"/>
  <c r="L2570" i="14"/>
  <c r="L2558" i="14"/>
  <c r="L2546" i="14"/>
  <c r="L2534" i="14"/>
  <c r="L2522" i="14"/>
  <c r="L2510" i="14"/>
  <c r="L2498" i="14"/>
  <c r="L2486" i="14"/>
  <c r="L2474" i="14"/>
  <c r="L2462" i="14"/>
  <c r="L2450" i="14"/>
  <c r="L2438" i="14"/>
  <c r="L2426" i="14"/>
  <c r="L2414" i="14"/>
  <c r="L2402" i="14"/>
  <c r="L2390" i="14"/>
  <c r="L2378" i="14"/>
  <c r="L2366" i="14"/>
  <c r="L2354" i="14"/>
  <c r="L2342" i="14"/>
  <c r="L2330" i="14"/>
  <c r="L2318" i="14"/>
  <c r="L2306" i="14"/>
  <c r="L2294" i="14"/>
  <c r="L2282" i="14"/>
  <c r="L2270" i="14"/>
  <c r="L2258" i="14"/>
  <c r="L2246" i="14"/>
  <c r="L2234" i="14"/>
  <c r="L2222" i="14"/>
  <c r="L2210" i="14"/>
  <c r="L2198" i="14"/>
  <c r="L2186" i="14"/>
  <c r="L2174" i="14"/>
  <c r="L2162" i="14"/>
  <c r="L2150" i="14"/>
  <c r="L2138" i="14"/>
  <c r="L2126" i="14"/>
  <c r="L2114" i="14"/>
  <c r="L2102" i="14"/>
  <c r="L2090" i="14"/>
  <c r="L2078" i="14"/>
  <c r="L2066" i="14"/>
  <c r="L2054" i="14"/>
  <c r="L2042" i="14"/>
  <c r="L2030" i="14"/>
  <c r="L2018" i="14"/>
  <c r="L2006" i="14"/>
  <c r="L1994" i="14"/>
  <c r="L1982" i="14"/>
  <c r="L1970" i="14"/>
  <c r="L1958" i="14"/>
  <c r="L1946" i="14"/>
  <c r="L1934" i="14"/>
  <c r="L1922" i="14"/>
  <c r="L1910" i="14"/>
  <c r="L1898" i="14"/>
  <c r="L1886" i="14"/>
  <c r="L1874" i="14"/>
  <c r="L1862" i="14"/>
  <c r="L1850" i="14"/>
  <c r="L1838" i="14"/>
  <c r="L1826" i="14"/>
  <c r="L1814" i="14"/>
  <c r="L1802" i="14"/>
  <c r="L1790" i="14"/>
  <c r="L1778" i="14"/>
  <c r="L1766" i="14"/>
  <c r="L1754" i="14"/>
  <c r="L1742" i="14"/>
  <c r="L1730" i="14"/>
  <c r="L1718" i="14"/>
  <c r="L1706" i="14"/>
  <c r="L1694" i="14"/>
  <c r="L1682" i="14"/>
  <c r="L1670" i="14"/>
  <c r="L1658" i="14"/>
  <c r="L1646" i="14"/>
  <c r="L1634" i="14"/>
  <c r="L1622" i="14"/>
  <c r="L1610" i="14"/>
  <c r="L1598" i="14"/>
  <c r="L1586" i="14"/>
  <c r="L1574" i="14"/>
  <c r="L1562" i="14"/>
  <c r="L1550" i="14"/>
  <c r="L1538" i="14"/>
  <c r="L1526" i="14"/>
  <c r="L1514" i="14"/>
  <c r="L1502" i="14"/>
  <c r="L1490" i="14"/>
  <c r="L1478" i="14"/>
  <c r="L1466" i="14"/>
  <c r="L1454" i="14"/>
  <c r="L1442" i="14"/>
  <c r="L1430" i="14"/>
  <c r="L1418" i="14"/>
  <c r="L1406" i="14"/>
  <c r="L6797" i="14"/>
  <c r="L6117" i="14"/>
  <c r="L5819" i="14"/>
  <c r="L5531" i="14"/>
  <c r="L5243" i="14"/>
  <c r="L4955" i="14"/>
  <c r="L4667" i="14"/>
  <c r="L4461" i="14"/>
  <c r="L4388" i="14"/>
  <c r="L4316" i="14"/>
  <c r="L4244" i="14"/>
  <c r="L4172" i="14"/>
  <c r="L4100" i="14"/>
  <c r="L4028" i="14"/>
  <c r="L3956" i="14"/>
  <c r="L3884" i="14"/>
  <c r="L3812" i="14"/>
  <c r="L3740" i="14"/>
  <c r="L3672" i="14"/>
  <c r="L3629" i="14"/>
  <c r="L3593" i="14"/>
  <c r="L3557" i="14"/>
  <c r="L3521" i="14"/>
  <c r="L3485" i="14"/>
  <c r="L3449" i="14"/>
  <c r="L3413" i="14"/>
  <c r="L3377" i="14"/>
  <c r="L3341" i="14"/>
  <c r="L3305" i="14"/>
  <c r="L3269" i="14"/>
  <c r="L3233" i="14"/>
  <c r="L3197" i="14"/>
  <c r="L3161" i="14"/>
  <c r="L3125" i="14"/>
  <c r="L3092" i="14"/>
  <c r="L3068" i="14"/>
  <c r="L3044" i="14"/>
  <c r="L3020" i="14"/>
  <c r="L2996" i="14"/>
  <c r="L2972" i="14"/>
  <c r="L2952" i="14"/>
  <c r="L2940" i="14"/>
  <c r="L2928" i="14"/>
  <c r="L2916" i="14"/>
  <c r="L2904" i="14"/>
  <c r="L2892" i="14"/>
  <c r="L2880" i="14"/>
  <c r="L2868" i="14"/>
  <c r="L2856" i="14"/>
  <c r="L2844" i="14"/>
  <c r="L2832" i="14"/>
  <c r="L2820" i="14"/>
  <c r="L2808" i="14"/>
  <c r="L2796" i="14"/>
  <c r="L2784" i="14"/>
  <c r="L2772" i="14"/>
  <c r="L2760" i="14"/>
  <c r="L2748" i="14"/>
  <c r="L2736" i="14"/>
  <c r="L2724" i="14"/>
  <c r="L2712" i="14"/>
  <c r="L2700" i="14"/>
  <c r="L2688" i="14"/>
  <c r="L2676" i="14"/>
  <c r="L2664" i="14"/>
  <c r="L2652" i="14"/>
  <c r="L2640" i="14"/>
  <c r="L2628" i="14"/>
  <c r="L2616" i="14"/>
  <c r="L2604" i="14"/>
  <c r="L2592" i="14"/>
  <c r="L2580" i="14"/>
  <c r="L2568" i="14"/>
  <c r="L2556" i="14"/>
  <c r="L2544" i="14"/>
  <c r="L2532" i="14"/>
  <c r="L2520" i="14"/>
  <c r="L2508" i="14"/>
  <c r="L2496" i="14"/>
  <c r="L2484" i="14"/>
  <c r="L2472" i="14"/>
  <c r="L2460" i="14"/>
  <c r="L2448" i="14"/>
  <c r="L2436" i="14"/>
  <c r="L2424" i="14"/>
  <c r="L2412" i="14"/>
  <c r="L2400" i="14"/>
  <c r="L2388" i="14"/>
  <c r="L2376" i="14"/>
  <c r="L2364" i="14"/>
  <c r="L2352" i="14"/>
  <c r="L2340" i="14"/>
  <c r="L2328" i="14"/>
  <c r="L2316" i="14"/>
  <c r="L2304" i="14"/>
  <c r="L2292" i="14"/>
  <c r="L2280" i="14"/>
  <c r="L2268" i="14"/>
  <c r="L2256" i="14"/>
  <c r="L2244" i="14"/>
  <c r="L2232" i="14"/>
  <c r="L2220" i="14"/>
  <c r="L2208" i="14"/>
  <c r="L2196" i="14"/>
  <c r="L2184" i="14"/>
  <c r="L2172" i="14"/>
  <c r="L2160" i="14"/>
  <c r="L2148" i="14"/>
  <c r="L2136" i="14"/>
  <c r="L2124" i="14"/>
  <c r="L2112" i="14"/>
  <c r="L2100" i="14"/>
  <c r="L2088" i="14"/>
  <c r="L2076" i="14"/>
  <c r="L2064" i="14"/>
  <c r="L2052" i="14"/>
  <c r="L2040" i="14"/>
  <c r="L2028" i="14"/>
  <c r="L2016" i="14"/>
  <c r="L2004" i="14"/>
  <c r="L1992" i="14"/>
  <c r="L1980" i="14"/>
  <c r="L1968" i="14"/>
  <c r="L1956" i="14"/>
  <c r="L1944" i="14"/>
  <c r="L1932" i="14"/>
  <c r="L1920" i="14"/>
  <c r="L1908" i="14"/>
  <c r="L1896" i="14"/>
  <c r="L1884" i="14"/>
  <c r="L1872" i="14"/>
  <c r="L1860" i="14"/>
  <c r="L1848" i="14"/>
  <c r="L1836" i="14"/>
  <c r="L1824" i="14"/>
  <c r="L1812" i="14"/>
  <c r="L1800" i="14"/>
  <c r="L1788" i="14"/>
  <c r="L1776" i="14"/>
  <c r="L1764" i="14"/>
  <c r="L1752" i="14"/>
  <c r="L1740" i="14"/>
  <c r="L1728" i="14"/>
  <c r="L1716" i="14"/>
  <c r="L1704" i="14"/>
  <c r="L1692" i="14"/>
  <c r="L1680" i="14"/>
  <c r="L1668" i="14"/>
  <c r="L1656" i="14"/>
  <c r="L1644" i="14"/>
  <c r="L1632" i="14"/>
  <c r="L1620" i="14"/>
  <c r="L1608" i="14"/>
  <c r="L1596" i="14"/>
  <c r="L1584" i="14"/>
  <c r="L1572" i="14"/>
  <c r="L1560" i="14"/>
  <c r="L1548" i="14"/>
  <c r="L1536" i="14"/>
  <c r="L1524" i="14"/>
  <c r="L1512" i="14"/>
  <c r="L1500" i="14"/>
  <c r="L1488" i="14"/>
  <c r="L1476" i="14"/>
  <c r="L1464" i="14"/>
  <c r="L1452" i="14"/>
  <c r="L1440" i="14"/>
  <c r="L1428" i="14"/>
  <c r="L1416" i="14"/>
  <c r="L1404" i="14"/>
  <c r="L1392" i="14"/>
  <c r="L6690" i="14"/>
  <c r="L6075" i="14"/>
  <c r="L5784" i="14"/>
  <c r="L5496" i="14"/>
  <c r="L5208" i="14"/>
  <c r="L4920" i="14"/>
  <c r="L4632" i="14"/>
  <c r="L4452" i="14"/>
  <c r="L4380" i="14"/>
  <c r="L4308" i="14"/>
  <c r="L4236" i="14"/>
  <c r="L4164" i="14"/>
  <c r="L4092" i="14"/>
  <c r="L4020" i="14"/>
  <c r="L3948" i="14"/>
  <c r="L3876" i="14"/>
  <c r="L3804" i="14"/>
  <c r="L3732" i="14"/>
  <c r="L3668" i="14"/>
  <c r="L3624" i="14"/>
  <c r="L3588" i="14"/>
  <c r="L3552" i="14"/>
  <c r="L3516" i="14"/>
  <c r="L3480" i="14"/>
  <c r="L3444" i="14"/>
  <c r="L3408" i="14"/>
  <c r="L3372" i="14"/>
  <c r="L3336" i="14"/>
  <c r="L3300" i="14"/>
  <c r="L3264" i="14"/>
  <c r="L3228" i="14"/>
  <c r="L3192" i="14"/>
  <c r="L3156" i="14"/>
  <c r="L3120" i="14"/>
  <c r="L3089" i="14"/>
  <c r="L3065" i="14"/>
  <c r="L3041" i="14"/>
  <c r="L3017" i="14"/>
  <c r="L2993" i="14"/>
  <c r="L2969" i="14"/>
  <c r="L2951" i="14"/>
  <c r="L2939" i="14"/>
  <c r="L2927" i="14"/>
  <c r="L2915" i="14"/>
  <c r="L2903" i="14"/>
  <c r="L2891" i="14"/>
  <c r="L2879" i="14"/>
  <c r="L2867" i="14"/>
  <c r="L2855" i="14"/>
  <c r="L2843" i="14"/>
  <c r="L2831" i="14"/>
  <c r="L2819" i="14"/>
  <c r="L2807" i="14"/>
  <c r="L2795" i="14"/>
  <c r="L2783" i="14"/>
  <c r="L2771" i="14"/>
  <c r="L2759" i="14"/>
  <c r="L2747" i="14"/>
  <c r="L2735" i="14"/>
  <c r="L2723" i="14"/>
  <c r="L2711" i="14"/>
  <c r="L2699" i="14"/>
  <c r="L2687" i="14"/>
  <c r="L2675" i="14"/>
  <c r="L2663" i="14"/>
  <c r="L2651" i="14"/>
  <c r="L2639" i="14"/>
  <c r="L2627" i="14"/>
  <c r="L2615" i="14"/>
  <c r="L2603" i="14"/>
  <c r="L2591" i="14"/>
  <c r="L2579" i="14"/>
  <c r="L2567" i="14"/>
  <c r="L2555" i="14"/>
  <c r="L2543" i="14"/>
  <c r="L2531" i="14"/>
  <c r="L2519" i="14"/>
  <c r="L2507" i="14"/>
  <c r="L2495" i="14"/>
  <c r="L2483" i="14"/>
  <c r="L2471" i="14"/>
  <c r="L2459" i="14"/>
  <c r="L2447" i="14"/>
  <c r="L2435" i="14"/>
  <c r="L2423" i="14"/>
  <c r="L2411" i="14"/>
  <c r="L2399" i="14"/>
  <c r="L2387" i="14"/>
  <c r="L2375" i="14"/>
  <c r="L2363" i="14"/>
  <c r="L2351" i="14"/>
  <c r="L2339" i="14"/>
  <c r="L2327" i="14"/>
  <c r="L2315" i="14"/>
  <c r="L2303" i="14"/>
  <c r="L2291" i="14"/>
  <c r="L2279" i="14"/>
  <c r="L2267" i="14"/>
  <c r="L2255" i="14"/>
  <c r="L2243" i="14"/>
  <c r="L2231" i="14"/>
  <c r="L2219" i="14"/>
  <c r="L2207" i="14"/>
  <c r="L2195" i="14"/>
  <c r="L2183" i="14"/>
  <c r="L2171" i="14"/>
  <c r="L2159" i="14"/>
  <c r="L2147" i="14"/>
  <c r="L2135" i="14"/>
  <c r="L2123" i="14"/>
  <c r="L2111" i="14"/>
  <c r="L2099" i="14"/>
  <c r="L2087" i="14"/>
  <c r="L2075" i="14"/>
  <c r="L2063" i="14"/>
  <c r="L2051" i="14"/>
  <c r="L2039" i="14"/>
  <c r="L2027" i="14"/>
  <c r="L2015" i="14"/>
  <c r="L2003" i="14"/>
  <c r="L1991" i="14"/>
  <c r="L1979" i="14"/>
  <c r="L1967" i="14"/>
  <c r="L1955" i="14"/>
  <c r="L1943" i="14"/>
  <c r="L1931" i="14"/>
  <c r="L1919" i="14"/>
  <c r="L1907" i="14"/>
  <c r="L1895" i="14"/>
  <c r="L1883" i="14"/>
  <c r="L1871" i="14"/>
  <c r="L1859" i="14"/>
  <c r="L1847" i="14"/>
  <c r="L1835" i="14"/>
  <c r="L1823" i="14"/>
  <c r="L1811" i="14"/>
  <c r="L1799" i="14"/>
  <c r="L1787" i="14"/>
  <c r="L1775" i="14"/>
  <c r="L1763" i="14"/>
  <c r="L1751" i="14"/>
  <c r="L1739" i="14"/>
  <c r="L1727" i="14"/>
  <c r="L1715" i="14"/>
  <c r="L1703" i="14"/>
  <c r="L1691" i="14"/>
  <c r="L1679" i="14"/>
  <c r="L1667" i="14"/>
  <c r="L1655" i="14"/>
  <c r="L1643" i="14"/>
  <c r="L1631" i="14"/>
  <c r="L1619" i="14"/>
  <c r="L1607" i="14"/>
  <c r="L1595" i="14"/>
  <c r="L1583" i="14"/>
  <c r="L1571" i="14"/>
  <c r="L1559" i="14"/>
  <c r="L1547" i="14"/>
  <c r="L1535" i="14"/>
  <c r="L1523" i="14"/>
  <c r="L1511" i="14"/>
  <c r="L1499" i="14"/>
  <c r="L1487" i="14"/>
  <c r="L1475" i="14"/>
  <c r="L1463" i="14"/>
  <c r="L1451" i="14"/>
  <c r="L1439" i="14"/>
  <c r="L1427" i="14"/>
  <c r="L1415" i="14"/>
  <c r="L1403" i="14"/>
  <c r="L6651" i="14"/>
  <c r="L6060" i="14"/>
  <c r="L5771" i="14"/>
  <c r="L5483" i="14"/>
  <c r="L5195" i="14"/>
  <c r="L4907" i="14"/>
  <c r="L4619" i="14"/>
  <c r="L4448" i="14"/>
  <c r="L4376" i="14"/>
  <c r="L4304" i="14"/>
  <c r="L4232" i="14"/>
  <c r="L4160" i="14"/>
  <c r="L4088" i="14"/>
  <c r="L4016" i="14"/>
  <c r="L3944" i="14"/>
  <c r="L3872" i="14"/>
  <c r="L3800" i="14"/>
  <c r="L3728" i="14"/>
  <c r="L3665" i="14"/>
  <c r="L3623" i="14"/>
  <c r="L3587" i="14"/>
  <c r="L3551" i="14"/>
  <c r="L3515" i="14"/>
  <c r="L3479" i="14"/>
  <c r="L3443" i="14"/>
  <c r="L3407" i="14"/>
  <c r="L3371" i="14"/>
  <c r="L3335" i="14"/>
  <c r="L3299" i="14"/>
  <c r="L3263" i="14"/>
  <c r="L3227" i="14"/>
  <c r="L3191" i="14"/>
  <c r="L3155" i="14"/>
  <c r="L3119" i="14"/>
  <c r="L3087" i="14"/>
  <c r="L3063" i="14"/>
  <c r="L3039" i="14"/>
  <c r="L3015" i="14"/>
  <c r="L2991" i="14"/>
  <c r="L2967" i="14"/>
  <c r="L2950" i="14"/>
  <c r="L2938" i="14"/>
  <c r="L2926" i="14"/>
  <c r="L2914" i="14"/>
  <c r="L2902" i="14"/>
  <c r="L2890" i="14"/>
  <c r="L2878" i="14"/>
  <c r="L2866" i="14"/>
  <c r="L2854" i="14"/>
  <c r="L2842" i="14"/>
  <c r="L2830" i="14"/>
  <c r="L2818" i="14"/>
  <c r="L2806" i="14"/>
  <c r="L2794" i="14"/>
  <c r="L2782" i="14"/>
  <c r="L2770" i="14"/>
  <c r="L2758" i="14"/>
  <c r="L2746" i="14"/>
  <c r="L2734" i="14"/>
  <c r="L2722" i="14"/>
  <c r="L2710" i="14"/>
  <c r="L2698" i="14"/>
  <c r="L2686" i="14"/>
  <c r="L2674" i="14"/>
  <c r="L2662" i="14"/>
  <c r="L2650" i="14"/>
  <c r="L2638" i="14"/>
  <c r="L2626" i="14"/>
  <c r="L2614" i="14"/>
  <c r="L2602" i="14"/>
  <c r="L2590" i="14"/>
  <c r="L2578" i="14"/>
  <c r="L6548" i="14"/>
  <c r="L6024" i="14"/>
  <c r="L5736" i="14"/>
  <c r="L5448" i="14"/>
  <c r="L5160" i="14"/>
  <c r="L4872" i="14"/>
  <c r="L4592" i="14"/>
  <c r="L4440" i="14"/>
  <c r="L4368" i="14"/>
  <c r="L4296" i="14"/>
  <c r="L4224" i="14"/>
  <c r="L4152" i="14"/>
  <c r="L4080" i="14"/>
  <c r="L4008" i="14"/>
  <c r="L3936" i="14"/>
  <c r="L3864" i="14"/>
  <c r="L3792" i="14"/>
  <c r="L3720" i="14"/>
  <c r="L3660" i="14"/>
  <c r="L3620" i="14"/>
  <c r="L3584" i="14"/>
  <c r="L3548" i="14"/>
  <c r="L3512" i="14"/>
  <c r="L3476" i="14"/>
  <c r="L3440" i="14"/>
  <c r="L3404" i="14"/>
  <c r="L3368" i="14"/>
  <c r="L3332" i="14"/>
  <c r="L3296" i="14"/>
  <c r="L3260" i="14"/>
  <c r="L3224" i="14"/>
  <c r="L3188" i="14"/>
  <c r="L3152" i="14"/>
  <c r="L3116" i="14"/>
  <c r="L3086" i="14"/>
  <c r="L3062" i="14"/>
  <c r="L3038" i="14"/>
  <c r="L3014" i="14"/>
  <c r="L2990" i="14"/>
  <c r="L2966" i="14"/>
  <c r="L2949" i="14"/>
  <c r="L2937" i="14"/>
  <c r="L2925" i="14"/>
  <c r="L2913" i="14"/>
  <c r="L2901" i="14"/>
  <c r="L2889" i="14"/>
  <c r="L2877" i="14"/>
  <c r="L2865" i="14"/>
  <c r="L2853" i="14"/>
  <c r="L2841" i="14"/>
  <c r="L2829" i="14"/>
  <c r="L2817" i="14"/>
  <c r="L2805" i="14"/>
  <c r="L2793" i="14"/>
  <c r="L2781" i="14"/>
  <c r="L2769" i="14"/>
  <c r="L2757" i="14"/>
  <c r="L2745" i="14"/>
  <c r="L2733" i="14"/>
  <c r="L2721" i="14"/>
  <c r="L2709" i="14"/>
  <c r="L2697" i="14"/>
  <c r="L2685" i="14"/>
  <c r="L2673" i="14"/>
  <c r="L2661" i="14"/>
  <c r="L2649" i="14"/>
  <c r="L2637" i="14"/>
  <c r="L2625" i="14"/>
  <c r="L2613" i="14"/>
  <c r="L2601" i="14"/>
  <c r="L2589" i="14"/>
  <c r="L2577" i="14"/>
  <c r="L2565" i="14"/>
  <c r="L2553" i="14"/>
  <c r="L2541" i="14"/>
  <c r="L2529" i="14"/>
  <c r="L2517" i="14"/>
  <c r="L2505" i="14"/>
  <c r="L2493" i="14"/>
  <c r="L2481" i="14"/>
  <c r="L2469" i="14"/>
  <c r="L2457" i="14"/>
  <c r="L2445" i="14"/>
  <c r="L2433" i="14"/>
  <c r="L2421" i="14"/>
  <c r="L2409" i="14"/>
  <c r="L2397" i="14"/>
  <c r="L2385" i="14"/>
  <c r="L2373" i="14"/>
  <c r="L2361" i="14"/>
  <c r="L2349" i="14"/>
  <c r="L2337" i="14"/>
  <c r="L2325" i="14"/>
  <c r="L2313" i="14"/>
  <c r="L6509" i="14"/>
  <c r="L6011" i="14"/>
  <c r="L5723" i="14"/>
  <c r="L5435" i="14"/>
  <c r="L5147" i="14"/>
  <c r="L4859" i="14"/>
  <c r="L4580" i="14"/>
  <c r="L4436" i="14"/>
  <c r="L4364" i="14"/>
  <c r="L4292" i="14"/>
  <c r="L4220" i="14"/>
  <c r="L4148" i="14"/>
  <c r="L4076" i="14"/>
  <c r="L4004" i="14"/>
  <c r="L3932" i="14"/>
  <c r="L3860" i="14"/>
  <c r="L3788" i="14"/>
  <c r="L3716" i="14"/>
  <c r="L3656" i="14"/>
  <c r="L3617" i="14"/>
  <c r="L3581" i="14"/>
  <c r="L3545" i="14"/>
  <c r="L3509" i="14"/>
  <c r="L3473" i="14"/>
  <c r="L3437" i="14"/>
  <c r="L3401" i="14"/>
  <c r="L3365" i="14"/>
  <c r="L3329" i="14"/>
  <c r="L3293" i="14"/>
  <c r="L3257" i="14"/>
  <c r="L3221" i="14"/>
  <c r="L3185" i="14"/>
  <c r="L3149" i="14"/>
  <c r="L3113" i="14"/>
  <c r="L3084" i="14"/>
  <c r="L3060" i="14"/>
  <c r="L3036" i="14"/>
  <c r="L3012" i="14"/>
  <c r="L2988" i="14"/>
  <c r="L2964" i="14"/>
  <c r="L2948" i="14"/>
  <c r="L2936" i="14"/>
  <c r="L2924" i="14"/>
  <c r="L2912" i="14"/>
  <c r="L2900" i="14"/>
  <c r="L2888" i="14"/>
  <c r="L2876" i="14"/>
  <c r="L2864" i="14"/>
  <c r="L2852" i="14"/>
  <c r="L2840" i="14"/>
  <c r="L2828" i="14"/>
  <c r="L2816" i="14"/>
  <c r="L2804" i="14"/>
  <c r="L2792" i="14"/>
  <c r="L2780" i="14"/>
  <c r="L2768" i="14"/>
  <c r="L2756" i="14"/>
  <c r="L2744" i="14"/>
  <c r="L2732" i="14"/>
  <c r="L2720" i="14"/>
  <c r="L2708" i="14"/>
  <c r="L2696" i="14"/>
  <c r="L2684" i="14"/>
  <c r="L2672" i="14"/>
  <c r="L2660" i="14"/>
  <c r="L2648" i="14"/>
  <c r="L2636" i="14"/>
  <c r="L2624" i="14"/>
  <c r="L2612" i="14"/>
  <c r="L2600" i="14"/>
  <c r="L2588" i="14"/>
  <c r="L2576" i="14"/>
  <c r="L2564" i="14"/>
  <c r="L2552" i="14"/>
  <c r="L2540" i="14"/>
  <c r="L2528" i="14"/>
  <c r="L2516" i="14"/>
  <c r="L2504" i="14"/>
  <c r="L2492" i="14"/>
  <c r="L2480" i="14"/>
  <c r="L2468" i="14"/>
  <c r="L2456" i="14"/>
  <c r="L2444" i="14"/>
  <c r="L2432" i="14"/>
  <c r="L2420" i="14"/>
  <c r="L2408" i="14"/>
  <c r="L2396" i="14"/>
  <c r="L2384" i="14"/>
  <c r="L2372" i="14"/>
  <c r="L2360" i="14"/>
  <c r="L2348" i="14"/>
  <c r="L2336" i="14"/>
  <c r="L2324" i="14"/>
  <c r="L2312" i="14"/>
  <c r="L2300" i="14"/>
  <c r="L2288" i="14"/>
  <c r="L2276" i="14"/>
  <c r="L2264" i="14"/>
  <c r="L2252" i="14"/>
  <c r="L2240" i="14"/>
  <c r="L2228" i="14"/>
  <c r="L2216" i="14"/>
  <c r="L2204" i="14"/>
  <c r="L2192" i="14"/>
  <c r="L2180" i="14"/>
  <c r="L2168" i="14"/>
  <c r="L2156" i="14"/>
  <c r="L2144" i="14"/>
  <c r="L2132" i="14"/>
  <c r="L2120" i="14"/>
  <c r="L2108" i="14"/>
  <c r="L2096" i="14"/>
  <c r="L2084" i="14"/>
  <c r="L2072" i="14"/>
  <c r="L2060" i="14"/>
  <c r="L2048" i="14"/>
  <c r="L2036" i="14"/>
  <c r="L2024" i="14"/>
  <c r="L2012" i="14"/>
  <c r="L2000" i="14"/>
  <c r="L1988" i="14"/>
  <c r="L1976" i="14"/>
  <c r="L1964" i="14"/>
  <c r="L1952" i="14"/>
  <c r="L1940" i="14"/>
  <c r="L1928" i="14"/>
  <c r="L1916" i="14"/>
  <c r="L1904" i="14"/>
  <c r="L1892" i="14"/>
  <c r="L1880" i="14"/>
  <c r="L1868" i="14"/>
  <c r="L1856" i="14"/>
  <c r="L1844" i="14"/>
  <c r="L1832" i="14"/>
  <c r="L1820" i="14"/>
  <c r="L1808" i="14"/>
  <c r="L1796" i="14"/>
  <c r="L1784" i="14"/>
  <c r="L1772" i="14"/>
  <c r="L1760" i="14"/>
  <c r="L1748" i="14"/>
  <c r="L1736" i="14"/>
  <c r="L1724" i="14"/>
  <c r="L1712" i="14"/>
  <c r="L1700" i="14"/>
  <c r="L1688" i="14"/>
  <c r="L1676" i="14"/>
  <c r="L1664" i="14"/>
  <c r="L1652" i="14"/>
  <c r="L1640" i="14"/>
  <c r="L1628" i="14"/>
  <c r="L1616" i="14"/>
  <c r="L1604" i="14"/>
  <c r="L1592" i="14"/>
  <c r="L1580" i="14"/>
  <c r="L1568" i="14"/>
  <c r="L1556" i="14"/>
  <c r="L1544" i="14"/>
  <c r="L1532" i="14"/>
  <c r="L1520" i="14"/>
  <c r="L1508" i="14"/>
  <c r="L1496" i="14"/>
  <c r="L6407" i="14"/>
  <c r="L5976" i="14"/>
  <c r="L5688" i="14"/>
  <c r="L5400" i="14"/>
  <c r="L5112" i="14"/>
  <c r="L4824" i="14"/>
  <c r="L4556" i="14"/>
  <c r="L4428" i="14"/>
  <c r="L4356" i="14"/>
  <c r="L4284" i="14"/>
  <c r="L4212" i="14"/>
  <c r="L4140" i="14"/>
  <c r="L4068" i="14"/>
  <c r="L3996" i="14"/>
  <c r="L3924" i="14"/>
  <c r="L3852" i="14"/>
  <c r="L3780" i="14"/>
  <c r="L3708" i="14"/>
  <c r="L3653" i="14"/>
  <c r="L3612" i="14"/>
  <c r="L3576" i="14"/>
  <c r="L3540" i="14"/>
  <c r="L3504" i="14"/>
  <c r="L3468" i="14"/>
  <c r="L3432" i="14"/>
  <c r="L3396" i="14"/>
  <c r="L3360" i="14"/>
  <c r="L3324" i="14"/>
  <c r="L3288" i="14"/>
  <c r="L3252" i="14"/>
  <c r="L3216" i="14"/>
  <c r="L3180" i="14"/>
  <c r="L3144" i="14"/>
  <c r="L3108" i="14"/>
  <c r="L3083" i="14"/>
  <c r="L3059" i="14"/>
  <c r="L3035" i="14"/>
  <c r="L3011" i="14"/>
  <c r="L2987" i="14"/>
  <c r="L2963" i="14"/>
  <c r="L2947" i="14"/>
  <c r="L2935" i="14"/>
  <c r="L2923" i="14"/>
  <c r="L2911" i="14"/>
  <c r="L2899" i="14"/>
  <c r="L2887" i="14"/>
  <c r="L2875" i="14"/>
  <c r="L2863" i="14"/>
  <c r="L2851" i="14"/>
  <c r="L2839" i="14"/>
  <c r="L2827" i="14"/>
  <c r="L2815" i="14"/>
  <c r="L2803" i="14"/>
  <c r="L2791" i="14"/>
  <c r="L2779" i="14"/>
  <c r="L2767" i="14"/>
  <c r="L2755" i="14"/>
  <c r="L2743" i="14"/>
  <c r="L2731" i="14"/>
  <c r="L2719" i="14"/>
  <c r="L2707" i="14"/>
  <c r="L2695" i="14"/>
  <c r="L2683" i="14"/>
  <c r="L2671" i="14"/>
  <c r="L2659" i="14"/>
  <c r="L2647" i="14"/>
  <c r="L2635" i="14"/>
  <c r="L2623" i="14"/>
  <c r="L2611" i="14"/>
  <c r="L2599" i="14"/>
  <c r="L2587" i="14"/>
  <c r="L2575" i="14"/>
  <c r="L2563" i="14"/>
  <c r="L2551" i="14"/>
  <c r="L2539" i="14"/>
  <c r="L2527" i="14"/>
  <c r="L2515" i="14"/>
  <c r="L2503" i="14"/>
  <c r="L2491" i="14"/>
  <c r="L2479" i="14"/>
  <c r="L2467" i="14"/>
  <c r="L2455" i="14"/>
  <c r="L2443" i="14"/>
  <c r="L2431" i="14"/>
  <c r="L2419" i="14"/>
  <c r="L2407" i="14"/>
  <c r="L2395" i="14"/>
  <c r="L2383" i="14"/>
  <c r="L2371" i="14"/>
  <c r="L2359" i="14"/>
  <c r="L2347" i="14"/>
  <c r="L2335" i="14"/>
  <c r="L2323" i="14"/>
  <c r="L2311" i="14"/>
  <c r="L2299" i="14"/>
  <c r="L2287" i="14"/>
  <c r="L2275" i="14"/>
  <c r="L2263" i="14"/>
  <c r="L2251" i="14"/>
  <c r="L2239" i="14"/>
  <c r="L2227" i="14"/>
  <c r="L2215" i="14"/>
  <c r="L2203" i="14"/>
  <c r="L2191" i="14"/>
  <c r="L2179" i="14"/>
  <c r="L2167" i="14"/>
  <c r="L2155" i="14"/>
  <c r="L2143" i="14"/>
  <c r="L2131" i="14"/>
  <c r="L2119" i="14"/>
  <c r="L2107" i="14"/>
  <c r="L2095" i="14"/>
  <c r="L2083" i="14"/>
  <c r="L2071" i="14"/>
  <c r="L2059" i="14"/>
  <c r="L2047" i="14"/>
  <c r="L2035" i="14"/>
  <c r="L2023" i="14"/>
  <c r="L2011" i="14"/>
  <c r="L1999" i="14"/>
  <c r="L1987" i="14"/>
  <c r="L1975" i="14"/>
  <c r="L1963" i="14"/>
  <c r="L1951" i="14"/>
  <c r="L1939" i="14"/>
  <c r="L1927" i="14"/>
  <c r="L1915" i="14"/>
  <c r="L1903" i="14"/>
  <c r="L1891" i="14"/>
  <c r="L1879" i="14"/>
  <c r="L1867" i="14"/>
  <c r="L1855" i="14"/>
  <c r="L1843" i="14"/>
  <c r="L1831" i="14"/>
  <c r="L1819" i="14"/>
  <c r="L1807" i="14"/>
  <c r="L1795" i="14"/>
  <c r="L1783" i="14"/>
  <c r="L1771" i="14"/>
  <c r="L1759" i="14"/>
  <c r="L1747" i="14"/>
  <c r="L1735" i="14"/>
  <c r="L1723" i="14"/>
  <c r="L1711" i="14"/>
  <c r="L1699" i="14"/>
  <c r="L1687" i="14"/>
  <c r="L1675" i="14"/>
  <c r="L1663" i="14"/>
  <c r="L1651" i="14"/>
  <c r="L1639" i="14"/>
  <c r="L1627" i="14"/>
  <c r="L1615" i="14"/>
  <c r="L1603" i="14"/>
  <c r="L1591" i="14"/>
  <c r="L1579" i="14"/>
  <c r="L7130" i="14"/>
  <c r="L6277" i="14"/>
  <c r="L5915" i="14"/>
  <c r="L5627" i="14"/>
  <c r="L5339" i="14"/>
  <c r="L5051" i="14"/>
  <c r="L4763" i="14"/>
  <c r="L4512" i="14"/>
  <c r="L4412" i="14"/>
  <c r="L4340" i="14"/>
  <c r="L4268" i="14"/>
  <c r="L4196" i="14"/>
  <c r="L4124" i="14"/>
  <c r="L4052" i="14"/>
  <c r="L3980" i="14"/>
  <c r="L3908" i="14"/>
  <c r="L3836" i="14"/>
  <c r="L3764" i="14"/>
  <c r="L3692" i="14"/>
  <c r="L3641" i="14"/>
  <c r="L3605" i="14"/>
  <c r="L3569" i="14"/>
  <c r="L3533" i="14"/>
  <c r="L3497" i="14"/>
  <c r="L3461" i="14"/>
  <c r="L3425" i="14"/>
  <c r="L3389" i="14"/>
  <c r="L3353" i="14"/>
  <c r="L3317" i="14"/>
  <c r="L3281" i="14"/>
  <c r="L3245" i="14"/>
  <c r="L3209" i="14"/>
  <c r="L3173" i="14"/>
  <c r="L3137" i="14"/>
  <c r="L3101" i="14"/>
  <c r="L3075" i="14"/>
  <c r="L3051" i="14"/>
  <c r="L3027" i="14"/>
  <c r="L3003" i="14"/>
  <c r="L2979" i="14"/>
  <c r="L2957" i="14"/>
  <c r="L2944" i="14"/>
  <c r="L2932" i="14"/>
  <c r="L2920" i="14"/>
  <c r="L2908" i="14"/>
  <c r="L2896" i="14"/>
  <c r="L2884" i="14"/>
  <c r="L2872" i="14"/>
  <c r="L2860" i="14"/>
  <c r="L2848" i="14"/>
  <c r="L2836" i="14"/>
  <c r="L2824" i="14"/>
  <c r="L2812" i="14"/>
  <c r="L2800" i="14"/>
  <c r="L2788" i="14"/>
  <c r="L2776" i="14"/>
  <c r="L2764" i="14"/>
  <c r="L2752" i="14"/>
  <c r="L2740" i="14"/>
  <c r="L2728" i="14"/>
  <c r="L2716" i="14"/>
  <c r="L2704" i="14"/>
  <c r="L2692" i="14"/>
  <c r="L2680" i="14"/>
  <c r="L2668" i="14"/>
  <c r="L2656" i="14"/>
  <c r="L2644" i="14"/>
  <c r="L2632" i="14"/>
  <c r="L2620" i="14"/>
  <c r="L2608" i="14"/>
  <c r="L2596" i="14"/>
  <c r="L2584" i="14"/>
  <c r="L2572" i="14"/>
  <c r="L2560" i="14"/>
  <c r="L2548" i="14"/>
  <c r="L2536" i="14"/>
  <c r="L2524" i="14"/>
  <c r="L2512" i="14"/>
  <c r="L2500" i="14"/>
  <c r="L2488" i="14"/>
  <c r="L2476" i="14"/>
  <c r="L2464" i="14"/>
  <c r="L2452" i="14"/>
  <c r="L2440" i="14"/>
  <c r="L2428" i="14"/>
  <c r="L2416" i="14"/>
  <c r="L2404" i="14"/>
  <c r="L2392" i="14"/>
  <c r="L2380" i="14"/>
  <c r="L2368" i="14"/>
  <c r="L2356" i="14"/>
  <c r="L2344" i="14"/>
  <c r="L2332" i="14"/>
  <c r="L2320" i="14"/>
  <c r="L2308" i="14"/>
  <c r="L2296" i="14"/>
  <c r="L2284" i="14"/>
  <c r="L2272" i="14"/>
  <c r="L2260" i="14"/>
  <c r="L2248" i="14"/>
  <c r="L2236" i="14"/>
  <c r="L2224" i="14"/>
  <c r="L2212" i="14"/>
  <c r="L2200" i="14"/>
  <c r="L2188" i="14"/>
  <c r="L2176" i="14"/>
  <c r="L2164" i="14"/>
  <c r="L2152" i="14"/>
  <c r="L2140" i="14"/>
  <c r="L2128" i="14"/>
  <c r="L2116" i="14"/>
  <c r="L2104" i="14"/>
  <c r="L2092" i="14"/>
  <c r="L2080" i="14"/>
  <c r="L2068" i="14"/>
  <c r="L2056" i="14"/>
  <c r="L2044" i="14"/>
  <c r="L2032" i="14"/>
  <c r="L2020" i="14"/>
  <c r="L2008" i="14"/>
  <c r="L1996" i="14"/>
  <c r="L1984" i="14"/>
  <c r="L1972" i="14"/>
  <c r="L1960" i="14"/>
  <c r="L1948" i="14"/>
  <c r="L1936" i="14"/>
  <c r="L1924" i="14"/>
  <c r="L1912" i="14"/>
  <c r="L1900" i="14"/>
  <c r="L1888" i="14"/>
  <c r="L1876" i="14"/>
  <c r="L1864" i="14"/>
  <c r="L1852" i="14"/>
  <c r="L1840" i="14"/>
  <c r="L1828" i="14"/>
  <c r="L1816" i="14"/>
  <c r="L1804" i="14"/>
  <c r="L1792" i="14"/>
  <c r="L1780" i="14"/>
  <c r="L1768" i="14"/>
  <c r="L1756" i="14"/>
  <c r="L1744" i="14"/>
  <c r="L1732" i="14"/>
  <c r="L1720" i="14"/>
  <c r="L1708" i="14"/>
  <c r="L1696" i="14"/>
  <c r="L1684" i="14"/>
  <c r="L1672" i="14"/>
  <c r="L1660" i="14"/>
  <c r="L1648" i="14"/>
  <c r="L1636" i="14"/>
  <c r="L1624" i="14"/>
  <c r="L1612" i="14"/>
  <c r="L1600" i="14"/>
  <c r="L1588" i="14"/>
  <c r="L1576" i="14"/>
  <c r="L1564" i="14"/>
  <c r="L1552" i="14"/>
  <c r="L1540" i="14"/>
  <c r="L1528" i="14"/>
  <c r="L1516" i="14"/>
  <c r="L1504" i="14"/>
  <c r="L1492" i="14"/>
  <c r="L1480" i="14"/>
  <c r="L1468" i="14"/>
  <c r="L1456" i="14"/>
  <c r="L1444" i="14"/>
  <c r="L1432" i="14"/>
  <c r="L1420" i="14"/>
  <c r="L1408" i="14"/>
  <c r="L6374" i="14"/>
  <c r="L5099" i="14"/>
  <c r="L4352" i="14"/>
  <c r="L4064" i="14"/>
  <c r="L3776" i="14"/>
  <c r="L3575" i="14"/>
  <c r="L3431" i="14"/>
  <c r="L3287" i="14"/>
  <c r="L3143" i="14"/>
  <c r="L3032" i="14"/>
  <c r="L2946" i="14"/>
  <c r="L2898" i="14"/>
  <c r="L2850" i="14"/>
  <c r="L2802" i="14"/>
  <c r="L2754" i="14"/>
  <c r="L2706" i="14"/>
  <c r="L2658" i="14"/>
  <c r="L2610" i="14"/>
  <c r="L2566" i="14"/>
  <c r="L2530" i="14"/>
  <c r="L2494" i="14"/>
  <c r="L2458" i="14"/>
  <c r="L2422" i="14"/>
  <c r="L2386" i="14"/>
  <c r="L2350" i="14"/>
  <c r="L2314" i="14"/>
  <c r="L2285" i="14"/>
  <c r="L2254" i="14"/>
  <c r="L2226" i="14"/>
  <c r="L2197" i="14"/>
  <c r="L2169" i="14"/>
  <c r="L2141" i="14"/>
  <c r="L2110" i="14"/>
  <c r="L2082" i="14"/>
  <c r="L2053" i="14"/>
  <c r="L2025" i="14"/>
  <c r="L1997" i="14"/>
  <c r="L1966" i="14"/>
  <c r="L1938" i="14"/>
  <c r="L1909" i="14"/>
  <c r="L1881" i="14"/>
  <c r="L1853" i="14"/>
  <c r="L1822" i="14"/>
  <c r="L1794" i="14"/>
  <c r="L1765" i="14"/>
  <c r="L1737" i="14"/>
  <c r="L1709" i="14"/>
  <c r="L1678" i="14"/>
  <c r="L1650" i="14"/>
  <c r="L1621" i="14"/>
  <c r="L1593" i="14"/>
  <c r="L1566" i="14"/>
  <c r="L1542" i="14"/>
  <c r="L1518" i="14"/>
  <c r="L1495" i="14"/>
  <c r="L1477" i="14"/>
  <c r="L1459" i="14"/>
  <c r="L1441" i="14"/>
  <c r="L1423" i="14"/>
  <c r="L1405" i="14"/>
  <c r="L1390" i="14"/>
  <c r="L1378" i="14"/>
  <c r="L1366" i="14"/>
  <c r="L1354" i="14"/>
  <c r="L1342" i="14"/>
  <c r="L1330" i="14"/>
  <c r="L1318" i="14"/>
  <c r="L1306" i="14"/>
  <c r="L1294" i="14"/>
  <c r="L1282" i="14"/>
  <c r="L1270" i="14"/>
  <c r="L1258" i="14"/>
  <c r="L1246" i="14"/>
  <c r="L1234" i="14"/>
  <c r="L1222" i="14"/>
  <c r="L1210" i="14"/>
  <c r="L1198" i="14"/>
  <c r="L1186" i="14"/>
  <c r="L1174" i="14"/>
  <c r="L1162" i="14"/>
  <c r="L1150" i="14"/>
  <c r="L1138" i="14"/>
  <c r="L1126" i="14"/>
  <c r="L1114" i="14"/>
  <c r="L1102" i="14"/>
  <c r="L1090" i="14"/>
  <c r="L1078" i="14"/>
  <c r="L1066" i="14"/>
  <c r="L1054" i="14"/>
  <c r="L1042" i="14"/>
  <c r="L1030" i="14"/>
  <c r="L1018" i="14"/>
  <c r="L1006" i="14"/>
  <c r="L994" i="14"/>
  <c r="L982" i="14"/>
  <c r="L970" i="14"/>
  <c r="L958" i="14"/>
  <c r="L946" i="14"/>
  <c r="L934" i="14"/>
  <c r="L922" i="14"/>
  <c r="L910" i="14"/>
  <c r="L898" i="14"/>
  <c r="L886" i="14"/>
  <c r="L874" i="14"/>
  <c r="L862" i="14"/>
  <c r="L850" i="14"/>
  <c r="L838" i="14"/>
  <c r="L826" i="14"/>
  <c r="L814" i="14"/>
  <c r="L802" i="14"/>
  <c r="L790" i="14"/>
  <c r="L778" i="14"/>
  <c r="L766" i="14"/>
  <c r="L754" i="14"/>
  <c r="L742" i="14"/>
  <c r="L730" i="14"/>
  <c r="L718" i="14"/>
  <c r="L706" i="14"/>
  <c r="L694" i="14"/>
  <c r="L682" i="14"/>
  <c r="L670" i="14"/>
  <c r="L658" i="14"/>
  <c r="L646" i="14"/>
  <c r="L634" i="14"/>
  <c r="L622" i="14"/>
  <c r="L610" i="14"/>
  <c r="L598" i="14"/>
  <c r="L586" i="14"/>
  <c r="L574" i="14"/>
  <c r="L562" i="14"/>
  <c r="L550" i="14"/>
  <c r="L538" i="14"/>
  <c r="L526" i="14"/>
  <c r="L514" i="14"/>
  <c r="L502" i="14"/>
  <c r="L490" i="14"/>
  <c r="L478" i="14"/>
  <c r="L466" i="14"/>
  <c r="L454" i="14"/>
  <c r="L442" i="14"/>
  <c r="L430" i="14"/>
  <c r="L418" i="14"/>
  <c r="L406" i="14"/>
  <c r="L394" i="14"/>
  <c r="L382" i="14"/>
  <c r="L370" i="14"/>
  <c r="L358" i="14"/>
  <c r="L346" i="14"/>
  <c r="L334" i="14"/>
  <c r="L322" i="14"/>
  <c r="L310" i="14"/>
  <c r="L298" i="14"/>
  <c r="L286" i="14"/>
  <c r="L274" i="14"/>
  <c r="L262" i="14"/>
  <c r="L250" i="14"/>
  <c r="L238" i="14"/>
  <c r="L226" i="14"/>
  <c r="L214" i="14"/>
  <c r="L202" i="14"/>
  <c r="L190" i="14"/>
  <c r="L178" i="14"/>
  <c r="L166" i="14"/>
  <c r="L154" i="14"/>
  <c r="L142" i="14"/>
  <c r="L130" i="14"/>
  <c r="L118" i="14"/>
  <c r="L106" i="14"/>
  <c r="L94" i="14"/>
  <c r="L82" i="14"/>
  <c r="L70" i="14"/>
  <c r="L58" i="14"/>
  <c r="L46" i="14"/>
  <c r="L34" i="14"/>
  <c r="L22" i="14"/>
  <c r="L10" i="14"/>
  <c r="L6302" i="14"/>
  <c r="L5064" i="14"/>
  <c r="L4344" i="14"/>
  <c r="L4056" i="14"/>
  <c r="L3768" i="14"/>
  <c r="L3572" i="14"/>
  <c r="L3428" i="14"/>
  <c r="L3284" i="14"/>
  <c r="L3140" i="14"/>
  <c r="L3029" i="14"/>
  <c r="L2945" i="14"/>
  <c r="L2897" i="14"/>
  <c r="L2849" i="14"/>
  <c r="L2801" i="14"/>
  <c r="L2753" i="14"/>
  <c r="L2705" i="14"/>
  <c r="L2657" i="14"/>
  <c r="L2609" i="14"/>
  <c r="L2562" i="14"/>
  <c r="L2526" i="14"/>
  <c r="L2490" i="14"/>
  <c r="L2454" i="14"/>
  <c r="L2418" i="14"/>
  <c r="L2382" i="14"/>
  <c r="L2346" i="14"/>
  <c r="L2310" i="14"/>
  <c r="L2281" i="14"/>
  <c r="L2253" i="14"/>
  <c r="L2225" i="14"/>
  <c r="L2194" i="14"/>
  <c r="L2166" i="14"/>
  <c r="L2137" i="14"/>
  <c r="L2109" i="14"/>
  <c r="L2081" i="14"/>
  <c r="L2050" i="14"/>
  <c r="L2022" i="14"/>
  <c r="L1993" i="14"/>
  <c r="L1965" i="14"/>
  <c r="L1937" i="14"/>
  <c r="L1906" i="14"/>
  <c r="L1878" i="14"/>
  <c r="L1849" i="14"/>
  <c r="L1821" i="14"/>
  <c r="L1793" i="14"/>
  <c r="L1762" i="14"/>
  <c r="L1734" i="14"/>
  <c r="L1705" i="14"/>
  <c r="L1677" i="14"/>
  <c r="L1649" i="14"/>
  <c r="L1618" i="14"/>
  <c r="L1590" i="14"/>
  <c r="L1565" i="14"/>
  <c r="L1541" i="14"/>
  <c r="L1517" i="14"/>
  <c r="L1494" i="14"/>
  <c r="L1474" i="14"/>
  <c r="L1458" i="14"/>
  <c r="L1438" i="14"/>
  <c r="L1422" i="14"/>
  <c r="L1402" i="14"/>
  <c r="L1389" i="14"/>
  <c r="L1377" i="14"/>
  <c r="L1365" i="14"/>
  <c r="L1353" i="14"/>
  <c r="L1341" i="14"/>
  <c r="L1329" i="14"/>
  <c r="L1317" i="14"/>
  <c r="L1305" i="14"/>
  <c r="L1293" i="14"/>
  <c r="L1281" i="14"/>
  <c r="L1269" i="14"/>
  <c r="L1257" i="14"/>
  <c r="L1245" i="14"/>
  <c r="L1233" i="14"/>
  <c r="L1221" i="14"/>
  <c r="L1209" i="14"/>
  <c r="L1197" i="14"/>
  <c r="L1185" i="14"/>
  <c r="L1173" i="14"/>
  <c r="L1161" i="14"/>
  <c r="L1149" i="14"/>
  <c r="L1137" i="14"/>
  <c r="L1125" i="14"/>
  <c r="L1113" i="14"/>
  <c r="L1101" i="14"/>
  <c r="L1089" i="14"/>
  <c r="L1077" i="14"/>
  <c r="L1065" i="14"/>
  <c r="L1053" i="14"/>
  <c r="L1041" i="14"/>
  <c r="L1029" i="14"/>
  <c r="L1017" i="14"/>
  <c r="L1005" i="14"/>
  <c r="L993" i="14"/>
  <c r="L981" i="14"/>
  <c r="L969" i="14"/>
  <c r="L957" i="14"/>
  <c r="L945" i="14"/>
  <c r="L933" i="14"/>
  <c r="L921" i="14"/>
  <c r="L909" i="14"/>
  <c r="L897" i="14"/>
  <c r="L885" i="14"/>
  <c r="L873" i="14"/>
  <c r="L861" i="14"/>
  <c r="L849" i="14"/>
  <c r="L837" i="14"/>
  <c r="L825" i="14"/>
  <c r="L813" i="14"/>
  <c r="L801" i="14"/>
  <c r="L789" i="14"/>
  <c r="L777" i="14"/>
  <c r="L765" i="14"/>
  <c r="L753" i="14"/>
  <c r="L741" i="14"/>
  <c r="L729" i="14"/>
  <c r="L717" i="14"/>
  <c r="L705" i="14"/>
  <c r="L693" i="14"/>
  <c r="L681" i="14"/>
  <c r="L669" i="14"/>
  <c r="L657" i="14"/>
  <c r="L645" i="14"/>
  <c r="L633" i="14"/>
  <c r="L621" i="14"/>
  <c r="L609" i="14"/>
  <c r="L597" i="14"/>
  <c r="L585" i="14"/>
  <c r="L573" i="14"/>
  <c r="L561" i="14"/>
  <c r="L549" i="14"/>
  <c r="L537" i="14"/>
  <c r="L525" i="14"/>
  <c r="L513" i="14"/>
  <c r="L501" i="14"/>
  <c r="L489" i="14"/>
  <c r="L477" i="14"/>
  <c r="L465" i="14"/>
  <c r="L453" i="14"/>
  <c r="L441" i="14"/>
  <c r="L429" i="14"/>
  <c r="L417" i="14"/>
  <c r="L405" i="14"/>
  <c r="L393" i="14"/>
  <c r="L381" i="14"/>
  <c r="L369" i="14"/>
  <c r="L357" i="14"/>
  <c r="L345" i="14"/>
  <c r="L333" i="14"/>
  <c r="L321" i="14"/>
  <c r="L309" i="14"/>
  <c r="L297" i="14"/>
  <c r="L285" i="14"/>
  <c r="L273" i="14"/>
  <c r="L261" i="14"/>
  <c r="L249" i="14"/>
  <c r="L237" i="14"/>
  <c r="L225" i="14"/>
  <c r="L213" i="14"/>
  <c r="L201" i="14"/>
  <c r="L189" i="14"/>
  <c r="L177" i="14"/>
  <c r="L165" i="14"/>
  <c r="L153" i="14"/>
  <c r="L141" i="14"/>
  <c r="L129" i="14"/>
  <c r="L117" i="14"/>
  <c r="L105" i="14"/>
  <c r="L93" i="14"/>
  <c r="L81" i="14"/>
  <c r="L69" i="14"/>
  <c r="L57" i="14"/>
  <c r="L45" i="14"/>
  <c r="L33" i="14"/>
  <c r="L21" i="14"/>
  <c r="L9" i="14"/>
  <c r="L5963" i="14"/>
  <c r="L4811" i="14"/>
  <c r="L4280" i="14"/>
  <c r="L3992" i="14"/>
  <c r="L3704" i="14"/>
  <c r="L3539" i="14"/>
  <c r="L3395" i="14"/>
  <c r="L3251" i="14"/>
  <c r="L3107" i="14"/>
  <c r="L3008" i="14"/>
  <c r="L2934" i="14"/>
  <c r="L2886" i="14"/>
  <c r="L2838" i="14"/>
  <c r="L2790" i="14"/>
  <c r="L2742" i="14"/>
  <c r="L2694" i="14"/>
  <c r="L2646" i="14"/>
  <c r="L2598" i="14"/>
  <c r="L2557" i="14"/>
  <c r="L2521" i="14"/>
  <c r="L2485" i="14"/>
  <c r="L2449" i="14"/>
  <c r="L2413" i="14"/>
  <c r="L2377" i="14"/>
  <c r="L2341" i="14"/>
  <c r="L2305" i="14"/>
  <c r="L2277" i="14"/>
  <c r="L2249" i="14"/>
  <c r="L2218" i="14"/>
  <c r="L2190" i="14"/>
  <c r="L2161" i="14"/>
  <c r="L2133" i="14"/>
  <c r="L2105" i="14"/>
  <c r="L2074" i="14"/>
  <c r="L2046" i="14"/>
  <c r="L2017" i="14"/>
  <c r="L1989" i="14"/>
  <c r="L1961" i="14"/>
  <c r="L1930" i="14"/>
  <c r="L1902" i="14"/>
  <c r="L1873" i="14"/>
  <c r="L1845" i="14"/>
  <c r="L1817" i="14"/>
  <c r="L1786" i="14"/>
  <c r="L1758" i="14"/>
  <c r="L1729" i="14"/>
  <c r="L1701" i="14"/>
  <c r="L1673" i="14"/>
  <c r="L1642" i="14"/>
  <c r="L1614" i="14"/>
  <c r="L1585" i="14"/>
  <c r="L1558" i="14"/>
  <c r="L1534" i="14"/>
  <c r="L1510" i="14"/>
  <c r="L1491" i="14"/>
  <c r="L1472" i="14"/>
  <c r="L1455" i="14"/>
  <c r="L1436" i="14"/>
  <c r="L1419" i="14"/>
  <c r="L1400" i="14"/>
  <c r="L1387" i="14"/>
  <c r="L1375" i="14"/>
  <c r="L1363" i="14"/>
  <c r="L1351" i="14"/>
  <c r="L1339" i="14"/>
  <c r="L1327" i="14"/>
  <c r="L1315" i="14"/>
  <c r="L1303" i="14"/>
  <c r="L1291" i="14"/>
  <c r="L1279" i="14"/>
  <c r="L1267" i="14"/>
  <c r="L1255" i="14"/>
  <c r="L1243" i="14"/>
  <c r="L1231" i="14"/>
  <c r="L1219" i="14"/>
  <c r="L1207" i="14"/>
  <c r="L1195" i="14"/>
  <c r="L1183" i="14"/>
  <c r="L1171" i="14"/>
  <c r="L1159" i="14"/>
  <c r="L1147" i="14"/>
  <c r="L1135" i="14"/>
  <c r="L1123" i="14"/>
  <c r="L1111" i="14"/>
  <c r="L1099" i="14"/>
  <c r="L1087" i="14"/>
  <c r="L1075" i="14"/>
  <c r="L1063" i="14"/>
  <c r="L1051" i="14"/>
  <c r="L1039" i="14"/>
  <c r="L1027" i="14"/>
  <c r="L1015" i="14"/>
  <c r="L1003" i="14"/>
  <c r="L991" i="14"/>
  <c r="L979" i="14"/>
  <c r="L967" i="14"/>
  <c r="L955" i="14"/>
  <c r="L943" i="14"/>
  <c r="L931" i="14"/>
  <c r="L919" i="14"/>
  <c r="L907" i="14"/>
  <c r="L895" i="14"/>
  <c r="L883" i="14"/>
  <c r="L871" i="14"/>
  <c r="L859" i="14"/>
  <c r="L847" i="14"/>
  <c r="L835" i="14"/>
  <c r="L823" i="14"/>
  <c r="L811" i="14"/>
  <c r="L799" i="14"/>
  <c r="L787" i="14"/>
  <c r="L775" i="14"/>
  <c r="L763" i="14"/>
  <c r="L751" i="14"/>
  <c r="L739" i="14"/>
  <c r="L727" i="14"/>
  <c r="L715" i="14"/>
  <c r="L703" i="14"/>
  <c r="L691" i="14"/>
  <c r="L679" i="14"/>
  <c r="L667" i="14"/>
  <c r="L655" i="14"/>
  <c r="L643" i="14"/>
  <c r="L631" i="14"/>
  <c r="L619" i="14"/>
  <c r="L607" i="14"/>
  <c r="L595" i="14"/>
  <c r="L583" i="14"/>
  <c r="L571" i="14"/>
  <c r="L559" i="14"/>
  <c r="L547" i="14"/>
  <c r="L535" i="14"/>
  <c r="L523" i="14"/>
  <c r="L511" i="14"/>
  <c r="L499" i="14"/>
  <c r="L487" i="14"/>
  <c r="L475" i="14"/>
  <c r="L463" i="14"/>
  <c r="L451" i="14"/>
  <c r="L439" i="14"/>
  <c r="L427" i="14"/>
  <c r="L415" i="14"/>
  <c r="L403" i="14"/>
  <c r="L391" i="14"/>
  <c r="L379" i="14"/>
  <c r="L367" i="14"/>
  <c r="L355" i="14"/>
  <c r="L343" i="14"/>
  <c r="L331" i="14"/>
  <c r="L319" i="14"/>
  <c r="L307" i="14"/>
  <c r="L295" i="14"/>
  <c r="L283" i="14"/>
  <c r="L271" i="14"/>
  <c r="L259" i="14"/>
  <c r="L247" i="14"/>
  <c r="L235" i="14"/>
  <c r="L223" i="14"/>
  <c r="L211" i="14"/>
  <c r="L199" i="14"/>
  <c r="L187" i="14"/>
  <c r="L175" i="14"/>
  <c r="L163" i="14"/>
  <c r="L151" i="14"/>
  <c r="L139" i="14"/>
  <c r="L127" i="14"/>
  <c r="L115" i="14"/>
  <c r="L103" i="14"/>
  <c r="L91" i="14"/>
  <c r="L79" i="14"/>
  <c r="L67" i="14"/>
  <c r="L55" i="14"/>
  <c r="L43" i="14"/>
  <c r="L31" i="14"/>
  <c r="L19" i="14"/>
  <c r="L7" i="14"/>
  <c r="L5928" i="14"/>
  <c r="L4776" i="14"/>
  <c r="L4272" i="14"/>
  <c r="L3984" i="14"/>
  <c r="L3696" i="14"/>
  <c r="L3536" i="14"/>
  <c r="L3392" i="14"/>
  <c r="L3248" i="14"/>
  <c r="L3104" i="14"/>
  <c r="L3005" i="14"/>
  <c r="L2933" i="14"/>
  <c r="L2885" i="14"/>
  <c r="L2837" i="14"/>
  <c r="L2789" i="14"/>
  <c r="L2741" i="14"/>
  <c r="L2693" i="14"/>
  <c r="L2645" i="14"/>
  <c r="L2597" i="14"/>
  <c r="L2554" i="14"/>
  <c r="L2518" i="14"/>
  <c r="L2482" i="14"/>
  <c r="L2446" i="14"/>
  <c r="L2410" i="14"/>
  <c r="L2374" i="14"/>
  <c r="L2338" i="14"/>
  <c r="L2302" i="14"/>
  <c r="L2274" i="14"/>
  <c r="L2245" i="14"/>
  <c r="L2217" i="14"/>
  <c r="L2189" i="14"/>
  <c r="L2158" i="14"/>
  <c r="L2130" i="14"/>
  <c r="L2101" i="14"/>
  <c r="L2073" i="14"/>
  <c r="L2045" i="14"/>
  <c r="L2014" i="14"/>
  <c r="L1986" i="14"/>
  <c r="L1957" i="14"/>
  <c r="L1929" i="14"/>
  <c r="L1901" i="14"/>
  <c r="L1870" i="14"/>
  <c r="L1842" i="14"/>
  <c r="L1813" i="14"/>
  <c r="L1785" i="14"/>
  <c r="L1757" i="14"/>
  <c r="L1726" i="14"/>
  <c r="L1698" i="14"/>
  <c r="L1669" i="14"/>
  <c r="L1641" i="14"/>
  <c r="L1613" i="14"/>
  <c r="L1582" i="14"/>
  <c r="L1557" i="14"/>
  <c r="L1533" i="14"/>
  <c r="L1509" i="14"/>
  <c r="L1489" i="14"/>
  <c r="L1471" i="14"/>
  <c r="L1453" i="14"/>
  <c r="L1435" i="14"/>
  <c r="L1417" i="14"/>
  <c r="L1399" i="14"/>
  <c r="L1386" i="14"/>
  <c r="L1374" i="14"/>
  <c r="L1362" i="14"/>
  <c r="L1350" i="14"/>
  <c r="L1338" i="14"/>
  <c r="L1326" i="14"/>
  <c r="L1314" i="14"/>
  <c r="L1302" i="14"/>
  <c r="L1290" i="14"/>
  <c r="L1278" i="14"/>
  <c r="L1266" i="14"/>
  <c r="L1254" i="14"/>
  <c r="L1242" i="14"/>
  <c r="L1230" i="14"/>
  <c r="L1218" i="14"/>
  <c r="L1206" i="14"/>
  <c r="L1194" i="14"/>
  <c r="L1182" i="14"/>
  <c r="L1170" i="14"/>
  <c r="L1158" i="14"/>
  <c r="L1146" i="14"/>
  <c r="L1134" i="14"/>
  <c r="L1122" i="14"/>
  <c r="L1110" i="14"/>
  <c r="L1098" i="14"/>
  <c r="L1086" i="14"/>
  <c r="L1074" i="14"/>
  <c r="L1062" i="14"/>
  <c r="L1050" i="14"/>
  <c r="L1038" i="14"/>
  <c r="L1026" i="14"/>
  <c r="L1014" i="14"/>
  <c r="L1002" i="14"/>
  <c r="L990" i="14"/>
  <c r="L978" i="14"/>
  <c r="L966" i="14"/>
  <c r="L954" i="14"/>
  <c r="L942" i="14"/>
  <c r="L930" i="14"/>
  <c r="L918" i="14"/>
  <c r="L906" i="14"/>
  <c r="L894" i="14"/>
  <c r="L882" i="14"/>
  <c r="L870" i="14"/>
  <c r="L858" i="14"/>
  <c r="L846" i="14"/>
  <c r="L834" i="14"/>
  <c r="L822" i="14"/>
  <c r="L810" i="14"/>
  <c r="L798" i="14"/>
  <c r="L786" i="14"/>
  <c r="L774" i="14"/>
  <c r="L762" i="14"/>
  <c r="L750" i="14"/>
  <c r="L738" i="14"/>
  <c r="L726" i="14"/>
  <c r="L714" i="14"/>
  <c r="L702" i="14"/>
  <c r="L690" i="14"/>
  <c r="L678" i="14"/>
  <c r="L666" i="14"/>
  <c r="L654" i="14"/>
  <c r="L642" i="14"/>
  <c r="L630" i="14"/>
  <c r="L618" i="14"/>
  <c r="L606" i="14"/>
  <c r="L594" i="14"/>
  <c r="L582" i="14"/>
  <c r="L570" i="14"/>
  <c r="L558" i="14"/>
  <c r="L546" i="14"/>
  <c r="L534" i="14"/>
  <c r="L522" i="14"/>
  <c r="L510" i="14"/>
  <c r="L498" i="14"/>
  <c r="L486" i="14"/>
  <c r="L474" i="14"/>
  <c r="L462" i="14"/>
  <c r="L450" i="14"/>
  <c r="L438" i="14"/>
  <c r="L426" i="14"/>
  <c r="L414" i="14"/>
  <c r="L402" i="14"/>
  <c r="L390" i="14"/>
  <c r="L378" i="14"/>
  <c r="L366" i="14"/>
  <c r="L354" i="14"/>
  <c r="L342" i="14"/>
  <c r="L330" i="14"/>
  <c r="L318" i="14"/>
  <c r="L306" i="14"/>
  <c r="L294" i="14"/>
  <c r="L282" i="14"/>
  <c r="L270" i="14"/>
  <c r="L258" i="14"/>
  <c r="L246" i="14"/>
  <c r="L234" i="14"/>
  <c r="L222" i="14"/>
  <c r="L210" i="14"/>
  <c r="L198" i="14"/>
  <c r="L186" i="14"/>
  <c r="L174" i="14"/>
  <c r="L162" i="14"/>
  <c r="L150" i="14"/>
  <c r="L138" i="14"/>
  <c r="L126" i="14"/>
  <c r="L114" i="14"/>
  <c r="L102" i="14"/>
  <c r="L90" i="14"/>
  <c r="L78" i="14"/>
  <c r="L66" i="14"/>
  <c r="L54" i="14"/>
  <c r="L42" i="14"/>
  <c r="L30" i="14"/>
  <c r="L18" i="14"/>
  <c r="L6" i="14"/>
  <c r="L5832" i="14"/>
  <c r="L4680" i="14"/>
  <c r="L4248" i="14"/>
  <c r="L3960" i="14"/>
  <c r="L3677" i="14"/>
  <c r="L3524" i="14"/>
  <c r="L3380" i="14"/>
  <c r="L3236" i="14"/>
  <c r="L3095" i="14"/>
  <c r="L2999" i="14"/>
  <c r="L2929" i="14"/>
  <c r="L2881" i="14"/>
  <c r="L2833" i="14"/>
  <c r="L2785" i="14"/>
  <c r="L2737" i="14"/>
  <c r="L2689" i="14"/>
  <c r="L2641" i="14"/>
  <c r="L2593" i="14"/>
  <c r="L2550" i="14"/>
  <c r="L2514" i="14"/>
  <c r="L2478" i="14"/>
  <c r="L2442" i="14"/>
  <c r="L2406" i="14"/>
  <c r="L2370" i="14"/>
  <c r="L2334" i="14"/>
  <c r="L2301" i="14"/>
  <c r="L2273" i="14"/>
  <c r="L2242" i="14"/>
  <c r="L2214" i="14"/>
  <c r="L2185" i="14"/>
  <c r="L2157" i="14"/>
  <c r="L2129" i="14"/>
  <c r="L2098" i="14"/>
  <c r="L2070" i="14"/>
  <c r="L2041" i="14"/>
  <c r="L2013" i="14"/>
  <c r="L1985" i="14"/>
  <c r="L1954" i="14"/>
  <c r="L1926" i="14"/>
  <c r="L1897" i="14"/>
  <c r="L1869" i="14"/>
  <c r="L1841" i="14"/>
  <c r="L1810" i="14"/>
  <c r="L1782" i="14"/>
  <c r="L1753" i="14"/>
  <c r="L1725" i="14"/>
  <c r="L1697" i="14"/>
  <c r="L1666" i="14"/>
  <c r="L1638" i="14"/>
  <c r="L1609" i="14"/>
  <c r="L1581" i="14"/>
  <c r="L1555" i="14"/>
  <c r="L1531" i="14"/>
  <c r="L1507" i="14"/>
  <c r="L1486" i="14"/>
  <c r="L1470" i="14"/>
  <c r="L1450" i="14"/>
  <c r="L1434" i="14"/>
  <c r="L1414" i="14"/>
  <c r="L1398" i="14"/>
  <c r="L1385" i="14"/>
  <c r="L1373" i="14"/>
  <c r="L1361" i="14"/>
  <c r="L1349" i="14"/>
  <c r="L1337" i="14"/>
  <c r="L1325" i="14"/>
  <c r="L1313" i="14"/>
  <c r="L1301" i="14"/>
  <c r="L1289" i="14"/>
  <c r="L1277" i="14"/>
  <c r="L1265" i="14"/>
  <c r="L1253" i="14"/>
  <c r="L1241" i="14"/>
  <c r="L1229" i="14"/>
  <c r="L1217" i="14"/>
  <c r="L1205" i="14"/>
  <c r="L1193" i="14"/>
  <c r="L1181" i="14"/>
  <c r="L1169" i="14"/>
  <c r="L1157" i="14"/>
  <c r="L1145" i="14"/>
  <c r="L1133" i="14"/>
  <c r="L1121" i="14"/>
  <c r="L1109" i="14"/>
  <c r="L1097" i="14"/>
  <c r="L1085" i="14"/>
  <c r="L1073" i="14"/>
  <c r="L1061" i="14"/>
  <c r="L1049" i="14"/>
  <c r="L1037" i="14"/>
  <c r="L1025" i="14"/>
  <c r="L1013" i="14"/>
  <c r="L1001" i="14"/>
  <c r="L989" i="14"/>
  <c r="L977" i="14"/>
  <c r="L965" i="14"/>
  <c r="L953" i="14"/>
  <c r="L941" i="14"/>
  <c r="L929" i="14"/>
  <c r="L917" i="14"/>
  <c r="L905" i="14"/>
  <c r="L893" i="14"/>
  <c r="L881" i="14"/>
  <c r="L869" i="14"/>
  <c r="L857" i="14"/>
  <c r="L845" i="14"/>
  <c r="L833" i="14"/>
  <c r="L821" i="14"/>
  <c r="L809" i="14"/>
  <c r="L797" i="14"/>
  <c r="L785" i="14"/>
  <c r="L773" i="14"/>
  <c r="L761" i="14"/>
  <c r="L749" i="14"/>
  <c r="L737" i="14"/>
  <c r="L725" i="14"/>
  <c r="L713" i="14"/>
  <c r="L701" i="14"/>
  <c r="L689" i="14"/>
  <c r="L677" i="14"/>
  <c r="L665" i="14"/>
  <c r="L653" i="14"/>
  <c r="L641" i="14"/>
  <c r="L629" i="14"/>
  <c r="L617" i="14"/>
  <c r="L605" i="14"/>
  <c r="L593" i="14"/>
  <c r="L581" i="14"/>
  <c r="L569" i="14"/>
  <c r="L557" i="14"/>
  <c r="L545" i="14"/>
  <c r="L533" i="14"/>
  <c r="L521" i="14"/>
  <c r="L509" i="14"/>
  <c r="L497" i="14"/>
  <c r="L485" i="14"/>
  <c r="L473" i="14"/>
  <c r="L461" i="14"/>
  <c r="L449" i="14"/>
  <c r="L437" i="14"/>
  <c r="L425" i="14"/>
  <c r="L413" i="14"/>
  <c r="L401" i="14"/>
  <c r="L389" i="14"/>
  <c r="L377" i="14"/>
  <c r="L365" i="14"/>
  <c r="L353" i="14"/>
  <c r="L341" i="14"/>
  <c r="L329" i="14"/>
  <c r="L317" i="14"/>
  <c r="L305" i="14"/>
  <c r="L293" i="14"/>
  <c r="L281" i="14"/>
  <c r="L269" i="14"/>
  <c r="L257" i="14"/>
  <c r="L245" i="14"/>
  <c r="L233" i="14"/>
  <c r="L221" i="14"/>
  <c r="L209" i="14"/>
  <c r="L197" i="14"/>
  <c r="L185" i="14"/>
  <c r="L173" i="14"/>
  <c r="L161" i="14"/>
  <c r="L149" i="14"/>
  <c r="L137" i="14"/>
  <c r="L125" i="14"/>
  <c r="L113" i="14"/>
  <c r="L101" i="14"/>
  <c r="L89" i="14"/>
  <c r="L77" i="14"/>
  <c r="L5675" i="14"/>
  <c r="L4544" i="14"/>
  <c r="L4208" i="14"/>
  <c r="L3920" i="14"/>
  <c r="L3648" i="14"/>
  <c r="L3503" i="14"/>
  <c r="L3359" i="14"/>
  <c r="L3215" i="14"/>
  <c r="L3080" i="14"/>
  <c r="L2984" i="14"/>
  <c r="L2922" i="14"/>
  <c r="L2874" i="14"/>
  <c r="L2826" i="14"/>
  <c r="L2778" i="14"/>
  <c r="L2730" i="14"/>
  <c r="L2682" i="14"/>
  <c r="L2634" i="14"/>
  <c r="L2586" i="14"/>
  <c r="L2549" i="14"/>
  <c r="L2513" i="14"/>
  <c r="L2477" i="14"/>
  <c r="L2441" i="14"/>
  <c r="L2405" i="14"/>
  <c r="L2369" i="14"/>
  <c r="L2333" i="14"/>
  <c r="L2298" i="14"/>
  <c r="L2269" i="14"/>
  <c r="L2241" i="14"/>
  <c r="L2213" i="14"/>
  <c r="L2182" i="14"/>
  <c r="L2154" i="14"/>
  <c r="L2125" i="14"/>
  <c r="L2097" i="14"/>
  <c r="L2069" i="14"/>
  <c r="L2038" i="14"/>
  <c r="L2010" i="14"/>
  <c r="L1981" i="14"/>
  <c r="L1953" i="14"/>
  <c r="L1925" i="14"/>
  <c r="L1894" i="14"/>
  <c r="L1866" i="14"/>
  <c r="L1837" i="14"/>
  <c r="L1809" i="14"/>
  <c r="L1781" i="14"/>
  <c r="L1750" i="14"/>
  <c r="L1722" i="14"/>
  <c r="L1693" i="14"/>
  <c r="L1665" i="14"/>
  <c r="L1637" i="14"/>
  <c r="L1606" i="14"/>
  <c r="L1578" i="14"/>
  <c r="L1554" i="14"/>
  <c r="L1530" i="14"/>
  <c r="L1506" i="14"/>
  <c r="L1485" i="14"/>
  <c r="L1469" i="14"/>
  <c r="L1449" i="14"/>
  <c r="L1433" i="14"/>
  <c r="L1413" i="14"/>
  <c r="L1397" i="14"/>
  <c r="L1384" i="14"/>
  <c r="L1372" i="14"/>
  <c r="L1360" i="14"/>
  <c r="L1348" i="14"/>
  <c r="L1336" i="14"/>
  <c r="L1324" i="14"/>
  <c r="L1312" i="14"/>
  <c r="L1300" i="14"/>
  <c r="L1288" i="14"/>
  <c r="L1276" i="14"/>
  <c r="L1264" i="14"/>
  <c r="L1252" i="14"/>
  <c r="L1240" i="14"/>
  <c r="L1228" i="14"/>
  <c r="L1216" i="14"/>
  <c r="L1204" i="14"/>
  <c r="L1192" i="14"/>
  <c r="L1180" i="14"/>
  <c r="L1168" i="14"/>
  <c r="L1156" i="14"/>
  <c r="L1144" i="14"/>
  <c r="L1132" i="14"/>
  <c r="L1120" i="14"/>
  <c r="L1108" i="14"/>
  <c r="L1096" i="14"/>
  <c r="L1084" i="14"/>
  <c r="L1072" i="14"/>
  <c r="L1060" i="14"/>
  <c r="L1048" i="14"/>
  <c r="L1036" i="14"/>
  <c r="L1024" i="14"/>
  <c r="L1012" i="14"/>
  <c r="L1000" i="14"/>
  <c r="L988" i="14"/>
  <c r="L976" i="14"/>
  <c r="L964" i="14"/>
  <c r="L952" i="14"/>
  <c r="L940" i="14"/>
  <c r="L928" i="14"/>
  <c r="L916" i="14"/>
  <c r="L904" i="14"/>
  <c r="L892" i="14"/>
  <c r="L880" i="14"/>
  <c r="L868" i="14"/>
  <c r="L856" i="14"/>
  <c r="L844" i="14"/>
  <c r="L832" i="14"/>
  <c r="L820" i="14"/>
  <c r="L808" i="14"/>
  <c r="L796" i="14"/>
  <c r="L784" i="14"/>
  <c r="L772" i="14"/>
  <c r="L760" i="14"/>
  <c r="L748" i="14"/>
  <c r="L736" i="14"/>
  <c r="L724" i="14"/>
  <c r="L712" i="14"/>
  <c r="L700" i="14"/>
  <c r="L688" i="14"/>
  <c r="L676" i="14"/>
  <c r="L664" i="14"/>
  <c r="L652" i="14"/>
  <c r="L640" i="14"/>
  <c r="L628" i="14"/>
  <c r="L616" i="14"/>
  <c r="L604" i="14"/>
  <c r="L592" i="14"/>
  <c r="L580" i="14"/>
  <c r="L568" i="14"/>
  <c r="L556" i="14"/>
  <c r="L544" i="14"/>
  <c r="L532" i="14"/>
  <c r="L520" i="14"/>
  <c r="L508" i="14"/>
  <c r="L496" i="14"/>
  <c r="L484" i="14"/>
  <c r="L472" i="14"/>
  <c r="L460" i="14"/>
  <c r="L448" i="14"/>
  <c r="L436" i="14"/>
  <c r="L424" i="14"/>
  <c r="L412" i="14"/>
  <c r="L400" i="14"/>
  <c r="L388" i="14"/>
  <c r="L376" i="14"/>
  <c r="L364" i="14"/>
  <c r="L352" i="14"/>
  <c r="L340" i="14"/>
  <c r="L328" i="14"/>
  <c r="L316" i="14"/>
  <c r="L304" i="14"/>
  <c r="L292" i="14"/>
  <c r="L280" i="14"/>
  <c r="L268" i="14"/>
  <c r="L256" i="14"/>
  <c r="L244" i="14"/>
  <c r="L232" i="14"/>
  <c r="L220" i="14"/>
  <c r="L208" i="14"/>
  <c r="L196" i="14"/>
  <c r="L184" i="14"/>
  <c r="L172" i="14"/>
  <c r="L160" i="14"/>
  <c r="L148" i="14"/>
  <c r="L136" i="14"/>
  <c r="L124" i="14"/>
  <c r="L112" i="14"/>
  <c r="L100" i="14"/>
  <c r="L88" i="14"/>
  <c r="L76" i="14"/>
  <c r="L64" i="14"/>
  <c r="L52" i="14"/>
  <c r="L40" i="14"/>
  <c r="L28" i="14"/>
  <c r="L16" i="14"/>
  <c r="L5640" i="14"/>
  <c r="L4523" i="14"/>
  <c r="L4200" i="14"/>
  <c r="L3912" i="14"/>
  <c r="L3644" i="14"/>
  <c r="L3500" i="14"/>
  <c r="L3356" i="14"/>
  <c r="L3212" i="14"/>
  <c r="L3077" i="14"/>
  <c r="L2981" i="14"/>
  <c r="L2921" i="14"/>
  <c r="L2873" i="14"/>
  <c r="L2825" i="14"/>
  <c r="L2777" i="14"/>
  <c r="L2729" i="14"/>
  <c r="L2681" i="14"/>
  <c r="L2633" i="14"/>
  <c r="L2585" i="14"/>
  <c r="L2545" i="14"/>
  <c r="L2509" i="14"/>
  <c r="L2473" i="14"/>
  <c r="L2437" i="14"/>
  <c r="L2401" i="14"/>
  <c r="L2365" i="14"/>
  <c r="L2329" i="14"/>
  <c r="L2297" i="14"/>
  <c r="L2266" i="14"/>
  <c r="L2238" i="14"/>
  <c r="L2209" i="14"/>
  <c r="L2181" i="14"/>
  <c r="L2153" i="14"/>
  <c r="L2122" i="14"/>
  <c r="L2094" i="14"/>
  <c r="L2065" i="14"/>
  <c r="L2037" i="14"/>
  <c r="L2009" i="14"/>
  <c r="L1978" i="14"/>
  <c r="L1950" i="14"/>
  <c r="L1921" i="14"/>
  <c r="L1893" i="14"/>
  <c r="L1865" i="14"/>
  <c r="L1834" i="14"/>
  <c r="L1806" i="14"/>
  <c r="L1777" i="14"/>
  <c r="L1749" i="14"/>
  <c r="L1721" i="14"/>
  <c r="L1690" i="14"/>
  <c r="L1662" i="14"/>
  <c r="L1633" i="14"/>
  <c r="L1605" i="14"/>
  <c r="L1577" i="14"/>
  <c r="L1553" i="14"/>
  <c r="L1529" i="14"/>
  <c r="L1505" i="14"/>
  <c r="L1484" i="14"/>
  <c r="L1467" i="14"/>
  <c r="L1448" i="14"/>
  <c r="L1431" i="14"/>
  <c r="L1412" i="14"/>
  <c r="L1396" i="14"/>
  <c r="L1383" i="14"/>
  <c r="L1371" i="14"/>
  <c r="L1359" i="14"/>
  <c r="L1347" i="14"/>
  <c r="L1335" i="14"/>
  <c r="L1323" i="14"/>
  <c r="L1311" i="14"/>
  <c r="L1299" i="14"/>
  <c r="L1287" i="14"/>
  <c r="L1275" i="14"/>
  <c r="L1263" i="14"/>
  <c r="L1251" i="14"/>
  <c r="L1239" i="14"/>
  <c r="L1227" i="14"/>
  <c r="L1215" i="14"/>
  <c r="L1203" i="14"/>
  <c r="L1191" i="14"/>
  <c r="L1179" i="14"/>
  <c r="L1167" i="14"/>
  <c r="L1155" i="14"/>
  <c r="L1143" i="14"/>
  <c r="L1131" i="14"/>
  <c r="L1119" i="14"/>
  <c r="L1107" i="14"/>
  <c r="L1095" i="14"/>
  <c r="L1083" i="14"/>
  <c r="L1071" i="14"/>
  <c r="L1059" i="14"/>
  <c r="L1047" i="14"/>
  <c r="L1035" i="14"/>
  <c r="L1023" i="14"/>
  <c r="L1011" i="14"/>
  <c r="L999" i="14"/>
  <c r="L987" i="14"/>
  <c r="L975" i="14"/>
  <c r="L963" i="14"/>
  <c r="L951" i="14"/>
  <c r="L939" i="14"/>
  <c r="L927" i="14"/>
  <c r="L915" i="14"/>
  <c r="L903" i="14"/>
  <c r="L891" i="14"/>
  <c r="L879" i="14"/>
  <c r="L867" i="14"/>
  <c r="L855" i="14"/>
  <c r="L843" i="14"/>
  <c r="L831" i="14"/>
  <c r="L819" i="14"/>
  <c r="L807" i="14"/>
  <c r="L795" i="14"/>
  <c r="L783" i="14"/>
  <c r="L771" i="14"/>
  <c r="L759" i="14"/>
  <c r="L747" i="14"/>
  <c r="L735" i="14"/>
  <c r="L723" i="14"/>
  <c r="L711" i="14"/>
  <c r="L699" i="14"/>
  <c r="L687" i="14"/>
  <c r="L675" i="14"/>
  <c r="L663" i="14"/>
  <c r="L651" i="14"/>
  <c r="L639" i="14"/>
  <c r="L627" i="14"/>
  <c r="L615" i="14"/>
  <c r="L603" i="14"/>
  <c r="L591" i="14"/>
  <c r="L579" i="14"/>
  <c r="L567" i="14"/>
  <c r="L555" i="14"/>
  <c r="L543" i="14"/>
  <c r="L531" i="14"/>
  <c r="L519" i="14"/>
  <c r="L507" i="14"/>
  <c r="L495" i="14"/>
  <c r="L483" i="14"/>
  <c r="L471" i="14"/>
  <c r="L459" i="14"/>
  <c r="L447" i="14"/>
  <c r="L435" i="14"/>
  <c r="L423" i="14"/>
  <c r="L411" i="14"/>
  <c r="L399" i="14"/>
  <c r="L387" i="14"/>
  <c r="L375" i="14"/>
  <c r="L363" i="14"/>
  <c r="L351" i="14"/>
  <c r="L339" i="14"/>
  <c r="L327" i="14"/>
  <c r="L315" i="14"/>
  <c r="L303" i="14"/>
  <c r="L291" i="14"/>
  <c r="L279" i="14"/>
  <c r="L267" i="14"/>
  <c r="L255" i="14"/>
  <c r="L243" i="14"/>
  <c r="L231" i="14"/>
  <c r="L219" i="14"/>
  <c r="L207" i="14"/>
  <c r="L195" i="14"/>
  <c r="L183" i="14"/>
  <c r="L171" i="14"/>
  <c r="L159" i="14"/>
  <c r="L147" i="14"/>
  <c r="L135" i="14"/>
  <c r="L123" i="14"/>
  <c r="L111" i="14"/>
  <c r="L99" i="14"/>
  <c r="L87" i="14"/>
  <c r="L75" i="14"/>
  <c r="L63" i="14"/>
  <c r="L51" i="14"/>
  <c r="L39" i="14"/>
  <c r="L27" i="14"/>
  <c r="L15" i="14"/>
  <c r="L4" i="14"/>
  <c r="L5544" i="14"/>
  <c r="L4466" i="14"/>
  <c r="L4176" i="14"/>
  <c r="L3888" i="14"/>
  <c r="L3632" i="14"/>
  <c r="L3488" i="14"/>
  <c r="L3344" i="14"/>
  <c r="L3200" i="14"/>
  <c r="L3071" i="14"/>
  <c r="L2975" i="14"/>
  <c r="L2917" i="14"/>
  <c r="L2869" i="14"/>
  <c r="L2821" i="14"/>
  <c r="L2773" i="14"/>
  <c r="L2725" i="14"/>
  <c r="L2677" i="14"/>
  <c r="L2629" i="14"/>
  <c r="L2581" i="14"/>
  <c r="L2542" i="14"/>
  <c r="L2506" i="14"/>
  <c r="L2470" i="14"/>
  <c r="L2434" i="14"/>
  <c r="L2398" i="14"/>
  <c r="L2362" i="14"/>
  <c r="L2326" i="14"/>
  <c r="L2293" i="14"/>
  <c r="L2265" i="14"/>
  <c r="L2237" i="14"/>
  <c r="L2206" i="14"/>
  <c r="L2178" i="14"/>
  <c r="L2149" i="14"/>
  <c r="L2121" i="14"/>
  <c r="L2093" i="14"/>
  <c r="L2062" i="14"/>
  <c r="L2034" i="14"/>
  <c r="L2005" i="14"/>
  <c r="L1977" i="14"/>
  <c r="L1949" i="14"/>
  <c r="L1918" i="14"/>
  <c r="L1890" i="14"/>
  <c r="L1861" i="14"/>
  <c r="L1833" i="14"/>
  <c r="L1805" i="14"/>
  <c r="L1774" i="14"/>
  <c r="L1746" i="14"/>
  <c r="L1717" i="14"/>
  <c r="L1689" i="14"/>
  <c r="L1661" i="14"/>
  <c r="L1630" i="14"/>
  <c r="L1602" i="14"/>
  <c r="L1573" i="14"/>
  <c r="L1549" i="14"/>
  <c r="L1525" i="14"/>
  <c r="L5387" i="14"/>
  <c r="L4424" i="14"/>
  <c r="L4136" i="14"/>
  <c r="L3848" i="14"/>
  <c r="L3611" i="14"/>
  <c r="L3467" i="14"/>
  <c r="L3323" i="14"/>
  <c r="L3179" i="14"/>
  <c r="L3056" i="14"/>
  <c r="L2960" i="14"/>
  <c r="L2910" i="14"/>
  <c r="L2862" i="14"/>
  <c r="L2814" i="14"/>
  <c r="L2766" i="14"/>
  <c r="L2718" i="14"/>
  <c r="L2670" i="14"/>
  <c r="L2622" i="14"/>
  <c r="L2574" i="14"/>
  <c r="L2538" i="14"/>
  <c r="L2502" i="14"/>
  <c r="L2466" i="14"/>
  <c r="L2430" i="14"/>
  <c r="L2394" i="14"/>
  <c r="L2358" i="14"/>
  <c r="L2322" i="14"/>
  <c r="L2290" i="14"/>
  <c r="L2262" i="14"/>
  <c r="L2233" i="14"/>
  <c r="L2205" i="14"/>
  <c r="L2177" i="14"/>
  <c r="L2146" i="14"/>
  <c r="L2118" i="14"/>
  <c r="L2089" i="14"/>
  <c r="L2061" i="14"/>
  <c r="L2033" i="14"/>
  <c r="L2002" i="14"/>
  <c r="L1974" i="14"/>
  <c r="L1945" i="14"/>
  <c r="L1917" i="14"/>
  <c r="L1889" i="14"/>
  <c r="L1858" i="14"/>
  <c r="L1830" i="14"/>
  <c r="L1801" i="14"/>
  <c r="L1773" i="14"/>
  <c r="L1745" i="14"/>
  <c r="L1714" i="14"/>
  <c r="L1686" i="14"/>
  <c r="L1657" i="14"/>
  <c r="L1629" i="14"/>
  <c r="L1601" i="14"/>
  <c r="L1570" i="14"/>
  <c r="L1546" i="14"/>
  <c r="L1522" i="14"/>
  <c r="L1501" i="14"/>
  <c r="L1482" i="14"/>
  <c r="L1462" i="14"/>
  <c r="L1446" i="14"/>
  <c r="L1426" i="14"/>
  <c r="L1410" i="14"/>
  <c r="L1394" i="14"/>
  <c r="L1381" i="14"/>
  <c r="L1369" i="14"/>
  <c r="L1357" i="14"/>
  <c r="L1345" i="14"/>
  <c r="L1333" i="14"/>
  <c r="L1321" i="14"/>
  <c r="L1309" i="14"/>
  <c r="L1297" i="14"/>
  <c r="L1285" i="14"/>
  <c r="L1273" i="14"/>
  <c r="L1261" i="14"/>
  <c r="L1249" i="14"/>
  <c r="L1237" i="14"/>
  <c r="L1225" i="14"/>
  <c r="L1213" i="14"/>
  <c r="L1201" i="14"/>
  <c r="L1189" i="14"/>
  <c r="L1177" i="14"/>
  <c r="L1165" i="14"/>
  <c r="L1153" i="14"/>
  <c r="L1141" i="14"/>
  <c r="L1129" i="14"/>
  <c r="L1117" i="14"/>
  <c r="L1105" i="14"/>
  <c r="L1093" i="14"/>
  <c r="L1081" i="14"/>
  <c r="L1069" i="14"/>
  <c r="L1057" i="14"/>
  <c r="L1045" i="14"/>
  <c r="L1033" i="14"/>
  <c r="L1021" i="14"/>
  <c r="L1009" i="14"/>
  <c r="L997" i="14"/>
  <c r="L985" i="14"/>
  <c r="L973" i="14"/>
  <c r="L961" i="14"/>
  <c r="L949" i="14"/>
  <c r="L937" i="14"/>
  <c r="L925" i="14"/>
  <c r="L913" i="14"/>
  <c r="L901" i="14"/>
  <c r="L889" i="14"/>
  <c r="L877" i="14"/>
  <c r="L865" i="14"/>
  <c r="L853" i="14"/>
  <c r="L841" i="14"/>
  <c r="L829" i="14"/>
  <c r="L817" i="14"/>
  <c r="L805" i="14"/>
  <c r="L793" i="14"/>
  <c r="L781" i="14"/>
  <c r="L769" i="14"/>
  <c r="L757" i="14"/>
  <c r="L745" i="14"/>
  <c r="L733" i="14"/>
  <c r="L721" i="14"/>
  <c r="L709" i="14"/>
  <c r="L697" i="14"/>
  <c r="L685" i="14"/>
  <c r="L673" i="14"/>
  <c r="L661" i="14"/>
  <c r="L649" i="14"/>
  <c r="L637" i="14"/>
  <c r="L625" i="14"/>
  <c r="L613" i="14"/>
  <c r="L601" i="14"/>
  <c r="L589" i="14"/>
  <c r="L577" i="14"/>
  <c r="L565" i="14"/>
  <c r="L553" i="14"/>
  <c r="L541" i="14"/>
  <c r="L529" i="14"/>
  <c r="L517" i="14"/>
  <c r="L505" i="14"/>
  <c r="L493" i="14"/>
  <c r="L481" i="14"/>
  <c r="L469" i="14"/>
  <c r="L457" i="14"/>
  <c r="L445" i="14"/>
  <c r="L433" i="14"/>
  <c r="L421" i="14"/>
  <c r="L409" i="14"/>
  <c r="L397" i="14"/>
  <c r="L385" i="14"/>
  <c r="L373" i="14"/>
  <c r="L361" i="14"/>
  <c r="L349" i="14"/>
  <c r="L337" i="14"/>
  <c r="L325" i="14"/>
  <c r="L313" i="14"/>
  <c r="L301" i="14"/>
  <c r="L289" i="14"/>
  <c r="L277" i="14"/>
  <c r="L265" i="14"/>
  <c r="L253" i="14"/>
  <c r="L241" i="14"/>
  <c r="L229" i="14"/>
  <c r="L217" i="14"/>
  <c r="L205" i="14"/>
  <c r="L193" i="14"/>
  <c r="L181" i="14"/>
  <c r="L169" i="14"/>
  <c r="L157" i="14"/>
  <c r="L145" i="14"/>
  <c r="L133" i="14"/>
  <c r="L121" i="14"/>
  <c r="L109" i="14"/>
  <c r="L97" i="14"/>
  <c r="L85" i="14"/>
  <c r="L73" i="14"/>
  <c r="L61" i="14"/>
  <c r="L49" i="14"/>
  <c r="L37" i="14"/>
  <c r="L25" i="14"/>
  <c r="L13" i="14"/>
  <c r="L6133" i="14"/>
  <c r="L3744" i="14"/>
  <c r="L3128" i="14"/>
  <c r="L2845" i="14"/>
  <c r="L2653" i="14"/>
  <c r="L2489" i="14"/>
  <c r="L2345" i="14"/>
  <c r="L2221" i="14"/>
  <c r="L2106" i="14"/>
  <c r="L1990" i="14"/>
  <c r="L1877" i="14"/>
  <c r="L1761" i="14"/>
  <c r="L1645" i="14"/>
  <c r="L1537" i="14"/>
  <c r="L1465" i="14"/>
  <c r="L1411" i="14"/>
  <c r="L1370" i="14"/>
  <c r="L1334" i="14"/>
  <c r="L1298" i="14"/>
  <c r="L1262" i="14"/>
  <c r="L1226" i="14"/>
  <c r="L1190" i="14"/>
  <c r="L1154" i="14"/>
  <c r="L1118" i="14"/>
  <c r="L1082" i="14"/>
  <c r="L1046" i="14"/>
  <c r="L1010" i="14"/>
  <c r="L974" i="14"/>
  <c r="L938" i="14"/>
  <c r="L902" i="14"/>
  <c r="L866" i="14"/>
  <c r="L830" i="14"/>
  <c r="L794" i="14"/>
  <c r="L758" i="14"/>
  <c r="L722" i="14"/>
  <c r="L686" i="14"/>
  <c r="L650" i="14"/>
  <c r="L614" i="14"/>
  <c r="L578" i="14"/>
  <c r="L542" i="14"/>
  <c r="L506" i="14"/>
  <c r="L470" i="14"/>
  <c r="L434" i="14"/>
  <c r="L398" i="14"/>
  <c r="L362" i="14"/>
  <c r="L326" i="14"/>
  <c r="L290" i="14"/>
  <c r="L254" i="14"/>
  <c r="L218" i="14"/>
  <c r="L182" i="14"/>
  <c r="L146" i="14"/>
  <c r="L110" i="14"/>
  <c r="L74" i="14"/>
  <c r="L47" i="14"/>
  <c r="L17" i="14"/>
  <c r="L5352" i="14"/>
  <c r="L3608" i="14"/>
  <c r="L3053" i="14"/>
  <c r="L2813" i="14"/>
  <c r="L2621" i="14"/>
  <c r="L2465" i="14"/>
  <c r="L2321" i="14"/>
  <c r="L2202" i="14"/>
  <c r="L2086" i="14"/>
  <c r="L1973" i="14"/>
  <c r="L1857" i="14"/>
  <c r="L1741" i="14"/>
  <c r="L1626" i="14"/>
  <c r="L1521" i="14"/>
  <c r="L1461" i="14"/>
  <c r="L1409" i="14"/>
  <c r="L1368" i="14"/>
  <c r="L1332" i="14"/>
  <c r="L1296" i="14"/>
  <c r="L1260" i="14"/>
  <c r="L1224" i="14"/>
  <c r="L1188" i="14"/>
  <c r="L1152" i="14"/>
  <c r="L1116" i="14"/>
  <c r="L1080" i="14"/>
  <c r="L1044" i="14"/>
  <c r="L1008" i="14"/>
  <c r="L972" i="14"/>
  <c r="L936" i="14"/>
  <c r="L900" i="14"/>
  <c r="L864" i="14"/>
  <c r="L828" i="14"/>
  <c r="L792" i="14"/>
  <c r="L756" i="14"/>
  <c r="L720" i="14"/>
  <c r="L684" i="14"/>
  <c r="L648" i="14"/>
  <c r="L612" i="14"/>
  <c r="L576" i="14"/>
  <c r="L540" i="14"/>
  <c r="L504" i="14"/>
  <c r="L468" i="14"/>
  <c r="L432" i="14"/>
  <c r="L396" i="14"/>
  <c r="L360" i="14"/>
  <c r="L324" i="14"/>
  <c r="L288" i="14"/>
  <c r="L252" i="14"/>
  <c r="L216" i="14"/>
  <c r="L180" i="14"/>
  <c r="L144" i="14"/>
  <c r="L108" i="14"/>
  <c r="L72" i="14"/>
  <c r="L44" i="14"/>
  <c r="L14" i="14"/>
  <c r="L5256" i="14"/>
  <c r="L3596" i="14"/>
  <c r="L3047" i="14"/>
  <c r="L2809" i="14"/>
  <c r="L2617" i="14"/>
  <c r="L2461" i="14"/>
  <c r="L2317" i="14"/>
  <c r="L2201" i="14"/>
  <c r="L2085" i="14"/>
  <c r="L1969" i="14"/>
  <c r="L1854" i="14"/>
  <c r="L1738" i="14"/>
  <c r="L1625" i="14"/>
  <c r="L1519" i="14"/>
  <c r="L1460" i="14"/>
  <c r="L1407" i="14"/>
  <c r="L1367" i="14"/>
  <c r="L1331" i="14"/>
  <c r="L1295" i="14"/>
  <c r="L1259" i="14"/>
  <c r="L1223" i="14"/>
  <c r="L1187" i="14"/>
  <c r="L1151" i="14"/>
  <c r="L1115" i="14"/>
  <c r="L1079" i="14"/>
  <c r="L1043" i="14"/>
  <c r="L1007" i="14"/>
  <c r="L971" i="14"/>
  <c r="L935" i="14"/>
  <c r="L899" i="14"/>
  <c r="L863" i="14"/>
  <c r="L827" i="14"/>
  <c r="L791" i="14"/>
  <c r="L755" i="14"/>
  <c r="L719" i="14"/>
  <c r="L683" i="14"/>
  <c r="L647" i="14"/>
  <c r="L611" i="14"/>
  <c r="L575" i="14"/>
  <c r="L539" i="14"/>
  <c r="L503" i="14"/>
  <c r="L467" i="14"/>
  <c r="L431" i="14"/>
  <c r="L395" i="14"/>
  <c r="L359" i="14"/>
  <c r="L323" i="14"/>
  <c r="L287" i="14"/>
  <c r="L251" i="14"/>
  <c r="L215" i="14"/>
  <c r="L179" i="14"/>
  <c r="L143" i="14"/>
  <c r="L107" i="14"/>
  <c r="L71" i="14"/>
  <c r="L41" i="14"/>
  <c r="L12" i="14"/>
  <c r="L4968" i="14"/>
  <c r="L3560" i="14"/>
  <c r="L3023" i="14"/>
  <c r="L2797" i="14"/>
  <c r="L2605" i="14"/>
  <c r="L2453" i="14"/>
  <c r="L2309" i="14"/>
  <c r="L2193" i="14"/>
  <c r="L2077" i="14"/>
  <c r="L1962" i="14"/>
  <c r="L1846" i="14"/>
  <c r="L1733" i="14"/>
  <c r="L1617" i="14"/>
  <c r="L1513" i="14"/>
  <c r="L1457" i="14"/>
  <c r="L1401" i="14"/>
  <c r="L1364" i="14"/>
  <c r="L1328" i="14"/>
  <c r="L1292" i="14"/>
  <c r="L1256" i="14"/>
  <c r="L1220" i="14"/>
  <c r="L1184" i="14"/>
  <c r="L1148" i="14"/>
  <c r="L1112" i="14"/>
  <c r="L1076" i="14"/>
  <c r="L1040" i="14"/>
  <c r="L1004" i="14"/>
  <c r="L968" i="14"/>
  <c r="L932" i="14"/>
  <c r="L896" i="14"/>
  <c r="L860" i="14"/>
  <c r="L824" i="14"/>
  <c r="L788" i="14"/>
  <c r="L752" i="14"/>
  <c r="L716" i="14"/>
  <c r="L680" i="14"/>
  <c r="L644" i="14"/>
  <c r="L608" i="14"/>
  <c r="L572" i="14"/>
  <c r="L536" i="14"/>
  <c r="L500" i="14"/>
  <c r="L464" i="14"/>
  <c r="L428" i="14"/>
  <c r="L392" i="14"/>
  <c r="L356" i="14"/>
  <c r="L320" i="14"/>
  <c r="L284" i="14"/>
  <c r="L248" i="14"/>
  <c r="L212" i="14"/>
  <c r="L176" i="14"/>
  <c r="L140" i="14"/>
  <c r="L104" i="14"/>
  <c r="L68" i="14"/>
  <c r="L38" i="14"/>
  <c r="L11" i="14"/>
  <c r="L4416" i="14"/>
  <c r="L3464" i="14"/>
  <c r="L2958" i="14"/>
  <c r="L2765" i="14"/>
  <c r="L2573" i="14"/>
  <c r="L2429" i="14"/>
  <c r="L2289" i="14"/>
  <c r="L2173" i="14"/>
  <c r="L2058" i="14"/>
  <c r="L1942" i="14"/>
  <c r="L1829" i="14"/>
  <c r="L1713" i="14"/>
  <c r="L1597" i="14"/>
  <c r="L1503" i="14"/>
  <c r="L1447" i="14"/>
  <c r="L1395" i="14"/>
  <c r="L1358" i="14"/>
  <c r="L1322" i="14"/>
  <c r="L1286" i="14"/>
  <c r="L1250" i="14"/>
  <c r="L1214" i="14"/>
  <c r="L1178" i="14"/>
  <c r="L1142" i="14"/>
  <c r="L1106" i="14"/>
  <c r="L1070" i="14"/>
  <c r="L1034" i="14"/>
  <c r="L998" i="14"/>
  <c r="L962" i="14"/>
  <c r="L926" i="14"/>
  <c r="L890" i="14"/>
  <c r="L854" i="14"/>
  <c r="L818" i="14"/>
  <c r="L782" i="14"/>
  <c r="L746" i="14"/>
  <c r="L710" i="14"/>
  <c r="L674" i="14"/>
  <c r="L638" i="14"/>
  <c r="L602" i="14"/>
  <c r="L566" i="14"/>
  <c r="L530" i="14"/>
  <c r="L494" i="14"/>
  <c r="L458" i="14"/>
  <c r="L422" i="14"/>
  <c r="L386" i="14"/>
  <c r="L350" i="14"/>
  <c r="L314" i="14"/>
  <c r="L278" i="14"/>
  <c r="L242" i="14"/>
  <c r="L206" i="14"/>
  <c r="L170" i="14"/>
  <c r="L134" i="14"/>
  <c r="L98" i="14"/>
  <c r="L65" i="14"/>
  <c r="L36" i="14"/>
  <c r="L8" i="14"/>
  <c r="L4392" i="14"/>
  <c r="L3452" i="14"/>
  <c r="L2953" i="14"/>
  <c r="L2761" i="14"/>
  <c r="L2569" i="14"/>
  <c r="L2425" i="14"/>
  <c r="L2286" i="14"/>
  <c r="L2170" i="14"/>
  <c r="L2057" i="14"/>
  <c r="L1941" i="14"/>
  <c r="L1825" i="14"/>
  <c r="L1710" i="14"/>
  <c r="L1594" i="14"/>
  <c r="L1498" i="14"/>
  <c r="L1445" i="14"/>
  <c r="L1393" i="14"/>
  <c r="L1356" i="14"/>
  <c r="L1320" i="14"/>
  <c r="L1284" i="14"/>
  <c r="L1248" i="14"/>
  <c r="L1212" i="14"/>
  <c r="L1176" i="14"/>
  <c r="L1140" i="14"/>
  <c r="L1104" i="14"/>
  <c r="L1068" i="14"/>
  <c r="L1032" i="14"/>
  <c r="L996" i="14"/>
  <c r="L960" i="14"/>
  <c r="L924" i="14"/>
  <c r="L888" i="14"/>
  <c r="L852" i="14"/>
  <c r="L816" i="14"/>
  <c r="L780" i="14"/>
  <c r="L744" i="14"/>
  <c r="L708" i="14"/>
  <c r="L672" i="14"/>
  <c r="L636" i="14"/>
  <c r="L600" i="14"/>
  <c r="L564" i="14"/>
  <c r="L528" i="14"/>
  <c r="L492" i="14"/>
  <c r="L456" i="14"/>
  <c r="L420" i="14"/>
  <c r="L384" i="14"/>
  <c r="L348" i="14"/>
  <c r="L312" i="14"/>
  <c r="L276" i="14"/>
  <c r="L240" i="14"/>
  <c r="L204" i="14"/>
  <c r="L168" i="14"/>
  <c r="L132" i="14"/>
  <c r="L96" i="14"/>
  <c r="L62" i="14"/>
  <c r="L35" i="14"/>
  <c r="L5" i="14"/>
  <c r="L4320" i="14"/>
  <c r="L3416" i="14"/>
  <c r="L2941" i="14"/>
  <c r="L2749" i="14"/>
  <c r="L2561" i="14"/>
  <c r="L2417" i="14"/>
  <c r="L2278" i="14"/>
  <c r="L2165" i="14"/>
  <c r="L2049" i="14"/>
  <c r="L1933" i="14"/>
  <c r="L1818" i="14"/>
  <c r="L1702" i="14"/>
  <c r="L1589" i="14"/>
  <c r="L1497" i="14"/>
  <c r="L1443" i="14"/>
  <c r="L1391" i="14"/>
  <c r="L1355" i="14"/>
  <c r="L1319" i="14"/>
  <c r="L1283" i="14"/>
  <c r="L1247" i="14"/>
  <c r="L1211" i="14"/>
  <c r="L1175" i="14"/>
  <c r="L1139" i="14"/>
  <c r="L1103" i="14"/>
  <c r="L1067" i="14"/>
  <c r="L1031" i="14"/>
  <c r="L995" i="14"/>
  <c r="L959" i="14"/>
  <c r="L923" i="14"/>
  <c r="L887" i="14"/>
  <c r="L851" i="14"/>
  <c r="L815" i="14"/>
  <c r="L779" i="14"/>
  <c r="L743" i="14"/>
  <c r="L707" i="14"/>
  <c r="L671" i="14"/>
  <c r="L635" i="14"/>
  <c r="L599" i="14"/>
  <c r="L563" i="14"/>
  <c r="L527" i="14"/>
  <c r="L491" i="14"/>
  <c r="L455" i="14"/>
  <c r="L419" i="14"/>
  <c r="L383" i="14"/>
  <c r="L347" i="14"/>
  <c r="L311" i="14"/>
  <c r="L275" i="14"/>
  <c r="L239" i="14"/>
  <c r="L203" i="14"/>
  <c r="L167" i="14"/>
  <c r="L131" i="14"/>
  <c r="L95" i="14"/>
  <c r="L60" i="14"/>
  <c r="L32" i="14"/>
  <c r="L4128" i="14"/>
  <c r="L3320" i="14"/>
  <c r="L2909" i="14"/>
  <c r="L2717" i="14"/>
  <c r="L2537" i="14"/>
  <c r="L2393" i="14"/>
  <c r="L2261" i="14"/>
  <c r="L2145" i="14"/>
  <c r="L2029" i="14"/>
  <c r="L1914" i="14"/>
  <c r="L1798" i="14"/>
  <c r="L1685" i="14"/>
  <c r="L1569" i="14"/>
  <c r="L1493" i="14"/>
  <c r="L1437" i="14"/>
  <c r="L1388" i="14"/>
  <c r="L1352" i="14"/>
  <c r="L1316" i="14"/>
  <c r="L1280" i="14"/>
  <c r="L1244" i="14"/>
  <c r="L1208" i="14"/>
  <c r="L1172" i="14"/>
  <c r="L1136" i="14"/>
  <c r="L1100" i="14"/>
  <c r="L1064" i="14"/>
  <c r="L1028" i="14"/>
  <c r="L992" i="14"/>
  <c r="L956" i="14"/>
  <c r="L920" i="14"/>
  <c r="L884" i="14"/>
  <c r="L848" i="14"/>
  <c r="L812" i="14"/>
  <c r="L776" i="14"/>
  <c r="L740" i="14"/>
  <c r="L704" i="14"/>
  <c r="L668" i="14"/>
  <c r="L632" i="14"/>
  <c r="L596" i="14"/>
  <c r="L560" i="14"/>
  <c r="L524" i="14"/>
  <c r="L488" i="14"/>
  <c r="L452" i="14"/>
  <c r="L416" i="14"/>
  <c r="L380" i="14"/>
  <c r="L344" i="14"/>
  <c r="L308" i="14"/>
  <c r="L272" i="14"/>
  <c r="L236" i="14"/>
  <c r="L200" i="14"/>
  <c r="L164" i="14"/>
  <c r="L128" i="14"/>
  <c r="L92" i="14"/>
  <c r="L59" i="14"/>
  <c r="L29" i="14"/>
  <c r="L4104" i="14"/>
  <c r="L3308" i="14"/>
  <c r="L2905" i="14"/>
  <c r="L2713" i="14"/>
  <c r="L2533" i="14"/>
  <c r="L2389" i="14"/>
  <c r="L2257" i="14"/>
  <c r="L2142" i="14"/>
  <c r="L2026" i="14"/>
  <c r="L1913" i="14"/>
  <c r="L1797" i="14"/>
  <c r="L1681" i="14"/>
  <c r="L1567" i="14"/>
  <c r="L1483" i="14"/>
  <c r="L1429" i="14"/>
  <c r="L1382" i="14"/>
  <c r="L1346" i="14"/>
  <c r="L1310" i="14"/>
  <c r="L1274" i="14"/>
  <c r="L1238" i="14"/>
  <c r="L1202" i="14"/>
  <c r="L1166" i="14"/>
  <c r="L1130" i="14"/>
  <c r="L1094" i="14"/>
  <c r="L1058" i="14"/>
  <c r="L1022" i="14"/>
  <c r="L986" i="14"/>
  <c r="L950" i="14"/>
  <c r="L914" i="14"/>
  <c r="L878" i="14"/>
  <c r="L842" i="14"/>
  <c r="L806" i="14"/>
  <c r="L770" i="14"/>
  <c r="L734" i="14"/>
  <c r="L698" i="14"/>
  <c r="L662" i="14"/>
  <c r="L626" i="14"/>
  <c r="L590" i="14"/>
  <c r="L554" i="14"/>
  <c r="L518" i="14"/>
  <c r="L482" i="14"/>
  <c r="L446" i="14"/>
  <c r="L410" i="14"/>
  <c r="L374" i="14"/>
  <c r="L338" i="14"/>
  <c r="L302" i="14"/>
  <c r="L266" i="14"/>
  <c r="L230" i="14"/>
  <c r="L194" i="14"/>
  <c r="L158" i="14"/>
  <c r="L122" i="14"/>
  <c r="L86" i="14"/>
  <c r="L56" i="14"/>
  <c r="L26" i="14"/>
  <c r="L4032" i="14"/>
  <c r="L3272" i="14"/>
  <c r="L2893" i="14"/>
  <c r="L2701" i="14"/>
  <c r="L2525" i="14"/>
  <c r="L2381" i="14"/>
  <c r="L2250" i="14"/>
  <c r="L2134" i="14"/>
  <c r="L2021" i="14"/>
  <c r="L1905" i="14"/>
  <c r="L1789" i="14"/>
  <c r="L1674" i="14"/>
  <c r="L1561" i="14"/>
  <c r="L1481" i="14"/>
  <c r="L1425" i="14"/>
  <c r="L1380" i="14"/>
  <c r="L1344" i="14"/>
  <c r="L1308" i="14"/>
  <c r="L1272" i="14"/>
  <c r="L1236" i="14"/>
  <c r="L1200" i="14"/>
  <c r="L1164" i="14"/>
  <c r="L1128" i="14"/>
  <c r="L1092" i="14"/>
  <c r="L1056" i="14"/>
  <c r="L1020" i="14"/>
  <c r="L984" i="14"/>
  <c r="L948" i="14"/>
  <c r="L912" i="14"/>
  <c r="L876" i="14"/>
  <c r="L840" i="14"/>
  <c r="L804" i="14"/>
  <c r="L768" i="14"/>
  <c r="L732" i="14"/>
  <c r="L696" i="14"/>
  <c r="L660" i="14"/>
  <c r="L624" i="14"/>
  <c r="L588" i="14"/>
  <c r="L552" i="14"/>
  <c r="L516" i="14"/>
  <c r="L480" i="14"/>
  <c r="L444" i="14"/>
  <c r="L408" i="14"/>
  <c r="L372" i="14"/>
  <c r="L336" i="14"/>
  <c r="L300" i="14"/>
  <c r="L264" i="14"/>
  <c r="L228" i="14"/>
  <c r="L192" i="14"/>
  <c r="L156" i="14"/>
  <c r="L120" i="14"/>
  <c r="L84" i="14"/>
  <c r="L53" i="14"/>
  <c r="L24" i="14"/>
  <c r="L7170" i="14"/>
  <c r="L3840" i="14"/>
  <c r="L3176" i="14"/>
  <c r="L2861" i="14"/>
  <c r="L2669" i="14"/>
  <c r="L2501" i="14"/>
  <c r="L2357" i="14"/>
  <c r="L2230" i="14"/>
  <c r="L2117" i="14"/>
  <c r="L2001" i="14"/>
  <c r="L1885" i="14"/>
  <c r="L1770" i="14"/>
  <c r="L1654" i="14"/>
  <c r="L1545" i="14"/>
  <c r="L1479" i="14"/>
  <c r="L1424" i="14"/>
  <c r="L1379" i="14"/>
  <c r="L1343" i="14"/>
  <c r="L1307" i="14"/>
  <c r="L1271" i="14"/>
  <c r="L1235" i="14"/>
  <c r="L1199" i="14"/>
  <c r="L1163" i="14"/>
  <c r="L1127" i="14"/>
  <c r="L1091" i="14"/>
  <c r="L1055" i="14"/>
  <c r="L1019" i="14"/>
  <c r="L983" i="14"/>
  <c r="L947" i="14"/>
  <c r="L911" i="14"/>
  <c r="L875" i="14"/>
  <c r="L839" i="14"/>
  <c r="L803" i="14"/>
  <c r="L767" i="14"/>
  <c r="L731" i="14"/>
  <c r="L695" i="14"/>
  <c r="L659" i="14"/>
  <c r="L623" i="14"/>
  <c r="L587" i="14"/>
  <c r="L551" i="14"/>
  <c r="L515" i="14"/>
  <c r="L479" i="14"/>
  <c r="L443" i="14"/>
  <c r="L407" i="14"/>
  <c r="L371" i="14"/>
  <c r="L335" i="14"/>
  <c r="L299" i="14"/>
  <c r="L263" i="14"/>
  <c r="L227" i="14"/>
  <c r="L191" i="14"/>
  <c r="L155" i="14"/>
  <c r="L119" i="14"/>
  <c r="L83" i="14"/>
  <c r="L50" i="14"/>
  <c r="L23" i="14"/>
  <c r="L6843" i="14"/>
  <c r="L3816" i="14"/>
  <c r="L3164" i="14"/>
  <c r="L2857" i="14"/>
  <c r="L2665" i="14"/>
  <c r="L2497" i="14"/>
  <c r="L2353" i="14"/>
  <c r="L2229" i="14"/>
  <c r="L2113" i="14"/>
  <c r="L1998" i="14"/>
  <c r="L1882" i="14"/>
  <c r="L1769" i="14"/>
  <c r="L1653" i="14"/>
  <c r="L1543" i="14"/>
  <c r="L1473" i="14"/>
  <c r="L1421" i="14"/>
  <c r="L1376" i="14"/>
  <c r="L1340" i="14"/>
  <c r="L1304" i="14"/>
  <c r="L1268" i="14"/>
  <c r="L1232" i="14"/>
  <c r="L1196" i="14"/>
  <c r="L1160" i="14"/>
  <c r="L1124" i="14"/>
  <c r="L1088" i="14"/>
  <c r="L1052" i="14"/>
  <c r="L1016" i="14"/>
  <c r="L980" i="14"/>
  <c r="L944" i="14"/>
  <c r="L908" i="14"/>
  <c r="L872" i="14"/>
  <c r="L836" i="14"/>
  <c r="L800" i="14"/>
  <c r="L764" i="14"/>
  <c r="L728" i="14"/>
  <c r="L692" i="14"/>
  <c r="L656" i="14"/>
  <c r="L620" i="14"/>
  <c r="L584" i="14"/>
  <c r="L548" i="14"/>
  <c r="L512" i="14"/>
  <c r="L476" i="14"/>
  <c r="L440" i="14"/>
  <c r="L404" i="14"/>
  <c r="L368" i="14"/>
  <c r="L332" i="14"/>
  <c r="L296" i="14"/>
  <c r="L260" i="14"/>
  <c r="L224" i="14"/>
  <c r="L188" i="14"/>
  <c r="L152" i="14"/>
  <c r="L116" i="14"/>
  <c r="L80" i="14"/>
  <c r="L48" i="14"/>
  <c r="L2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4" authorId="0" shapeId="0" xr:uid="{00000000-0006-0000-0E00-000001000000}">
      <text>
        <r>
          <rPr>
            <sz val="10"/>
            <color rgb="FF000000"/>
            <rFont val="Arial"/>
          </rPr>
          <t>Paste these here when you can't share a Google sheet with them, and then send them an email asking to either register their email or send a gmail account instead.</t>
        </r>
      </text>
    </comment>
  </commentList>
</comments>
</file>

<file path=xl/sharedStrings.xml><?xml version="1.0" encoding="utf-8"?>
<sst xmlns="http://schemas.openxmlformats.org/spreadsheetml/2006/main" count="40747" uniqueCount="1446">
  <si>
    <t>Div</t>
  </si>
  <si>
    <t>Score</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</si>
  <si>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</si>
  <si>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</si>
  <si>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</si>
  <si>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</si>
  <si>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</si>
  <si>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</si>
  <si>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</si>
  <si>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</si>
  <si>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</si>
  <si>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</si>
  <si>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</si>
  <si>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</si>
  <si>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</si>
  <si>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</si>
  <si>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</si>
  <si>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</si>
  <si>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</si>
  <si>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</si>
  <si>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</si>
  <si>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</si>
  <si>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</si>
  <si>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</si>
  <si>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</si>
  <si>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</si>
  <si>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</si>
  <si>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</si>
  <si>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</si>
  <si>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</si>
  <si>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</si>
  <si>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</si>
  <si>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</si>
  <si>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</si>
  <si>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</si>
  <si>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</si>
  <si>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</si>
  <si>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</si>
  <si>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</si>
  <si>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</si>
  <si>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</si>
  <si>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</si>
  <si>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</si>
  <si>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</si>
  <si>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</si>
  <si>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</si>
  <si>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</si>
  <si>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</si>
  <si>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</si>
  <si>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</si>
  <si>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</si>
  <si>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</si>
  <si>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</si>
  <si>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</si>
  <si>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</si>
  <si>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</si>
  <si>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</si>
  <si>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</si>
  <si>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</si>
  <si>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</si>
  <si>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</si>
  <si>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Action Sched</t>
  </si>
  <si>
    <t>Action ID</t>
  </si>
  <si>
    <t>Action</t>
  </si>
  <si>
    <t>All</t>
  </si>
  <si>
    <t>Div1</t>
  </si>
  <si>
    <t>Div2</t>
  </si>
  <si>
    <t>Div3</t>
  </si>
  <si>
    <t>Div4</t>
  </si>
  <si>
    <t>Div5</t>
  </si>
  <si>
    <t>Div6</t>
  </si>
  <si>
    <t>Div7</t>
  </si>
  <si>
    <t>Div8</t>
  </si>
  <si>
    <t>Results</t>
  </si>
  <si>
    <t>Processing Notes</t>
  </si>
  <si>
    <t>Weekly</t>
  </si>
  <si>
    <t>DuplicateMeetSheets</t>
  </si>
  <si>
    <t>Each Friday, create the Dual Meet Reporting Sheets for the coming week by doing the following:
1. Create this week's folder
2. Put a copy of Div1 and the ScoreBoard file into that folder
3. Update the Div1 file to include the correct week, clear out all the diver and official data
4. Run Action "DuplicateMeetSheets".  This action will create Div2-8 and populate the Lookup-TOC tab with the eight Div links.
5. Open each of the Div1-8 Meet Sheets, authorize access to the DB-Secure file, and confirm teams are showing 
6. Navigate to the hidden Lookup-TOC tab and authorize access to each of the new Div1-8 Meet Sheets
7. Run ALL the Weekly schedule actions to authorize access and hide unnecessary tabs on the Div 1-8 Meet Sheets
8. Send a link to the new ScoreBoard file to all the Dive Reps and Division Coordinators to use for this week's meet</t>
  </si>
  <si>
    <t>AddTriggerExpiration</t>
  </si>
  <si>
    <t>Run this action to add the trigger that will automatically remove all Editors from all the Divisional Reporting Meet Sheets at noon on Wednesday after the meet.  This should be run after Action "DuplicateMeetSheets" and you have confirmed that all the new Divisional Reporting Meet Sheets look correct.</t>
  </si>
  <si>
    <t>Admin</t>
  </si>
  <si>
    <t>RemoveViewers</t>
  </si>
  <si>
    <t>Run this action to remove access to all VIEWERS from the specified Divisional Reporting Meet Sheets. Use this action if you need to manually removed everyone from a specific Divisional Reporting Meet Sheet.</t>
  </si>
  <si>
    <t>RemoveEditors</t>
  </si>
  <si>
    <t>Run this action to remove access to all EDITORS from the specified Divisional Reporting Meet Sheets.  Use this action if you need to manually removed everyone from a specific Divisional Reporting Meet Sheet. They will be removed entirely and not have EDITOR or VIEWER access. If they need VIEWER access, run action "AddViewers" afterwards.</t>
  </si>
  <si>
    <t>AddViewers</t>
  </si>
  <si>
    <t>Run this action to add VIEWER access for all the Divr Reps and Coordinators listed in the Secure-DB for each Division to their specific Divisional Reporting Meet Sheet.</t>
  </si>
  <si>
    <t>AddEditors</t>
  </si>
  <si>
    <t>Executed-All</t>
  </si>
  <si>
    <t>Run this action to add EDITOR access for all the Divr Reps and Coordinators listed in the Secure-DB for each Division to their specific Divisional Reporting Meet Sheet.</t>
  </si>
  <si>
    <t>AddDivCoordinators</t>
  </si>
  <si>
    <t>Run this action to add EDITOR access for JUST the Div Coordinators listed in the Secure-DB for each Division to their specific Divisional Reporting Meet Sheet.</t>
  </si>
  <si>
    <t>HideAllTabs</t>
  </si>
  <si>
    <t>Run this action to HIDE all the tabs on all the Divisional Reporting Meet Sheets except for the Participant and Results tabs.</t>
  </si>
  <si>
    <t>ShowAllTabs</t>
  </si>
  <si>
    <t>Run this action to SHOW all the tabs on all the Divisional Reporting Meet Sheets except for the Participant and Results tabs.  This would be done for Admin purposes to review the tabs and prepare the meet sheet prior to granting access to Dive Reps.</t>
  </si>
  <si>
    <t>HideRosterTab</t>
  </si>
  <si>
    <t>Run this action to HIDE the Roster tab on all the Divisional Reporting Meet Sheets.  This is usually not needed, but would be done for Admin purposes if needed.</t>
  </si>
  <si>
    <t>ShowRosterTab</t>
  </si>
  <si>
    <t>Run this action to SHOW the Roster tab on all the Divisional Reporting Meet Sheets.  Use this action after you have prepared all the Divisional Reporting Meet Sheets and run Action "HideAllTabs", then you can run this action.</t>
  </si>
  <si>
    <t>AddViewersToScoreBoard</t>
  </si>
  <si>
    <t>Run this action to add VIEWER access for ANYONE to the ScoreBoard file.  This is necessary for all Dive Reps and Div Coordinators to be able to find their Divisional Meet Sheets for the week, and also for Parents to be able to see the meet results</t>
  </si>
  <si>
    <t>DO NOT UPDATE DATA HERE - This information is populated automatically by selecting "DuplicateMeetSheets" on the tab "AdminDashboard" and clicking the blue button titled "Process Actions"</t>
  </si>
  <si>
    <t>Once the links to this week's Divisional Reporting files are populated in ColF, authorize each of the eight sheets in ColG.</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</si>
  <si>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</si>
  <si>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</si>
  <si>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</si>
  <si>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above</t>
  </si>
  <si>
    <t>Sheet Auth - after running the "DuplicateMeetSheets"action described above, authorize access to each of this week's Divisional Meet Sheets below so the data can be consolidated into this Spreadsheet</t>
  </si>
  <si>
    <t>MeetResults!$a$1:$u$305</t>
  </si>
  <si>
    <t>13ebgQf9tNgbb27111dRlIMh9xUPpATxOvO14_itv3-Q</t>
  </si>
  <si>
    <t>1VivaHML9ZtZDzbh0b_sm0qrKGySWE3Io5mkW44NPiv4</t>
  </si>
  <si>
    <t>1DkptsSLAygEe8_EjSiLX5nA6Q5Xo2E5Lz8FrjVyx8nE</t>
  </si>
  <si>
    <t>1Ka3fHW9hawNoKb8VsuINfkV5iX_dAU-sbZtrVd54qKI</t>
  </si>
  <si>
    <t>1L4uunI2-LloW4_s4YyiuNAS1syVjjvhGx-Olte0hR6c</t>
  </si>
  <si>
    <t>1ECOZNUbsVGtdcT9fSIK5yxda8dm5EitlZyzMRG5vZsY</t>
  </si>
  <si>
    <t>1ZkV3a6CxJgnte6zik_Me5yCtfD25sds0q_4OsccuIZA</t>
  </si>
  <si>
    <t>1l-cpM87vWi-iwfO7a6r0CuJ0wBROJKu0Q6xSRbi5zDI</t>
  </si>
  <si>
    <t>DO NOT UPDATE DATA HERE - This information is loaded automatically from the NVSL-DIVERB-SECURE file:</t>
  </si>
  <si>
    <t>Enter URL For this year's NVSL-DiverDB-SECURE file:</t>
  </si>
  <si>
    <t>https://docs.google.com/spreadsheets/d/1-JXYCYIAvtmiIJj4y5uFNPzMrtPUC6JAnZaXl789pwQ</t>
  </si>
  <si>
    <t/>
  </si>
  <si>
    <t>DQ</t>
  </si>
  <si>
    <t>^</t>
  </si>
  <si>
    <t>DO NOT CHANGE DATA HERE - This is imported from the Master Contact List</t>
  </si>
  <si>
    <t>7/6/2021,NVSL DIVING MEET RESULTS,Div,2,Link,Home Team,Score,Visiting Team,Score,1,1,WG-Walden Glen,31,0,vs,KG-Kent Gardens,41,2,2,OAK-Oakton,58,0,vs,MHC-Mansion House,14,3,3,F-Fairfax,45.5,0,vs,GF-Great Falls,26.5,Results Form #,1,Date,7/6/2021,* These results are calculated automatically and are non-editable,Report Status,10-Finalized,Home Team,WG-Walden Glen,WG,Visiting Team,KG-Kent Gardens,Score,31,Score,41,H,V,FG,Freshman Girls,9,0,FB,Freshman Boys,JG,Junior Girls,3,6,JB,Junior Boys,IG,Intermediate Girls,3,6,IB,Intermediate Boys,SG,Senior Girls,0,9,SB,Senior Boys,TOTALS,15,21,TOTALS,FG,Place,Freshman Girls,Score,Team,H,V,FB,Place,Freshman Boys,Score,Team,FG,T1,Elin Geraghty,52.50,WG,4,FB,1,Gavan Nasr,66.30,KG,FG,T1,Daphne Hwang,52.50,WG,4,FB,2,Jonah Lanthier,65.00,WG,FG,3,Molly Donnelly,48.75,WG,1,FB,3,Lucas Moreno,50.90,KG,FG,4,Maggie Donnelly,48.70,WG,FB,4,Declan Nguyen,48.90,KG,FG,5,Caroline Van Order,46.65,KG,FB,5,Owen Webb,48.60,WG,FG,6,Samantha Lathier,44.05,WG,FB,6,Liam Seubert,11.75,WG,FG,7,Callyn Lalime,43.65,WG,FG,8,Amelia Cafer,42.20,KG,FG,9,Emma Webb,41.85,WG,FG,10,Sloane Nguyen,40.00,KG,FG,11,Kaitlyn Ma,38.30,WG,FG,12,Norah Wittman,38.20,KG,Freshman Girls TOTALS,9,0,Freshman Boys TOTALS,JG,Place,Junior Girls,Score,Team,H,V,JB,Place,Junior Boys,Score,Team,JG,1,Katie Gorsline,103.15,KG,5,JB,1,Asher Lanthier,99.70,WG,JG,2,Jessica Buechler,82.60,WG,3,JB,2,Reagan Diaz,71.20,KG,JG,3,Isabella Hampton,73.95,KG,1,JB,3,Andy Wu,67.60,KG,JG,4,Mya Merkel,65.95,WG,JB,4,Henry Phoel,67.15,KG,JG,5,Isabella Uribarri-Tibabuzo,61.35,WG,JB,5,Ramsay Latham,53.40,WG,JG,6,Riley Diaz,60.10,KG,JB,6,Landon Manwaring,49.70,KG,JG,7,Sophia Hwang,60.00,WG,Junior Girls TOTALS,3,6,Junior Boys TOTALS,IG,Place,Intermediate Girls,Score,Team,H,V,IB,Place,Intermediate Boys,Score,Team,IG,1,Kate Li,144.45,KG,5,IB,1,Sean Memon,147.45,KG,IG,2,Charlotte Petrick,109.80,WG,3,IB,2,Jaden Buechler,101.90,WG,IG,3,Lauren Abba,109.10,KG,1,IB,3,Adam Nasr,85.40,KG,IG,4,Sophie Fredericks,103.95,KG,IB,4,Grady Smith,77.75,KG,IG,5,Mirabella Lanthier,94.95,WG,IB,5,Harrison Weinstock,68.85,KG,IG,6,Meredith Lawler,89.55,KG,Intermediate Girls TOTALS,3,6,Intermediate Boys TOTALS,SG,Place,Senior Girls,Score,Team,H,V,SB,Place,Senior Boys,Score,Team,SG,1,Sarah Wood,185.40,KG,5,SB,1,Max Fowler,277.00,WG,SG,2,Jocelyn Brooks,177.80,KG,3,SB,2,Evan Brown,230.05,KG,SG,3,Madeleine Hersh,174.10,KG,1,SB,3,Jad Brubaker,195.65,KG,SG,4,Cadi Xie,150.75,KG,SB,4,Ian Whitesel,193.80,WG,SG,5,Rachel Tielking,124.95,KG,SB,5,Kylian Genetti,171.70,KG,SG,6,Ingrid Olsen,112.65,KG,SB,6,Jake Moyer,147.00,WG,SG,7,Jordan Buechler,DQ,WG,SB,7,Aidan Smith,135.30,WG,Senior Girls TOTALS,0,9,Senior Boys TOTALS,Judges,Referee,Paul Rabe,Ira Hersh, Stacey Brooks, Damask Petric, Jenni Buechler,Meet Secretary,Karen Uribarri-Tibabuzo,Home Team Secretary,Karen Uribarri-Tibabuzo,Visiting Team Secretary,Malia Aston,Home Team Comments,Visiting Team Comments,There was 1 DQ in Senior Girls.Thanks for a great meet. ,Results Form #,2,Date,7/6/2021,* These results are calculated automatically and are non-editable,Report Status,10-Finalized,Home Team,OAK-Oakton,OAK,Visiting Team,MHC-Mansion House,Score,58,Score,14,H,V,FG,Freshman Girls,9,0,FB,Freshman Boys,JG,Junior Girls,6,3,JB,Junior Boys,IG,Intermediate Girls,8,1,IB,Intermediate Boys,SG,Senior Girls,4,5,SB,Senior Boys,TOTALS,27,9,TOTALS,FG,Place,Freshman Girls,Score,Team,H,V,FB,Place,Freshman Boys,Score,Team,FG,1,Chelsea McLenahan,59.20,OAK,5,FB,1,James Roberts,72.40,OAK,FG,2,Simone Wilson,56.35,OAK,3,FB,2,Caleb McManus,65.85,OAK,FG,3,Mackenzie Martin,45.90,OAK,1,FB,3,Christopher Whang,65.10,OAK,FG,4,Rachel MacDonald,37.10,MHC,FB,4,Malcolm McLenahan,54.95,OAK,FG,5,AJ Keane,35.00,MHC,FB,5,Alex Lee,49.25,OAK,FG,6,Macy Bias,24.85,MHC,FB,6,Sam Carrado,45.80,MHC,FB,7,Connor Timm,42.95,OAK,FB,8,Austin Lant,27.60,MHC,FB,9,Colby Reese,DQ,OAK,Freshman Girls TOTALS,9,0,Freshman Boys TOTALS,JG,Place,Junior Girls,Score,Team,H,V,JB,Place,Junior Boys,Score,Team,JG,1,Isabelle Whang,113.20,OAK,5,JB,1,Thibault Lede,119.85,OAK,JG,2,Isabella Roca,89.10,MHC,3,JB,2,James Hayden,89.95,OAK,JG,3,Charlotte Henderson,66.25,OAK,1,JB,3,Collin Henriques,85.30,OAK,JG,4,Allison Duffield,64.10,MHC,JB,4,Leo Estes,84.00,OAK,JG,5,Ella Henderson,59.45,OAK,JB,5,Owen Thomas,83.55,MHC,JB,6,Barnaby Lant,78.40,MHC,JB,7,William Wright,75.30,OAK,JB,8,Drake Karsadi,40.80,MHC,Junior Girls TOTALS,6,3,Junior Boys TOTALS,IG,Place,Intermediate Girls,Score,Team,H,V,IB,Place,Intermediate Boys,Score,Team,IG,1,Megan Shipley,112.80,OAK,5,IB,1,Brendan Doe,170.90,OAK,IG,2,Samantha Shuster,97.60,OAK,3,IB,2,Jack Hansen,117.00,OAK,IG,3,Lacey Lussier,89.60,MHC,1,IB,3,Jon Anthony Montel,114.00,OAK,IG,4,Elise Wendy,84.75,MHC,IB,4,Dylan Reese,100.90,OAK,IG,5,Tabitha Thomas,63.05,MHC,IB,5,Zac Lee,91.55,OAK,IB,6,Jem Morgan,86.15,MHC,IB,7,Ryan Shipley,79.70,OAK,Intermediate Girls TOTALS,8,1,Intermediate Boys TOTALS,SG,Place,Senior Girls,Score,Team,H,V,SB,Place,Senior Boys,Score,Team,SG,1,Miah Fisher,219.90,MHC,5,SB,1,Jacob Fisher,258.30,MHC,SG,2,Katie Vaughan,176.50,OAK,3,SB,2,Josh Shipley,204.50,OAK,SG,3,Elise Doe,150.20,OAK,1,SB,3,Nico Shuster,168.80,OAK,SG,4,Claire Newberry,145.50,OAK,SB,4,Blaise Wuest,161.95,OAK,SG,5,Zoe Askins,114.20,MHC,SB,5,Ryan Duffield,117.70,MHC,Senior Girls TOTALS,4,5,Senior Boys TOTALS,Judges,Referee,Mark Klopfenstein,Mark Klopfenstein, Kurt Burgeson, Chad Duffield, Regina Shuster, Linda Fisher,Meet Secretary,Ioana Montel,Home Team Secretary,Ioana Montel,Visiting Team Secretary,Damon McDonald,Home Team Comments,Visiting Team Comments,We had an initial miscalculation of scores (table worker missed half points), but we recalculated and corrected (explanation for rewritten scores on meet sheet). ,Results Form #,3,Date,7/6/2021,* These results are calculated automatically and are non-editable,Report Status,10-Finalized,Home Team,F-Fairfax,F,Visiting Team,GF-Great Falls,Score,45.5,Score,26.5,H,V,FG,Freshman Girls,3,6,FB,Freshman Boys,JG,Junior Girls,9,0,JB,Junior Boys,IG,Intermediate Girls,8.5,0.5,IB,Intermediate Boys,SG,Senior Girls,4,5,SB,Senior Boys,TOTALS,24.5,11.5,TOTALS,FG,Place,Freshman Girls,Score,Team,H,V,FB,Place,Freshman Boys,Score,Team,FG,1,Ellie Vroom,64.70,GF,5,FB,1,Eli Bockman,50.90,GF,FG,2,Carleigh Devlin,53.70,F,3,FB,2,Trey McIntosh,50.10,F,FG,3,Ali Wiley-Jimenez,49.45,GF,1,FB,3,Christopher Barron,48.05,F,FG,4,Lily Carpenter,48.25,F,FB,4,Connor Barron,43.60,F,FG,5,Phoebe Jeffery,46.60,GF,FB,5,Jack Devlin,43.55,F,FG,6,Alexa Landi,44.35,GF,FB,6,Jaspar Carpenter,37.80,F,FG,7,Heidi Stoddard,42.30,GF,FB,7,Sutton Pierson,27.00,GF,FG,8,Ari Wiley-Jimenez,40.25,GF,FG,9,Daliyah McKimmy,38.95,GF,FG,10,Ayla Asner,34.25,GF,FG,11,Riyah McKimmy,30.35,GF,FG,12,Abbie Colwill,29.60,F,Freshman Girls TOTALS,3,6,Freshman Boys TOTALS,JG,Place,Junior Girls,Score,Team,H,V,JB,Place,Junior Boys,Score,Team,JG,1,Olivia Roca,100.75,F,5,JB,1,Noah Laccone,82.10,F,JG,2,Cally Codding,98.25,F,3,JB,2,Ethan Hough,72.30,F,JG,3,Sadie Buckley,92.90,F,1,JB,3,Vincent Landi,68.55,GF,JG,4,Ashlyn Connor,91.15,F,JG,5,Mary Clare Abela,86.35,GF,JG,6,Kayleigh McCarthy,85.00,F,JG,7,Gigi Ruse,82.50,GF,JG,8,Gabrielle Leesing,78.30,F,JG,9,Lyla Devlin,78.05,F,JG,10,Mia Nash,76.55,GF,JG,11,Jackie Colwill,67.95,F,Junior Girls TOTALS,9,0,Junior Boys TOTALS,IG,Place,Intermediate Girls,Score,Team,H,V,IB,Place,Intermediate Boys,Score,Team,IG,1,Keri Hough,123.95,F,5,IB,1,Wade Winslow,103.50,F,IG,2,Alexa Haynie,108.65,F,3,IB,2,Cian Gallagher,103.15,GF,IG,T3,Eve McLaury,107.40,F,0.5,IB,3,Mikey Stechl,102.90,F,IG,T3,Ella Decker,107.40,GF,0.5,IG,5,Kamryn Kaye,105.30,F,IG,6,Maddie Devlin,103.90,F,IG,7,Katie Wilson,94.80,F,Intermediate Girls TOTALS,8.5,0.5,Intermediate Boys TOTALS,SG,Place,Senior Girls,Score,Team,H,V,SB,Place,Senior Boys,Score,Team,SG,1,Claire Vroom,206.05,GF,5,SB,1,Dan McGaughey,217.20,GF,SG,2,Ellie Shriver,141.90,F,3,SB,2,Christian Anderson,157.45,F,SG,3,Yesmine Harrache,124.80,F,1,SB,3,Adam Manley,149.55,GF,SG,4,Caroline Gallagher,116.70,GF,SB,4,Mikey D'Alessandro,111.65,F,SB,5,Jack McLaury,94.25,F,SB,6,Ryan Hough,82.05,F,Senior Girls TOTALS,4,5,Senior Boys TOTALS,Judges,Referee,James Patteson,Amy Vroom, Robert Vroom/Jen Decker, Elizabeth Wiley, Lori Kaye, Jenny McCarthy,Meet Secretary,Jenny McCarthy,Home Team Secretary,Mary Stinnett,Visiting Team Secretary,Amy Vroom,Home Team Comments,Visiting Team Comments,The visiting team secretary didn't sign the results sheet.  Thanks for a great meet!  See you at Divisionals.</t>
  </si>
  <si>
    <t>7/6/2021,NVSL DIVING MEET RESULTS,Div,3,Link,Home Team,Score,Err,Visiting Team,Score,1,1,AF-Arlington Forest,24,0,vs,PC-Pinecrest,48,2,2,LG-Lee Graham,36,1,vs,HV-Hunt Valley,35,3,3,SHR-Sleepy Hollow Rec,44,0,vs,DR-Donaldson Run,28,Results Form #,1,Date,7/6/2021,* These results are calculated automatically and are non-editable,Report Status,10-Finalized,Home Team,AF-Arlington Forest,AF,Visiting Team,PC-Pinecrest,Score,24,Score,48,H,V,FG,Freshman Girls,0,9,FB,Freshman Boys,JG,Junior Girls,0,9,JB,Junior Boys,IG,Intermediate Girls,6,3,IB,Intermediate Boys,SG,Senior Girls,1,8,SB,Senior Boys,TOTALS,7,29,TOTALS,FG,Place,Freshman Girls,Score,Team,H,V,FB,Place,Freshman Boys,Score,Team,FG,1,Ella Dunlavy,68.75,PC,5,FB,1,Banks Buergler,66.65,AF,FG,2,Annie Dunlavy,63.95,PC,3,FB,2,Alex Stewart,57.10,AF,FG,3,Leandra Barger,62.25,PC,1,FB,3,Aaron Barger,48.60,PC,FG,4,Julia Kennedy,56.50,PC,FB,4,Matthew Vogt,31.45,AF,FG,5,Libby Costello,54.45,PC,FB,5,Timothy Barger,29.95,PC,FG,6,Ella Turner,54.25,AF,FG,7,Maddie Yappel,48.90,PC,FG,8,Abby Galanes,46.05,AF,FG,9,Caris Allen,34.35,PC,FG,10,Chloe Kennedy,33.80,PC,Freshman Girls TOTALS,0,9,Freshman Boys TOTALS,JG,Place,Junior Girls,Score,Team,H,V,JB,Place,Junior Boys,Score,Team,JG,1,Gia Yappel,82.95,PC,5,JB,1,Connor Ryan,79.40,PC,JG,2,Natalie Rutland,81.05,PC,3,JB,2,Akash Kaji,79.20,PC,JG,3,Isla Eckhardt,79.95,PC,1,JB,3,Daniel Vogt,75.35,AF,JG,4,Lauren Ivey,69.20,PC,JG,5,Caroline Ivey,53.20,PC,Junior Girls TOTALS,0,9,Junior Boys TOTALS,IG,Place,Intermediate Girls,Score,Team,H,V,IB,Place,Intermediate Boys,Score,Team,IG,1,Ada Jordan,123.70,AF,5,IB,1,Jackson Ward,124.00,PC,IG,2,Graci Vlattas,103.90,PC,3,IB,2,Greyson Schroeher,119.90,AF,IG,3,Teagan Boone,86.15,AF,1,IB,3,Benjamin Tahu ,98.50,AF,Intermediate Girls TOTALS,6,3,Intermediate Boys TOTALS,SG,Place,Senior Girls,Score,Team,H,V,SB,Place,Senior Boys,Score,Team,SG,1,Abby Anderson,181.85,PC,5,SB,1,Vangeli Hadjimichael,167.50,PC,SG,2,Kenzie Conner,179.35,PC,3,SB,2,Max Cassatt,148.35,AF,SG,3,Charlotte Weir,139.55,AF,1,SB,3,David Alves,131.30,AF,Senior Girls TOTALS,1,8,Senior Boys TOTALS,Judges,Referee,Lynn Clark,Justin Clark, Liz Cagianesa, Karen Rutland, Mike Hadjimichael, Steve Conner,Meet Secretary,Laura Smialowicz,Home Team Secretary,Laura Smialowicz,Visiting Team Secretary,Jess Kennedy,Home Team Comments,Visiting Team Comments,Arlington Forest - thanks for the awesome meet and warm welcome, we enjoyed it! ,Results Form #,2,Date,7/6/2021,* These results are calculated automatically and are non-editable,Report Status,10-Finalized,Home Team,LG-Lee Graham,LG,Visiting Team,HV-Hunt Valley,Score,36,Score,35,H,V,FG,Freshman Girls,9,0,FB,Freshman Boys,JG,Junior Girls,4,5,JB,Junior Boys,IG,Intermediate Girls,5,4,IB,Intermediate Boys,SG,Senior Girls,8,1,SB,Senior Boys,TOTALS,26,10,TOTALS,FG,Place,Freshman Girls,Score,Team,H,V,FB,Place,Freshman Boys,Score,Team,FG,1,Cora Brock,51.70,LG,5,FB,1,Amir Owens,84.70,HV,FG,2,Evie Harmer,51.45,LG,3,FB,2,Teddy Klousia,60.20,LG,FG,3,Maggie Scully,42.35,LG,1,FB,3,William Davis,59.45,LG,FG,4,Payton Bennett,41.30,HV,FB,4,Jacob Faustman,54.85,HV,FG,5,Lila Scully,38.15,LG,FB,5,Derek Baltas,54.05,HV,FG,6,Sarah Banko,37.10,LG,FB,6,Adam Ogrodny,51.00,HV,FG,7,Addison Bennett,36.65,HV,FB,7,John Mulcahy,45.15,HV,FG,8,Wren McCann,35.15,LG,FB,8,Ethan Page,44.55,LG,FG,9,Lyla Jacobs,29.25,HV,FB,9,Patrick Verasin,42.80,LG,Freshman Girls TOTALS,9,0,Freshman Boys TOTALS,JG,Place,Junior Girls,Score,Team,H,V,JB,Place,Junior Boys,Score,Team,JG,1,Cassandra Hawthorne,114.95,HV,5,JB,1,Andrew Maurer,109.85,HV,JG,2,Zoe Mar,114.55,LG,3,JB,2,Joseph Ogrodny,104.10,HV,JG,3,Ella Wallinger,102.10,LG,1,JB,3,Patrick Scully,86.05,LG,JG,4,Madison Allard,94.60,LG,JB,4,Issa Owens,82.60,HV,JG,5,Audrey Pounds,83.80,LG,JB,5,Kaleb Wisner,76.95,HV,JG,6,Gwen Fry,81.05,LG,JG,7,Olivia Wanchick,74.05,LG,JG,8,Isadora Gebert,63.25,HV,Junior Girls TOTALS,4,5,Junior Boys TOTALS,IG,Place,Intermediate Girls,Score,Team,H,V,IB,Place,Intermediate Boys,Score,Team,IG,1,Reagan Cervenak,162.85,LG,5,IB,1,Alex Way,196.05,LG,IG,2,Valerie christopher,146.35,HV,3,IB,2,Cooper Bouton,111.05,HV,IG,3,Alexandra Charecky,133.35,HV,1,IB,3,Sheen Lee,101.75,HV,IG,4,Jane Asfah-Mohallatee,115.55,LG,IB,4,Hudson Mar,87.00,LG,IG,5,Virginia Grubbs,109.95,HV,IG,6,Hayley Eastman,103.45,LG,IG,7,Corinne Dunsmoor,80.00,HV,IG,8,Lily Dunsmoor,70.80,HV,Intermediate Girls TOTALS,5,4,Intermediate Boys TOTALS,SG,Place,Senior Girls,Score,Team,H,V,SB,Place,Senior Boys,Score,Team,SG,1,Maggie DiScipio,234.35,LG,5,SB,1,Finnian Gelbach,278.60,HV,SG,2,Madison Cervenak,186.55,LG,3,SB,2,Jack Pritchard,153.85,HV,SG,3,Ainsley Buckner,186.50,HV,1,SG,4,Madeline Orchard,175.70,HV,SG,5,Nora Blasch,163.70,HV,Senior Girls TOTALS,8,1,Senior Boys TOTALS,Judges,Referee,Michelle Cervenak,Michelle Cervenak, Patty Lister, Doug Gelbach, Kim Maurer, Karen Dunsmoor,Meet Secretary,Alice Mar ,Home Team Secretary,Alice Mar ,Visiting Team Secretary,Judy Baltas,Home Team Comments,Visiting Team Comments,Results Form #,3,Date,7/6/2021,* These results are calculated automatically and are non-editable,Report Status,10-Finalized,Home Team,SHR-Sleepy Hollow Rec,SHR,Visiting Team,DR-Donaldson Run,Score,44,Score,28,H,V,FG,Freshman Girls,4,5,FB,Freshman Boys,JG,Junior Girls,8,1,JB,Junior Boys,IG,Intermediate Girls,8,1,IB,Intermediate Boys,SG,Senior Girls,6,3,SB,Senior Boys,TOTALS,26,10,TOTALS,FG,Place,Freshman Girls,Score,Team,H,V,FB,Place,Freshman Boys,Score,Team,FG,1,Taylor McDonnell,65.05,DR,5,FB,1,Krishnan Greenwood,56.40,DR,FG,2,Hannah Brubeck,64.95,SHR,3,FB,2,Liam Ross,52.85,SHR,FG,3,Elle Feeley,60.75,SHR,1,FB,3,Kai Sheriff,51.70,SHR,FG,4,Elizabeth Heim,59.10,SHR,FB,4,Charlie DeZee,50.35,DR,FG,5,Lily Klein,55.95,DR,FB,5,Lucas Vida,47.55,SHR,FG,6,Finley McDonnell,54.25,DR,FB,6,Finn Feeley,46.30,SHR,FG,7,Ann Madden,49.80,DR,FB,7,John Taylor,45.25,DR,FG,8,Margaret Nelson,47.10,DR,FB,8,Fenner Abbey,41.85,DR,FG,9,Harper Vida,26.20,SHR,FB,9,Parker Englerth,40.50,DR,FB,10,Thomas Edgerton,39.40,DR,FB,11,Philip Bastow,37.95,DR,Freshman Girls TOTALS,4,5,Freshman Boys TOTALS,JG,Place,Junior Girls,Score,Team,H,V,JB,Place,Junior Boys,Score,Team,JG,1,Kalyn O'Hara,96.90,SHR,5,JB,1,Brody Schrecker,99.35,SHR,JG,2,Anna Fitzgerald,92.00,SHR,3,JB,2,Elijah Garces-Foley,98.15,SHR,JG,3,Chloe Samowich,81.35,DR,1,JB,3,Diego Syar,86.90,SHR,JG,4,Louise Fitzgerald,80.35,SHR,JB,4,CJ Silva,82.05,SHR,JG,5,Ruth Eliot,60.55,DR,JB,5,Michael Staren,80.60,DR,JB,6,Samuel Mulchandani,70.45,DR,JB,7,Rhys Kowalczyk,69.10,SHR,JB,8,Jett Bastow,68.15,DR,Junior Girls TOTALS,8,1,Junior Boys TOTALS,IG,Place,Intermediate Girls,Score,Team,H,V,IB,Place,Intermediate Boys,Score,Team,IG,1,Emma Redman,142.15,SHR,5,IB,1,Jack Reed,134.75,DR,IG,2,Chloe Richards,137.40,SHR,3,IB,2,Forest Archambault,120.05,SHR,IG,3,Sophie Frost,132.55,DR,1,IB,3,Matthew Heim,117.50,SHR,IG,4,Jenna Sheetz,131.25,DR,IB,4,Kyle Aylward,92.20,SHR,IG,5,Lane Samowich,113.10,DR,IG,6,Chloe Kowalczyk,106.80,SHR,IG,7,Caeli McIntosh,104.50,SHR,IG,8,Emily Wiese,103.40,DR,IG,9,Courtney Weldon,102.00,SHR,IG,10,Valerie Engel,90.80,DR,IG,Intermediate Girls TOTALS,8,1,Intermediate Boys TOTALS,SG,Place,Senior Girls,Score,Team,H,V,SB,Place,Senior Boys,Score,Team,SG,1,Ginger Richards,205.30,SHR,5,SB,1,James Wiese,226.35,DR,SG,2,Ellie Simmons,204.20,DR,3,SB,2,William Parish,224.70,DR,SG,3,Ocean Archambault,174.45,SHR,1,SB,3,Parker Rice,153.40,SHR,SG,4,Emma Webb,173.05,DR,SG,5,Noelle Samowich,150.10,DR,SG,6,Mia Korin,149.10,SHR,Senior Girls TOTALS,6,3,Senior Boys TOTALS,Judges,Referee,Kelly Bletsis,Kelly Bletsis, Micheal Crotty, Lesley Reed, Tiegan Holtzman, Geoffrey Webb,Meet Secretary,Sheri Crotty,Home Team Secretary,Sheri Crotty,Visiting Team Secretary,Jennifer Mulchandani,Home Team Comments,Visiting Team Comments,Thanks for a GREAT meet together!!  I especially appreciate your being organized with such a big team, and thanks again for bringing printed ribbon labels for your divers as it helped me have extra time to train the parent who is shadowing me to be one of the new team reps next season!,Thanks SHRA!</t>
  </si>
  <si>
    <t>7/6/2021,NVSL DIVING MEET RESULTS,Div,6,Link,Home Team,Score,Err,Visiting Team,Score,1,1,HP-Highland Park,40,0,vs,OH-Orange Hunt,32,2,2,G-Greenbriar,45,1,vs,PAR-Parliament,27,3,3,FS-Fairfax Station,32,0,vs,CH-Cardinal Hill,40,Results Form #,1,Date,7/6/2021,* These results are calculated automatically and are non-editable,Report Status,10-Finalized,Home Team,HP-Highland Park,HP,Visiting Team,OH-Orange Hunt,Score,40,Score,32,H,V,FG,Freshman Girls,6,3,FB,Freshman Boys,JG,Junior Girls,3,6,JB,Junior Boys,IG,Intermediate Girls,6,3,IB,Intermediate Boys,SG,Senior Girls,4,5,SB,Senior Boys,TOTALS,19,17,TOTALS,FG,Place,Freshman Girls,Score,Team,H,V,FB,Place,Freshman Boys,Score,Team,FG,1,Katie Lee Cutts,63.85,HP,5,FB,1,Benjamin Margolis,74.90,HP,FG,2,Gabby Heredia,57.45,OH,3,FB,2,Andrew Barber,67.10,OH,FG,3,Maddy Guy,49.75,HP,1,FB,3,Philip Stigliano,59.00,HP,FG,4,Caroline Todd,49.65,HP,FB,4,Theodore Romanosky,51.40,HP,FG,5,Phoebe Guy,45.25,HP,FB,5,Ben Berona,49.80,OH,FG,6,Molly Foster,43.05,HP,FB,6,Teddy Anderson,47.90,HP,FG,7,Roxie Griffith,41.19,OH,FB,7,Liam Painter,47.25,HP,FG,8,Emily LaSalle,39.00,HP,FB,8,Will Dickinson,46.60,OH,FG,9,Kyra Drobnis,38.85,OH,FB,9,Benjamin Allen,43.20,HP,FG,10,Leah Jandrain,37.20,HP,FB,10,Joshua Berona,37.30,OH,FG,11,Kiera Carpenter,31.40,OH,FB,11,Zack Stickel,36.80,OH,FG,12,Bridget Snyder,25.75,HP,FB,12,Adam Zimmer,31.25,OH,FG,13,Peyton Anderson,22.20,HP,FB,13,Ryan Fournier,26.70,OH,FG,14,Clara Taylor,DQ,HP,FB,14,Max Gura,19.95,HP,FB,15,Devon Taylor,12.50,HP,Freshman Girls TOTALS,6,3,Freshman Boys TOTALS,JG,Place,Junior Girls,Score,Team,H,V,JB,Place,Junior Boys,Score,Team,JG,1,Rebecca Drobnis,93.40,OH,5,JB,1,Jayden Perry,83.00,OH,JG,2,Lily Coulby,84.35,HP,3,JB,2,Casper Bing,71.60,OH,JG,3,Bethany Telleria,83.15,OH,1,JB,3,Michael Neville,63.65,OH,JG,4,Piper Guy,70.05,HP,JB,4,Luke Stickel,57.85,OH,JG,5,Brianna Land Riekse,67.75,OH,JB,5,Caleb Urias,54.25,OH,JG,6,Lina Elbekri,62.55,HP,JB,6,Henry Cutts,49.90,HP,JG,7,Lucy Barber,62.45,OH,Junior Girls TOTALS,3,6,Junior Boys TOTALS,IG,Place,Intermediate Girls,Score,Team,H,V,IB,Place,Intermediate Boys,Score,Team,IG,1,Josephine Damico Lassman,119.55,HP,5,IB,1,Desmond Damico Lassman,111.50,HP,IG,2,Kotryna Bujokas,111.95,OH,3,IB,2,Grant McClure,107.40,OH,IG,3,Ginny Coulby,107.25,HP,1,IB,3,Nate Anderson,59.95,HP,IG,4,Danie Wolfe,88.25,OH,Intermediate Girls TOTALS,6,3,Intermediate Boys TOTALS,SG,Place,Senior Girls,Score,Team,H,V,SB,Place,Senior Boys,Score,Team,SG,1,Maggie Toth,176.55,OH,5,SB,1,Jackson Bertman,202.60,HP,SG,2,Esme Damico Lassman,160.50,HP,3,SB,2,Caden Guy,183.35,HP,SG,3,Emily Townsend,102.85,HP,1,SB,3,Porter Bertman,141.50,HP,SB,4,Steven McCormick,138.70,HP,Senior Girls TOTALS,4,5,Senior Boys TOTALS,Judges,Referee,Mike Bertman,Mike Bertman, Michael Margolis, Lydia Stickel, Maggie Perry, Rachel Dickinson,Meet Secretary,Julie Margolis,Home Team Secretary,Julie Margolis ,Visiting Team Secretary,Katherine McClure,Home Team Comments,Visiting Team Comments,Thanks to you for being a great team!,What a fun meet. Thank you for hosting, Highland Park!,Results Form #,2,Date,7/6/2021,* These results are calculated automatically and are non-editable,Report Status,10-Finalized,Home Team,G-Greenbriar,G,Visiting Team,PAR-Parliament,Score,45,Score,27,H,V,FG,Freshman Girls,4,5,FB,Freshman Boys,JG,Junior Girls,6,3,JB,Junior Boys,IG,Intermediate Girls,6,3,IB,Intermediate Boys,SG,Senior Girls,9,0,SB,Senior Boys,TOTALS,25,11,TOTALS,FG,Place,Freshman Girls,Score,Team,H,V,FB,Place,Freshman Boys,Score,Team,FG,1,Charlotte Rotteveel,66.60,PAR,5,FB,1,Mack Miller,72.75,G,FG,2,Kayla Tarugsa,65.65,G,3,FB,2,Nolan Scott,57.30,PAR,FG,3,Gabriella Roberts,59.90,G,1,FB,3,Ben Blaeuer,51.75,G,FG,4,Olivia Pietress,56.55,G,FB,4,Pike Conway,42.50,G,FG,5,Simone Feil,56.45,G,FB,5,Drew Avila,40.30,PAR,FG,6,Madelyn Nassar,48.40,G,FB,6,Jack Henry,38.75,G,FG,7,Zanna Brown,40.70,G,FB,7,Max Waterman,37.60,G,FG,8,Gabrielle Subsavage,40.60,PAR,FB,8,Avery Edwards,29.75,PAR,FG,9,Gabby Smith,29.70,PAR,FB,9,Fynn Miller,25.50,PAR,FG,10,Tanisa Kanchanawanchai,28.70,PAR,FG,11,Hadley Miller,26.50,PAR,FG,12,Brielle Burnside,25.00,PAR,FG,13,Bridget Caines,19.00,PAR,Freshman Girls TOTALS,4,5,Freshman Boys TOTALS,JG,Place,Junior Girls,Score,Team,H,V,JB,Place,Junior Boys,Score,Team,JG,1,Eliza Miller,92.60,G,5,JB,1,Alex Smith,90.40,PAR,JG,2,Aubree Burnside,83.55,PAR,3,^,JB,2,Alex Avila,77.05,PAR,JG,3,Rowan Threadgill,77.75,G,1,JB,3,Jack Caines,74.30,PAR,JG,4,Sage Smyth,67.50,G,JB,4,Blake Allen,57.70,G,JG,5,Penny Lawrence,63.05,G,JB,5,Luke Snyder,45.40,G,Junior Girls TOTALS,6,3,Junior Boys TOTALS,IG,Place,Intermediate Girls,Score,Team,H,V,IB,Place,Intermediate Boys,Score,Team,IG,1,Evie Miller,146.45,G,5,IB,1,Paxton Martinez,142.90,G,IG,2,Isabel Smith,135.25,PAR,3,IB,2,Michael Bray,140.60,G,IG,3,Kendall Arnz,110.95,G,1,IB,3,Daniel Belloni,112.75,PAR,IG,4,Hazel Flynn,108.35,G,IB,4,Evan Vink,110.45,PAR,IG,5,Avery Lawrence,71.10,G,IB,5,Corban Lawrence,103.80,G,IB,6,Hunter Colandria,92.25,G,IB,7,Garrett Kendall,76.20,PAR,Intermediate Girls TOTALS,6,3,Intermediate Boys TOTALS,SG,Place,Senior Girls,Score,Team,H,V,SB,Place,Senior Boys,Score,Team,SG,1,Mozeleski Leah,175.85,G,5,SB,1,Matthew Bray,259.20,G,SG,2,Alyse Madsen,129.25,G,3,SB,2,Caeden Beavers,175.95,PAR,SG,3,Katelyn Ruehle,101.75,G,1,SB,3,Hugh Gannon,156.35,G,SG,4,Hannah Quick,99.25,G,SB,4,Daniel Cate,155.70,PAR,SB,5,David Avila,146.15,PAR,SB,6,H K Kim,137.75,G,Senior Girls TOTALS,9,0,Senior Boys TOTALS,Judges,Referee,Roy Edwards,Tracy Hartley, Virginia Rotteveel, Danielle Waterfield, Larry Gannon, Richard Bray,Meet Secretary,Sarah Tohill,Home Team Secretary,Sarah Tohill,Visiting Team Secretary,Andrea Cate,Home Team Comments,Visiting Team Comments,Thanks so much to Parliment for providing their referee. We were very grateful.,I changed Alyse Madsen's score to read 129.25; all else looks good.  Thank you, Greenbriar, for hosting on this hot night!  Great meet!,Results Form #,3,Date,7/6/2021,* These results are calculated automatically and are non-editable,Report Status,10-Finalized,Home Team,FS-Fairfax Station,FS,Visiting Team,CH-Cardinal Hill,Score,32,Score,40,H,V,FG,Freshman Girls,4,5,FB,Freshman Boys,JG,Junior Girls,3,6,JB,Junior Boys,IG,Intermediate Girls,3,6,IB,Intermediate Boys,SG,Senior Girls,5,4,SB,Senior Boys,TOTALS,15,21,TOTALS,FG,Place,Freshman Girls,Score,Team,H,V,FB,Place,Freshman Boys,Score,Team,FG,1,Katie Clague,61.55,CH,5,FB,1,Levi Lundeby,72.15,FS,FG,2,Stella Budiu,60.10,FS,3,FB,2,Calvin Butler,59.20,CH,FG,3,Aria Giarraputo,56.95,FS,1,FB,3,Andrew Parente,58.80,FS,FG,4,Marianna McKinnon,52.40,CH,FB,4,Will Daman,52.25,CH,FG,5,Elza Jones,46.15,FS,FB,5,Cole Pointkowski,51.60,CH,FG,6,Noelle Telleen,46.10,FS,FB,6,Boone Dean,44.40,FS,FG,7,Gwyn Howard,39.80,FS,FB,7,Chace Majiros,37.15,FS,FG,8,Mady McCormack,39.25,FS,FB,8,RoRo Siegmund,31.70,FS,FG,9,Serena Howard,38.15,FS,FB,9,Cavan Telleen,19.60,FS,FG,10,Alice Siegmund,32.30,FS,FB,10,Zeke Louie,19.00,FS,FG,11,Jacqueline Potter,29.55,FS,FB,11,Travis Wittekind,16.10,FS,Freshman Girls TOTALS,4,5,Freshman Boys TOTALS,JG,Place,Junior Girls,Score,Team,H,V,JB,Place,Junior Boys,Score,Team,JG,1,Dani Rothman,108.65,CH,5,JB,1,Chase Pointkowski,85.15,CH,JG,2,Darcy Telleen,98.50,FS,3,JB,2,Nate Butler,84.20,CH,JG,3,Alison Gurganus,83.15,CH,1,JB,3,Nate Beck,78.40,CH,JG,4,Rebecca Rothman,82.80,CH,JB,4,Luca Budiu,66.40,FS,JG,5,Samantha Apgar,76.70,CH,JB,5,Oliver Jones,48.20,FS,JG,6,Lyla Chutuape,73.80,FS,JG,7,Hannah Goldberg,63.10,FS,JG,8,Caitlin Holtaway,62.50,CH,JG,9,Zara-Jean Penn,54.80,FS,Junior Girls TOTALS,3,6,Junior Boys TOTALS,IG,Place,Intermediate Girls,Score,Team,H,V,IB,Place,Intermediate Boys,Score,Team,IG,1,Allie Reback,117.60,CH,5,IB,1,Charles Schuppin,123.90,FS,IG,2,Devyn Telleen,116.25,FS,3,IB,2,William Feuchter,121.85,CH,IG,3,Mia Romer,103.95,CH,1,IB,3,Uday Sidhu,95.70,CH,IG,4,Lauren Lundeby,101.30,FS,IG,5,Gabi Konde,90.40,CH,Intermediate Girls TOTALS,3,6,Intermediate Boys TOTALS,SG,Place,Senior Girls,Score,Team,H,V,SB,Place,Senior Boys,Score,Team,SG,1,Elisabeth Rockefeller,231.95,FS,5,SB,1,Trey Telleen,188.00,FS,SG,2,Julianne Feuchter,175.05,CH,3,SB,2,Colin Crowley,180.80,CH,SG,3,Teresa Capuano-Rizzo,163.15,CH,1,SB,3,Julian Penn,83.30,FS,SG,4,Lucy Silverstein,158.40,CH,SG,5,Lucy Parente,147.40,FS,SG,6,Sarina Meyer,132.35,FS,Senior Girls TOTALS,5,4,Senior Boys TOTALS,Judges,Referee,Paige Schuppin,Leann Parente, Stephanie Perkowski, Karl Rothman, Ilana Feuchter, Teresa Crowley,Meet Secretary,Ineta Jones,Home Team Secretary,Ineta Jones,Visiting Team Secretary,Tricia Rizzo,Home Team Comments,Visiting Team Comments,I accidentally had our referee in as one of the judges on the paperwork.  I changed it to add Karl Rothman here.  Sorry about that.  Thank you for a great, competitive meet Cardinal Hill!,Thank you so much to Fairfax Station for a fun, well- run meet! Excited to see you at Divisionals!</t>
  </si>
  <si>
    <t>NVSL DIVING MEET RESULTS</t>
  </si>
  <si>
    <t>Link</t>
  </si>
  <si>
    <t>Home Team</t>
  </si>
  <si>
    <t>Err</t>
  </si>
  <si>
    <t>Visiting Team</t>
  </si>
  <si>
    <t>VW-Vienna Woods</t>
  </si>
  <si>
    <t>DL-Dunn Loring</t>
  </si>
  <si>
    <t>OKM-Old Keene Mill</t>
  </si>
  <si>
    <t>SR-Sideburn Run</t>
  </si>
  <si>
    <t>O-Overlee</t>
  </si>
  <si>
    <t>THA-Truro Homes Assn</t>
  </si>
  <si>
    <t>Results Form #</t>
  </si>
  <si>
    <t>Date</t>
  </si>
  <si>
    <t>* These results are calculated automatically and are non-editable</t>
  </si>
  <si>
    <t>10-Finalized</t>
  </si>
  <si>
    <t>VW</t>
  </si>
  <si>
    <t>DL</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</si>
  <si>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</si>
  <si>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</si>
  <si>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</si>
  <si>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</si>
  <si>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</si>
  <si>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</si>
  <si>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</si>
  <si>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</si>
  <si>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</si>
  <si>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</si>
  <si>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</si>
  <si>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</si>
  <si>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</si>
  <si>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</si>
  <si>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</si>
  <si>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</si>
  <si>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</si>
  <si>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</si>
  <si>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</si>
  <si>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</si>
  <si>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</si>
  <si>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Erin Martonik</t>
  </si>
  <si>
    <t>George Miller</t>
  </si>
  <si>
    <t>Marie Eisele</t>
  </si>
  <si>
    <t>Noah Kim</t>
  </si>
  <si>
    <t>Reagan Nolan</t>
  </si>
  <si>
    <t>Theodore Hathaway</t>
  </si>
  <si>
    <t>Libby Wigglesworth</t>
  </si>
  <si>
    <t>Timothy Hazzard</t>
  </si>
  <si>
    <t>Claire Keating</t>
  </si>
  <si>
    <t>Ryan Hermann</t>
  </si>
  <si>
    <t>Alaina Ramella</t>
  </si>
  <si>
    <t>Jacob Yang</t>
  </si>
  <si>
    <t>Elise Esquivel</t>
  </si>
  <si>
    <t>Jeremy Yang</t>
  </si>
  <si>
    <t>Quinn Baskett</t>
  </si>
  <si>
    <t>Zouli Alexandratos</t>
  </si>
  <si>
    <t>Isabella Falsone</t>
  </si>
  <si>
    <t>Ava Ramella</t>
  </si>
  <si>
    <t>Freshman Girls TOTALS</t>
  </si>
  <si>
    <t>Freshman Boys TOTALS</t>
  </si>
  <si>
    <t>Kiran Vasudevan</t>
  </si>
  <si>
    <t>Peyton Reed</t>
  </si>
  <si>
    <t>Sophie Ratner</t>
  </si>
  <si>
    <t>Zachary Wigglesworth</t>
  </si>
  <si>
    <t>Asha Stewart</t>
  </si>
  <si>
    <t>Joshua Taliaferro</t>
  </si>
  <si>
    <t>Jayde Kalinock</t>
  </si>
  <si>
    <t>Luke Atkins</t>
  </si>
  <si>
    <t>Sophie Bourdelais</t>
  </si>
  <si>
    <t>Everett Weedman</t>
  </si>
  <si>
    <t>Kaitlyn Herrmann</t>
  </si>
  <si>
    <t>Elliott Lam</t>
  </si>
  <si>
    <t>Declan Hathaway</t>
  </si>
  <si>
    <t>Junior Girls TOTALS</t>
  </si>
  <si>
    <t>Junior Boys TOTALS</t>
  </si>
  <si>
    <t>Marleigh daSilva</t>
  </si>
  <si>
    <t>Ivor Brown</t>
  </si>
  <si>
    <t>Ashley Scinto</t>
  </si>
  <si>
    <t>Dylan Paci</t>
  </si>
  <si>
    <t>Audrey Burns</t>
  </si>
  <si>
    <t>Mike DeSando</t>
  </si>
  <si>
    <t>Jenna Walker</t>
  </si>
  <si>
    <t>Dylan Kalinock</t>
  </si>
  <si>
    <t>John Hatchl</t>
  </si>
  <si>
    <t>Intermediate Girls TOTALS</t>
  </si>
  <si>
    <t>Intermediate Boys TOTALS</t>
  </si>
  <si>
    <t>Elsa Marsden</t>
  </si>
  <si>
    <t>Nick Wanzer</t>
  </si>
  <si>
    <t>Alanna Korff</t>
  </si>
  <si>
    <t>Spencer Bloom</t>
  </si>
  <si>
    <t>Jessica Fritsch</t>
  </si>
  <si>
    <t>Noah Wanzer</t>
  </si>
  <si>
    <t>Olivia Bloom</t>
  </si>
  <si>
    <t>Rishi Vasudevan</t>
  </si>
  <si>
    <t>Senior Girls TOTALS</t>
  </si>
  <si>
    <t>Senior Boys TOTALS</t>
  </si>
  <si>
    <t>Judges</t>
  </si>
  <si>
    <t>Referee</t>
  </si>
  <si>
    <t>Noah Paci</t>
  </si>
  <si>
    <t>Joe Fritsch, Gillian Backus, Sonya Marsden, Emily Korff, David Bloom</t>
  </si>
  <si>
    <t>Meet Secretary</t>
  </si>
  <si>
    <t>Rachel Paci</t>
  </si>
  <si>
    <t>Home Team Secretary</t>
  </si>
  <si>
    <t>Visiting Team Secretary</t>
  </si>
  <si>
    <t>Sonya Marsden</t>
  </si>
  <si>
    <t>Home Team Comments</t>
  </si>
  <si>
    <t>Visiting Team Comments</t>
  </si>
  <si>
    <t>One diver was given a zero when the diver hit the board. One judge, Sonya Marsden, thought that meant the dive was failed and gave it a zero, but the ref did not agree. Ms. Marsden was wrong, but that score did not change the results of the meet because the diver still got 1st place. Jim Sweeder was consulted after the fact and said no changes need to be made.</t>
  </si>
  <si>
    <t>OKM</t>
  </si>
  <si>
    <t>SR</t>
  </si>
  <si>
    <t>Anya Osterhout</t>
  </si>
  <si>
    <t>Dylan Wilson</t>
  </si>
  <si>
    <t>Vivian Lightfoot</t>
  </si>
  <si>
    <t>Charles Rubino</t>
  </si>
  <si>
    <t>Shannon Stegmaier</t>
  </si>
  <si>
    <t>Jake Conquez</t>
  </si>
  <si>
    <t>Samantha Kluger</t>
  </si>
  <si>
    <t>Bryan Markey</t>
  </si>
  <si>
    <t>Cora Bellomo</t>
  </si>
  <si>
    <t>Alden Meholic</t>
  </si>
  <si>
    <t>Kendall Wilson</t>
  </si>
  <si>
    <t>Luke Nobles</t>
  </si>
  <si>
    <t>Lydia Danielsen</t>
  </si>
  <si>
    <t>Matthews Hughes</t>
  </si>
  <si>
    <t>Caroline Wilson</t>
  </si>
  <si>
    <t>Treyton Green</t>
  </si>
  <si>
    <t>Juliette Baldesi</t>
  </si>
  <si>
    <t>Caroline Markey</t>
  </si>
  <si>
    <t>Caroline Copes</t>
  </si>
  <si>
    <t>Miles Teague</t>
  </si>
  <si>
    <t>Karly Proulx</t>
  </si>
  <si>
    <t>Brian Stegmaier</t>
  </si>
  <si>
    <t>Paige Kiddey</t>
  </si>
  <si>
    <t>Abby Swartz</t>
  </si>
  <si>
    <t>Abby West</t>
  </si>
  <si>
    <t>Alyssa Proulx</t>
  </si>
  <si>
    <t>Zavier Green</t>
  </si>
  <si>
    <t>Lindsay Kawane</t>
  </si>
  <si>
    <t>Tyler Nelson</t>
  </si>
  <si>
    <t>Olivia Osterhout</t>
  </si>
  <si>
    <t>Walker Littleton</t>
  </si>
  <si>
    <t>Joseph Markey</t>
  </si>
  <si>
    <t>Sean Walter</t>
  </si>
  <si>
    <t>Amanda Stalfort</t>
  </si>
  <si>
    <t>Liam MIller</t>
  </si>
  <si>
    <t>Cara DeJesus</t>
  </si>
  <si>
    <t>Sam Flory</t>
  </si>
  <si>
    <t>Sania Dhond</t>
  </si>
  <si>
    <t>Thomas Hughes</t>
  </si>
  <si>
    <t>Meghan Shivik</t>
  </si>
  <si>
    <t>JP Wiluz</t>
  </si>
  <si>
    <t>Anna Littleton</t>
  </si>
  <si>
    <t>Chris Suppa</t>
  </si>
  <si>
    <t>Reagan McHugh</t>
  </si>
  <si>
    <t>Adam Osterhout</t>
  </si>
  <si>
    <t>Matthew Gelles</t>
  </si>
  <si>
    <t>Matthew Mitros</t>
  </si>
  <si>
    <t>Lee Bowersox</t>
  </si>
  <si>
    <t>Mark Miller, Crystal DeJesus, Jim McHugh, Marian Littleton, John Mitros</t>
  </si>
  <si>
    <t>Sean Stegmaier</t>
  </si>
  <si>
    <t>Shannon Asko-Danielsen</t>
  </si>
  <si>
    <t>O</t>
  </si>
  <si>
    <t>THA</t>
  </si>
  <si>
    <t>Cecilia Yen</t>
  </si>
  <si>
    <t>Peter Lucado</t>
  </si>
  <si>
    <t>Elizabeth Deegan</t>
  </si>
  <si>
    <t>Archer Kouhestani</t>
  </si>
  <si>
    <t>Anabel Buczek</t>
  </si>
  <si>
    <t>Jasper Eng</t>
  </si>
  <si>
    <t>Ainslee Girard</t>
  </si>
  <si>
    <t>Theodore Karlton</t>
  </si>
  <si>
    <t>Josephine Malko</t>
  </si>
  <si>
    <t>Ewan Girard</t>
  </si>
  <si>
    <t>Gabopha So</t>
  </si>
  <si>
    <t>Owen McKeever</t>
  </si>
  <si>
    <t>Kenly McAllister</t>
  </si>
  <si>
    <t>Eleanor Albosta</t>
  </si>
  <si>
    <t>Ava McKeever</t>
  </si>
  <si>
    <t>Lily Robinson</t>
  </si>
  <si>
    <t>Sofia Dalilaltojari</t>
  </si>
  <si>
    <t>Georgette Malko</t>
  </si>
  <si>
    <t>Madison Worthington</t>
  </si>
  <si>
    <t>Bryce Burton</t>
  </si>
  <si>
    <t>Joseph Mangan</t>
  </si>
  <si>
    <t>Maren Akst</t>
  </si>
  <si>
    <t>Haynes Deegan</t>
  </si>
  <si>
    <t>Lauren Alboum</t>
  </si>
  <si>
    <t>Matias Grundmann</t>
  </si>
  <si>
    <t>Anna Dober</t>
  </si>
  <si>
    <t>Jake Hedrick</t>
  </si>
  <si>
    <t>Elsa Barzilai</t>
  </si>
  <si>
    <t>Margo Eskovitz</t>
  </si>
  <si>
    <t>Stella Barclay</t>
  </si>
  <si>
    <t>Rem Turatbekov</t>
  </si>
  <si>
    <t>Sophie Deegan</t>
  </si>
  <si>
    <t>Nathan Cohen</t>
  </si>
  <si>
    <t>Celeste Lucado</t>
  </si>
  <si>
    <t>Brady Lynch</t>
  </si>
  <si>
    <t>Michayla Eisenberg</t>
  </si>
  <si>
    <t>Batyr Turatbekov</t>
  </si>
  <si>
    <t>Ava Dunn</t>
  </si>
  <si>
    <t>Christopher Cobey</t>
  </si>
  <si>
    <t>Libby Moir</t>
  </si>
  <si>
    <t>Emily Gamber</t>
  </si>
  <si>
    <t>Roger Raber</t>
  </si>
  <si>
    <t>Annie Yen, Meghan Hamby, Mel Worthington, Mike Mangan, Brandon Lucado</t>
  </si>
  <si>
    <t>Whitney Cobey</t>
  </si>
  <si>
    <t>Mel Worthington</t>
  </si>
  <si>
    <t>WG-Walden Glen</t>
  </si>
  <si>
    <t>KG-Kent Gardens</t>
  </si>
  <si>
    <t>OAK-Oakton</t>
  </si>
  <si>
    <t>MHC-Mansion House</t>
  </si>
  <si>
    <t>F-Fairfax</t>
  </si>
  <si>
    <t>GF-Great Falls</t>
  </si>
  <si>
    <t>WG</t>
  </si>
  <si>
    <t>KG</t>
  </si>
  <si>
    <t>T1</t>
  </si>
  <si>
    <t>Elin Geraghty</t>
  </si>
  <si>
    <t>Gavan Nasr</t>
  </si>
  <si>
    <t>Daphne Hwang</t>
  </si>
  <si>
    <t>Jonah Lanthier</t>
  </si>
  <si>
    <t>Molly Donnelly</t>
  </si>
  <si>
    <t>Lucas Moreno</t>
  </si>
  <si>
    <t>Maggie Donnelly</t>
  </si>
  <si>
    <t>Declan Nguyen</t>
  </si>
  <si>
    <t>Caroline Van Order</t>
  </si>
  <si>
    <t>Owen Webb</t>
  </si>
  <si>
    <t>Samantha Lathier</t>
  </si>
  <si>
    <t>Liam Seubert</t>
  </si>
  <si>
    <t>Callyn Lalime</t>
  </si>
  <si>
    <t>Amelia Cafer</t>
  </si>
  <si>
    <t>Emma Webb</t>
  </si>
  <si>
    <t>Sloane Nguyen</t>
  </si>
  <si>
    <t>Kaitlyn Ma</t>
  </si>
  <si>
    <t>Norah Wittman</t>
  </si>
  <si>
    <t>Katie Gorsline</t>
  </si>
  <si>
    <t>Asher Lanthier</t>
  </si>
  <si>
    <t>Jessica Buechler</t>
  </si>
  <si>
    <t>Reagan Diaz</t>
  </si>
  <si>
    <t>Isabella Hampton</t>
  </si>
  <si>
    <t>Andy Wu</t>
  </si>
  <si>
    <t>Mya Merkel</t>
  </si>
  <si>
    <t>Henry Phoel</t>
  </si>
  <si>
    <t>Isabella Uribarri-Tibabuzo</t>
  </si>
  <si>
    <t>Ramsay Latham</t>
  </si>
  <si>
    <t>Riley Diaz</t>
  </si>
  <si>
    <t>Landon Manwaring</t>
  </si>
  <si>
    <t>Sophia Hwang</t>
  </si>
  <si>
    <t>Kate Li</t>
  </si>
  <si>
    <t>Sean Memon</t>
  </si>
  <si>
    <t>Charlotte Petrick</t>
  </si>
  <si>
    <t>Jaden Buechler</t>
  </si>
  <si>
    <t>Lauren Abba</t>
  </si>
  <si>
    <t>Adam Nasr</t>
  </si>
  <si>
    <t>Sophie Fredericks</t>
  </si>
  <si>
    <t>Grady Smith</t>
  </si>
  <si>
    <t>Mirabella Lanthier</t>
  </si>
  <si>
    <t>Harrison Weinstock</t>
  </si>
  <si>
    <t>Meredith Lawler</t>
  </si>
  <si>
    <t>Sarah Wood</t>
  </si>
  <si>
    <t>Max Fowler</t>
  </si>
  <si>
    <t>Jocelyn Brooks</t>
  </si>
  <si>
    <t>Evan Brown</t>
  </si>
  <si>
    <t>Madeleine Hersh</t>
  </si>
  <si>
    <t>Jad Brubaker</t>
  </si>
  <si>
    <t>Cadi Xie</t>
  </si>
  <si>
    <t>Ian Whitesel</t>
  </si>
  <si>
    <t>Rachel Tielking</t>
  </si>
  <si>
    <t>Kylian Genetti</t>
  </si>
  <si>
    <t>Ingrid Olsen</t>
  </si>
  <si>
    <t>Jake Moyer</t>
  </si>
  <si>
    <t>Jordan Buechler</t>
  </si>
  <si>
    <t>Aidan Smith</t>
  </si>
  <si>
    <t>Paul Rabe</t>
  </si>
  <si>
    <t>Ira Hersh, Stacey Brooks, Damask Petric, Jenni Buechler</t>
  </si>
  <si>
    <t>Karen Uribarri-Tibabuzo</t>
  </si>
  <si>
    <t>Malia Aston</t>
  </si>
  <si>
    <t xml:space="preserve">There was 1 DQ in Senior Girls.Thanks for a great meet. </t>
  </si>
  <si>
    <t>OAK</t>
  </si>
  <si>
    <t>MHC</t>
  </si>
  <si>
    <t>Chelsea McLenahan</t>
  </si>
  <si>
    <t>James Roberts</t>
  </si>
  <si>
    <t>Simone Wilson</t>
  </si>
  <si>
    <t>Caleb McManus</t>
  </si>
  <si>
    <t>Mackenzie Martin</t>
  </si>
  <si>
    <t>Christopher Whang</t>
  </si>
  <si>
    <t>Rachel MacDonald</t>
  </si>
  <si>
    <t>Malcolm McLenahan</t>
  </si>
  <si>
    <t>AJ Keane</t>
  </si>
  <si>
    <t>Alex Lee</t>
  </si>
  <si>
    <t>Macy Bias</t>
  </si>
  <si>
    <t>Sam Carrado</t>
  </si>
  <si>
    <t>Connor Timm</t>
  </si>
  <si>
    <t>Austin Lant</t>
  </si>
  <si>
    <t>Colby Reese</t>
  </si>
  <si>
    <t>Isabelle Whang</t>
  </si>
  <si>
    <t>Thibault Lede</t>
  </si>
  <si>
    <t>Isabella Roca</t>
  </si>
  <si>
    <t>James Hayden</t>
  </si>
  <si>
    <t>Charlotte Henderson</t>
  </si>
  <si>
    <t>Collin Henriques</t>
  </si>
  <si>
    <t>Allison Duffield</t>
  </si>
  <si>
    <t>Leo Estes</t>
  </si>
  <si>
    <t>Ella Henderson</t>
  </si>
  <si>
    <t>Owen Thomas</t>
  </si>
  <si>
    <t>Barnaby Lant</t>
  </si>
  <si>
    <t>William Wright</t>
  </si>
  <si>
    <t>Drake Karsadi</t>
  </si>
  <si>
    <t>Megan Shipley</t>
  </si>
  <si>
    <t>Brendan Doe</t>
  </si>
  <si>
    <t>Samantha Shuster</t>
  </si>
  <si>
    <t>Jack Hansen</t>
  </si>
  <si>
    <t>Lacey Lussier</t>
  </si>
  <si>
    <t>Jon Anthony Montel</t>
  </si>
  <si>
    <t>Elise Wendy</t>
  </si>
  <si>
    <t>Dylan Reese</t>
  </si>
  <si>
    <t>Tabitha Thomas</t>
  </si>
  <si>
    <t>Zac Lee</t>
  </si>
  <si>
    <t>Jem Morgan</t>
  </si>
  <si>
    <t>Ryan Shipley</t>
  </si>
  <si>
    <t>Miah Fisher</t>
  </si>
  <si>
    <t>Jacob Fisher</t>
  </si>
  <si>
    <t>Katie Vaughan</t>
  </si>
  <si>
    <t>Josh Shipley</t>
  </si>
  <si>
    <t>Elise Doe</t>
  </si>
  <si>
    <t>Nico Shuster</t>
  </si>
  <si>
    <t>Claire Newberry</t>
  </si>
  <si>
    <t>Blaise Wuest</t>
  </si>
  <si>
    <t>Zoe Askins</t>
  </si>
  <si>
    <t>Ryan Duffield</t>
  </si>
  <si>
    <t>Mark Klopfenstein</t>
  </si>
  <si>
    <t>Mark Klopfenstein, Kurt Burgeson, Chad Duffield, Regina Shuster, Linda Fisher</t>
  </si>
  <si>
    <t>Ioana Montel</t>
  </si>
  <si>
    <t>Damon McDonald</t>
  </si>
  <si>
    <t xml:space="preserve">We had an initial miscalculation of scores (table worker missed half points), but we recalculated and corrected (explanation for rewritten scores on meet sheet). </t>
  </si>
  <si>
    <t>F</t>
  </si>
  <si>
    <t>GF</t>
  </si>
  <si>
    <t>Ellie Vroom</t>
  </si>
  <si>
    <t>Eli Bockman</t>
  </si>
  <si>
    <t>Carleigh Devlin</t>
  </si>
  <si>
    <t>Trey McIntosh</t>
  </si>
  <si>
    <t>Ali Wiley-Jimenez</t>
  </si>
  <si>
    <t>Christopher Barron</t>
  </si>
  <si>
    <t>Lily Carpenter</t>
  </si>
  <si>
    <t>Connor Barron</t>
  </si>
  <si>
    <t>Phoebe Jeffery</t>
  </si>
  <si>
    <t>Jack Devlin</t>
  </si>
  <si>
    <t>Alexa Landi</t>
  </si>
  <si>
    <t>Jaspar Carpenter</t>
  </si>
  <si>
    <t>Heidi Stoddard</t>
  </si>
  <si>
    <t>Sutton Pierson</t>
  </si>
  <si>
    <t>Ari Wiley-Jimenez</t>
  </si>
  <si>
    <t>Daliyah McKimmy</t>
  </si>
  <si>
    <t>Ayla Asner</t>
  </si>
  <si>
    <t>Riyah McKimmy</t>
  </si>
  <si>
    <t>Abbie Colwill</t>
  </si>
  <si>
    <t>Olivia Roca</t>
  </si>
  <si>
    <t>Noah Laccone</t>
  </si>
  <si>
    <t>Cally Codding</t>
  </si>
  <si>
    <t>Ethan Hough</t>
  </si>
  <si>
    <t>Sadie Buckley</t>
  </si>
  <si>
    <t>Vincent Landi</t>
  </si>
  <si>
    <t>Ashlyn Connor</t>
  </si>
  <si>
    <t>Mary Clare Abela</t>
  </si>
  <si>
    <t>Kayleigh McCarthy</t>
  </si>
  <si>
    <t>Gigi Ruse</t>
  </si>
  <si>
    <t>Gabrielle Leesing</t>
  </si>
  <si>
    <t>Lyla Devlin</t>
  </si>
  <si>
    <t>Mia Nash</t>
  </si>
  <si>
    <t>Jackie Colwill</t>
  </si>
  <si>
    <t>Keri Hough</t>
  </si>
  <si>
    <t>Wade Winslow</t>
  </si>
  <si>
    <t>Alexa Haynie</t>
  </si>
  <si>
    <t>Cian Gallagher</t>
  </si>
  <si>
    <t>T3</t>
  </si>
  <si>
    <t>Eve McLaury</t>
  </si>
  <si>
    <t>Mikey Stechl</t>
  </si>
  <si>
    <t>Ella Decker</t>
  </si>
  <si>
    <t>Kamryn Kaye</t>
  </si>
  <si>
    <t>Maddie Devlin</t>
  </si>
  <si>
    <t>Katie Wilson</t>
  </si>
  <si>
    <t>Claire Vroom</t>
  </si>
  <si>
    <t>Dan McGaughey</t>
  </si>
  <si>
    <t>Ellie Shriver</t>
  </si>
  <si>
    <t>Christian Anderson</t>
  </si>
  <si>
    <t>Yesmine Harrache</t>
  </si>
  <si>
    <t>Adam Manley</t>
  </si>
  <si>
    <t>Caroline Gallagher</t>
  </si>
  <si>
    <t>Mikey D'Alessandro</t>
  </si>
  <si>
    <t>Jack McLaury</t>
  </si>
  <si>
    <t>Ryan Hough</t>
  </si>
  <si>
    <t>James Patteson</t>
  </si>
  <si>
    <t>Amy Vroom, Robert Vroom/Jen Decker, Elizabeth Wiley, Lori Kaye, Jenny McCarthy</t>
  </si>
  <si>
    <t>Jenny McCarthy</t>
  </si>
  <si>
    <t>Mary Stinnett</t>
  </si>
  <si>
    <t>Amy Vroom</t>
  </si>
  <si>
    <t>The visiting team secretary didn't sign the results sheet.  Thanks for a great meet!  See you at Divisionals.</t>
  </si>
  <si>
    <t>AF-Arlington Forest</t>
  </si>
  <si>
    <t>PC-Pinecrest</t>
  </si>
  <si>
    <t>LG-Lee Graham</t>
  </si>
  <si>
    <t>HV-Hunt Valley</t>
  </si>
  <si>
    <t>SHR-Sleepy Hollow Rec</t>
  </si>
  <si>
    <t>DR-Donaldson Run</t>
  </si>
  <si>
    <t>AF</t>
  </si>
  <si>
    <t>PC</t>
  </si>
  <si>
    <t>Ella Dunlavy</t>
  </si>
  <si>
    <t>Banks Buergler</t>
  </si>
  <si>
    <t>Annie Dunlavy</t>
  </si>
  <si>
    <t>Alex Stewart</t>
  </si>
  <si>
    <t>Leandra Barger</t>
  </si>
  <si>
    <t>Aaron Barger</t>
  </si>
  <si>
    <t>Julia Kennedy</t>
  </si>
  <si>
    <t>Matthew Vogt</t>
  </si>
  <si>
    <t>Libby Costello</t>
  </si>
  <si>
    <t>Timothy Barger</t>
  </si>
  <si>
    <t>Ella Turner</t>
  </si>
  <si>
    <t>Maddie Yappel</t>
  </si>
  <si>
    <t>Abby Galanes</t>
  </si>
  <si>
    <t>Caris Allen</t>
  </si>
  <si>
    <t>Chloe Kennedy</t>
  </si>
  <si>
    <t>Gia Yappel</t>
  </si>
  <si>
    <t>Connor Ryan</t>
  </si>
  <si>
    <t>Natalie Rutland</t>
  </si>
  <si>
    <t>Akash Kaji</t>
  </si>
  <si>
    <t>Isla Eckhardt</t>
  </si>
  <si>
    <t>Daniel Vogt</t>
  </si>
  <si>
    <t>Lauren Ivey</t>
  </si>
  <si>
    <t>Caroline Ivey</t>
  </si>
  <si>
    <t>Ada Jordan</t>
  </si>
  <si>
    <t>Jackson Ward</t>
  </si>
  <si>
    <t>Graci Vlattas</t>
  </si>
  <si>
    <t>Greyson Schroeher</t>
  </si>
  <si>
    <t>Teagan Boone</t>
  </si>
  <si>
    <t xml:space="preserve">Benjamin Tahu </t>
  </si>
  <si>
    <t>Abby Anderson</t>
  </si>
  <si>
    <t>Vangeli Hadjimichael</t>
  </si>
  <si>
    <t>Kenzie Conner</t>
  </si>
  <si>
    <t>Max Cassatt</t>
  </si>
  <si>
    <t>Charlotte Weir</t>
  </si>
  <si>
    <t>David Alves</t>
  </si>
  <si>
    <t>Lynn Clark</t>
  </si>
  <si>
    <t>Justin Clark, Liz Cagianesa, Karen Rutland, Mike Hadjimichael, Steve Conner</t>
  </si>
  <si>
    <t>Laura Smialowicz</t>
  </si>
  <si>
    <t>Jess Kennedy</t>
  </si>
  <si>
    <t xml:space="preserve">Arlington Forest - thanks for the awesome meet and warm welcome, we enjoyed it! </t>
  </si>
  <si>
    <t>LG</t>
  </si>
  <si>
    <t>HV</t>
  </si>
  <si>
    <t>Cora Brock</t>
  </si>
  <si>
    <t>Amir Owens</t>
  </si>
  <si>
    <t>Evie Harmer</t>
  </si>
  <si>
    <t>Teddy Klousia</t>
  </si>
  <si>
    <t>Maggie Scully</t>
  </si>
  <si>
    <t>William Davis</t>
  </si>
  <si>
    <t>Payton Bennett</t>
  </si>
  <si>
    <t>Jacob Faustman</t>
  </si>
  <si>
    <t>Lila Scully</t>
  </si>
  <si>
    <t>Derek Baltas</t>
  </si>
  <si>
    <t>Sarah Banko</t>
  </si>
  <si>
    <t>Adam Ogrodny</t>
  </si>
  <si>
    <t>Addison Bennett</t>
  </si>
  <si>
    <t>John Mulcahy</t>
  </si>
  <si>
    <t>Wren McCann</t>
  </si>
  <si>
    <t>Ethan Page</t>
  </si>
  <si>
    <t>Lyla Jacobs</t>
  </si>
  <si>
    <t>Patrick Verasin</t>
  </si>
  <si>
    <t>Cassandra Hawthorne</t>
  </si>
  <si>
    <t>Andrew Maurer</t>
  </si>
  <si>
    <t>Zoe Mar</t>
  </si>
  <si>
    <t>Joseph Ogrodny</t>
  </si>
  <si>
    <t>Ella Wallinger</t>
  </si>
  <si>
    <t>Patrick Scully</t>
  </si>
  <si>
    <t>Madison Allard</t>
  </si>
  <si>
    <t>Issa Owens</t>
  </si>
  <si>
    <t>Audrey Pounds</t>
  </si>
  <si>
    <t>Kaleb Wisner</t>
  </si>
  <si>
    <t>Gwen Fry</t>
  </si>
  <si>
    <t>Olivia Wanchick</t>
  </si>
  <si>
    <t>Isadora Gebert</t>
  </si>
  <si>
    <t>Reagan Cervenak</t>
  </si>
  <si>
    <t>Alex Way</t>
  </si>
  <si>
    <t>Valerie christopher</t>
  </si>
  <si>
    <t>Cooper Bouton</t>
  </si>
  <si>
    <t>Alexandra Charecky</t>
  </si>
  <si>
    <t>Sheen Lee</t>
  </si>
  <si>
    <t>Jane Asfah-Mohallatee</t>
  </si>
  <si>
    <t>Hudson Mar</t>
  </si>
  <si>
    <t>Virginia Grubbs</t>
  </si>
  <si>
    <t>Hayley Eastman</t>
  </si>
  <si>
    <t>Corinne Dunsmoor</t>
  </si>
  <si>
    <t>Lily Dunsmoor</t>
  </si>
  <si>
    <t>Maggie DiScipio</t>
  </si>
  <si>
    <t>Finnian Gelbach</t>
  </si>
  <si>
    <t>Madison Cervenak</t>
  </si>
  <si>
    <t>Jack Pritchard</t>
  </si>
  <si>
    <t>Ainsley Buckner</t>
  </si>
  <si>
    <t>Madeline Orchard</t>
  </si>
  <si>
    <t>Nora Blasch</t>
  </si>
  <si>
    <t>Michelle Cervenak</t>
  </si>
  <si>
    <t>Michelle Cervenak, Patty Lister, Doug Gelbach, Kim Maurer, Karen Dunsmoor</t>
  </si>
  <si>
    <t xml:space="preserve">Alice Mar </t>
  </si>
  <si>
    <t>Judy Baltas</t>
  </si>
  <si>
    <t>SHR</t>
  </si>
  <si>
    <t>DR</t>
  </si>
  <si>
    <t>Taylor McDonnell</t>
  </si>
  <si>
    <t>Krishnan Greenwood</t>
  </si>
  <si>
    <t>Hannah Brubeck</t>
  </si>
  <si>
    <t>Liam Ross</t>
  </si>
  <si>
    <t>Elle Feeley</t>
  </si>
  <si>
    <t>Kai Sheriff</t>
  </si>
  <si>
    <t>Elizabeth Heim</t>
  </si>
  <si>
    <t>Charlie DeZee</t>
  </si>
  <si>
    <t>Lily Klein</t>
  </si>
  <si>
    <t>Lucas Vida</t>
  </si>
  <si>
    <t>Finley McDonnell</t>
  </si>
  <si>
    <t>Finn Feeley</t>
  </si>
  <si>
    <t>Ann Madden</t>
  </si>
  <si>
    <t>John Taylor</t>
  </si>
  <si>
    <t>Margaret Nelson</t>
  </si>
  <si>
    <t>Fenner Abbey</t>
  </si>
  <si>
    <t>Harper Vida</t>
  </si>
  <si>
    <t>Parker Englerth</t>
  </si>
  <si>
    <t>Thomas Edgerton</t>
  </si>
  <si>
    <t>Philip Bastow</t>
  </si>
  <si>
    <t>Kalyn O'Hara</t>
  </si>
  <si>
    <t>Brody Schrecker</t>
  </si>
  <si>
    <t>Anna Fitzgerald</t>
  </si>
  <si>
    <t>Elijah Garces-Foley</t>
  </si>
  <si>
    <t>Chloe Samowich</t>
  </si>
  <si>
    <t>Diego Syar</t>
  </si>
  <si>
    <t>Louise Fitzgerald</t>
  </si>
  <si>
    <t>CJ Silva</t>
  </si>
  <si>
    <t>Ruth Eliot</t>
  </si>
  <si>
    <t>Michael Staren</t>
  </si>
  <si>
    <t>Samuel Mulchandani</t>
  </si>
  <si>
    <t>Rhys Kowalczyk</t>
  </si>
  <si>
    <t>Jett Bastow</t>
  </si>
  <si>
    <t>Emma Redman</t>
  </si>
  <si>
    <t>Jack Reed</t>
  </si>
  <si>
    <t>Chloe Richards</t>
  </si>
  <si>
    <t>Forest Archambault</t>
  </si>
  <si>
    <t>Sophie Frost</t>
  </si>
  <si>
    <t>Matthew Heim</t>
  </si>
  <si>
    <t>Jenna Sheetz</t>
  </si>
  <si>
    <t>Kyle Aylward</t>
  </si>
  <si>
    <t>Lane Samowich</t>
  </si>
  <si>
    <t>Chloe Kowalczyk</t>
  </si>
  <si>
    <t>Caeli McIntosh</t>
  </si>
  <si>
    <t>Emily Wiese</t>
  </si>
  <si>
    <t>Courtney Weldon</t>
  </si>
  <si>
    <t>Valerie Engel</t>
  </si>
  <si>
    <t>Ginger Richards</t>
  </si>
  <si>
    <t>James Wiese</t>
  </si>
  <si>
    <t>Ellie Simmons</t>
  </si>
  <si>
    <t>William Parish</t>
  </si>
  <si>
    <t>Ocean Archambault</t>
  </si>
  <si>
    <t>Parker Rice</t>
  </si>
  <si>
    <t>Noelle Samowich</t>
  </si>
  <si>
    <t>Mia Korin</t>
  </si>
  <si>
    <t>Kelly Bletsis</t>
  </si>
  <si>
    <t>Kelly Bletsis, Micheal Crotty, Lesley Reed, Tiegan Holtzman, Geoffrey Webb</t>
  </si>
  <si>
    <t>Sheri Crotty</t>
  </si>
  <si>
    <t>Jennifer Mulchandani</t>
  </si>
  <si>
    <t>Thanks for a GREAT meet together!!  I especially appreciate your being organized with such a big team, and thanks again for bringing printed ribbon labels for your divers as it helped me have extra time to train the parent who is shadowing me to be one of the new team reps next season!</t>
  </si>
  <si>
    <t xml:space="preserve">Thanks SHRA! </t>
  </si>
  <si>
    <t>HS-Highlands Swim</t>
  </si>
  <si>
    <t>WC-Wakefield Chapel</t>
  </si>
  <si>
    <t>T-Tuckahoe</t>
  </si>
  <si>
    <t>CB-Chesterbrook</t>
  </si>
  <si>
    <t>DH-Dominion Hills</t>
  </si>
  <si>
    <t>HF-Hayfield Farm</t>
  </si>
  <si>
    <t>HS</t>
  </si>
  <si>
    <t>WC</t>
  </si>
  <si>
    <t>Annabelle Ebaugh</t>
  </si>
  <si>
    <t>Sullivan McNamara</t>
  </si>
  <si>
    <t>Joelle Saunders</t>
  </si>
  <si>
    <t>Franklin Fiske</t>
  </si>
  <si>
    <t>Emily Fay</t>
  </si>
  <si>
    <t>Azadi Castellano</t>
  </si>
  <si>
    <t>Emilia Vayra</t>
  </si>
  <si>
    <t>Garrett Mansuy</t>
  </si>
  <si>
    <t>Eva Negrelli</t>
  </si>
  <si>
    <t>Randolph Shults</t>
  </si>
  <si>
    <t>Julia Paukovits</t>
  </si>
  <si>
    <t>Faustino Fredes</t>
  </si>
  <si>
    <t>Lily Verne</t>
  </si>
  <si>
    <t>Eleanor Manos</t>
  </si>
  <si>
    <t>Aspen Rose Abruzzese</t>
  </si>
  <si>
    <t>Lydia Bremer</t>
  </si>
  <si>
    <t>Erin Grinnell</t>
  </si>
  <si>
    <t>Lily Kissinger</t>
  </si>
  <si>
    <t>Annelise Saunders</t>
  </si>
  <si>
    <t>Olivia Berik</t>
  </si>
  <si>
    <t>Seamus McNamara</t>
  </si>
  <si>
    <t>Charlotte Berik</t>
  </si>
  <si>
    <t>John Paul Kissinger</t>
  </si>
  <si>
    <t>Madison Ebaugh</t>
  </si>
  <si>
    <t>John Berik</t>
  </si>
  <si>
    <t>Charlotte Fay</t>
  </si>
  <si>
    <t>Walter Shiu</t>
  </si>
  <si>
    <t>Madeline Roche</t>
  </si>
  <si>
    <t>Norah Kissinger</t>
  </si>
  <si>
    <t>Matthew Lazo-Kaser</t>
  </si>
  <si>
    <t>Alexa Mansuy</t>
  </si>
  <si>
    <t>Elena Marques-Davila</t>
  </si>
  <si>
    <t>Isabel Karam</t>
  </si>
  <si>
    <t>Meghan Kissinger</t>
  </si>
  <si>
    <t>Nathaniel Grannis</t>
  </si>
  <si>
    <t>Erin Wills</t>
  </si>
  <si>
    <t>Sean Binning</t>
  </si>
  <si>
    <t>Karenna Keane</t>
  </si>
  <si>
    <t>Tanner Moore</t>
  </si>
  <si>
    <t>Aidan Thomas</t>
  </si>
  <si>
    <t>Zachary Abruzzese</t>
  </si>
  <si>
    <t>Neil Wills</t>
  </si>
  <si>
    <t>Mike Moore, Neil Wills, David Grannis, Stephanie McNamara, Karl Kaser</t>
  </si>
  <si>
    <t>Wendy Simon</t>
  </si>
  <si>
    <t>David Grannis</t>
  </si>
  <si>
    <t>He is added.</t>
  </si>
  <si>
    <t>Mispelling of first name of Annelise Sanders on the White Sheet."Amelia Sanders" should be Annelise Sanders. Pls correct the white sheet before sending to Div 4 coordinator</t>
  </si>
  <si>
    <t>T</t>
  </si>
  <si>
    <t>CB</t>
  </si>
  <si>
    <t>Julianne Carle</t>
  </si>
  <si>
    <t>Jack Zecher</t>
  </si>
  <si>
    <t>Chaaya Springer</t>
  </si>
  <si>
    <t>Isaac Fonner</t>
  </si>
  <si>
    <t>Leah Bailey</t>
  </si>
  <si>
    <t>Isaac Shinskie</t>
  </si>
  <si>
    <t>Sloane Carle</t>
  </si>
  <si>
    <t>Ben Engola</t>
  </si>
  <si>
    <t>Emily Upp</t>
  </si>
  <si>
    <t>Evah Pho</t>
  </si>
  <si>
    <t>Madeleine Philbin</t>
  </si>
  <si>
    <t>Mary Moss</t>
  </si>
  <si>
    <t>Nora Hall</t>
  </si>
  <si>
    <t>Elise Lucien</t>
  </si>
  <si>
    <t>Jackson Thomas</t>
  </si>
  <si>
    <t>Erika Noreika</t>
  </si>
  <si>
    <t>Gordon Anderson</t>
  </si>
  <si>
    <t>Teddy Angelides</t>
  </si>
  <si>
    <t>Jakob Workman</t>
  </si>
  <si>
    <t>Sarah Beach</t>
  </si>
  <si>
    <t>Justin Upp</t>
  </si>
  <si>
    <t>Libby Hall</t>
  </si>
  <si>
    <t>Jaiden Saran</t>
  </si>
  <si>
    <t>Ellie Mallard</t>
  </si>
  <si>
    <t>Riya Saran</t>
  </si>
  <si>
    <t>Christopher Barnes</t>
  </si>
  <si>
    <t>Sarina Saran</t>
  </si>
  <si>
    <t>Will Zimmerman</t>
  </si>
  <si>
    <t>Atul Saran</t>
  </si>
  <si>
    <t>Cindy Anderson, Doreen Moss, Atul Saran, Jenn Lager, Christine Hall</t>
  </si>
  <si>
    <t>Tim Springer</t>
  </si>
  <si>
    <t>Jenn Lager</t>
  </si>
  <si>
    <t>Validated corrections made per notes to the right hand column.</t>
  </si>
  <si>
    <t>Left off Mary Moss 45.60 and her score was put in for Sloane Carle.  I corrected Sloane's score.  I corrected Elise Lucien's from 121.50 to 121.15.</t>
  </si>
  <si>
    <t>DH</t>
  </si>
  <si>
    <t>HF</t>
  </si>
  <si>
    <t>Julianna Butler</t>
  </si>
  <si>
    <t>Logan DiBenigno</t>
  </si>
  <si>
    <t>Isabelle Quinn</t>
  </si>
  <si>
    <t>Luke Peters</t>
  </si>
  <si>
    <t>Q Perdue</t>
  </si>
  <si>
    <t>Joe Mathieson</t>
  </si>
  <si>
    <t>Helen Butler</t>
  </si>
  <si>
    <t>Stone Perdue</t>
  </si>
  <si>
    <t>Audrey Wheeler</t>
  </si>
  <si>
    <t>Will Copes</t>
  </si>
  <si>
    <t>Kate Payne</t>
  </si>
  <si>
    <t>Thomas Dombrowski</t>
  </si>
  <si>
    <t>Madeleine Dombrowski</t>
  </si>
  <si>
    <t>Oliver Klueber</t>
  </si>
  <si>
    <t>Ava Kowalchick</t>
  </si>
  <si>
    <t>Davis Carter</t>
  </si>
  <si>
    <t>Molly Payne</t>
  </si>
  <si>
    <t>Andrew Aldonas</t>
  </si>
  <si>
    <t>Allie Pearson</t>
  </si>
  <si>
    <t>Maeve McGuire</t>
  </si>
  <si>
    <t>Reid Schwartz</t>
  </si>
  <si>
    <t>Emma Kowalchick</t>
  </si>
  <si>
    <t>Kellen Courtney</t>
  </si>
  <si>
    <t>Clayre Payne</t>
  </si>
  <si>
    <t>Zakir Chinoy</t>
  </si>
  <si>
    <t>Olivia Maco</t>
  </si>
  <si>
    <t>Hannah Ax</t>
  </si>
  <si>
    <t>Hayden Shelton</t>
  </si>
  <si>
    <t>Chloe Schwartz</t>
  </si>
  <si>
    <t>Cooper Belt</t>
  </si>
  <si>
    <t>Morgan Shelton</t>
  </si>
  <si>
    <t>Gavin Simpson</t>
  </si>
  <si>
    <t>Paige Shelton</t>
  </si>
  <si>
    <t>Sam Johnson</t>
  </si>
  <si>
    <t>Abby Putnam</t>
  </si>
  <si>
    <t>Sean Watson</t>
  </si>
  <si>
    <t>George Brennan</t>
  </si>
  <si>
    <t>Sandis Walker</t>
  </si>
  <si>
    <t>Ellie Joyce</t>
  </si>
  <si>
    <t>Fin Belt</t>
  </si>
  <si>
    <t>Lucy Porter</t>
  </si>
  <si>
    <t>Gavin Bergen-Hill</t>
  </si>
  <si>
    <t>Riley Shelton</t>
  </si>
  <si>
    <t>Luke DiBenigno</t>
  </si>
  <si>
    <t>Ellie Potts</t>
  </si>
  <si>
    <t>Luke Dangel</t>
  </si>
  <si>
    <t>Dakota Bannach</t>
  </si>
  <si>
    <t>Joseph Nixon</t>
  </si>
  <si>
    <t>Thomas Joyce</t>
  </si>
  <si>
    <t>Thomas Joyce, Rachel Riley, Mike Schaeffer, Joe Belt, Sarah Kowalchick</t>
  </si>
  <si>
    <t>Christina Potts</t>
  </si>
  <si>
    <t>Mary Mohney</t>
  </si>
  <si>
    <t>LV-Lakeview</t>
  </si>
  <si>
    <t>CP-Crosspointe</t>
  </si>
  <si>
    <t>SHB-Sleepy Hollow Bath</t>
  </si>
  <si>
    <t>RH-Rolling Hills</t>
  </si>
  <si>
    <t>CCC-Camelot Community Club</t>
  </si>
  <si>
    <t>R-Ravensworth Farm</t>
  </si>
  <si>
    <t>LV</t>
  </si>
  <si>
    <t>CP</t>
  </si>
  <si>
    <t>Sloan Tann</t>
  </si>
  <si>
    <t>Arik Stone</t>
  </si>
  <si>
    <t>Haley Schwab</t>
  </si>
  <si>
    <t>Caleb Cherryholmes-Wesley</t>
  </si>
  <si>
    <t>Isabelle Koenig</t>
  </si>
  <si>
    <t>Ethan Johns</t>
  </si>
  <si>
    <t>Teagan Johns</t>
  </si>
  <si>
    <t>Zachary Holden</t>
  </si>
  <si>
    <t>Eleena Manser</t>
  </si>
  <si>
    <t>Pax Whritenour</t>
  </si>
  <si>
    <t>Casimira Betz</t>
  </si>
  <si>
    <t>Luke Sabo</t>
  </si>
  <si>
    <t>Mimei Minato</t>
  </si>
  <si>
    <t>Logan Gernatt</t>
  </si>
  <si>
    <t>Lacey Slone</t>
  </si>
  <si>
    <t>Hannah Carroll</t>
  </si>
  <si>
    <t>Addy Whritenour</t>
  </si>
  <si>
    <t>Claire Webster</t>
  </si>
  <si>
    <t>Karoline Slone</t>
  </si>
  <si>
    <t>Reese Andresen</t>
  </si>
  <si>
    <t>Deena Epstein</t>
  </si>
  <si>
    <t>Norah Flintoft</t>
  </si>
  <si>
    <t>Quinn Harris</t>
  </si>
  <si>
    <t>Dylan Johns</t>
  </si>
  <si>
    <t>Josie Anderson</t>
  </si>
  <si>
    <t>Ethan Hubbard</t>
  </si>
  <si>
    <t>Claire Andresen</t>
  </si>
  <si>
    <t>Gunner Larson</t>
  </si>
  <si>
    <t>Caroline Apergis</t>
  </si>
  <si>
    <t>Enrique Ugalde</t>
  </si>
  <si>
    <t>Kelsey Davis</t>
  </si>
  <si>
    <t>Caleb Schwab</t>
  </si>
  <si>
    <t>Carleigh Haskins</t>
  </si>
  <si>
    <t>Lora Berkeley (LB) Macaranas</t>
  </si>
  <si>
    <t>Brady Davies</t>
  </si>
  <si>
    <t>Katy Haransky</t>
  </si>
  <si>
    <t>Shawn Hubbard</t>
  </si>
  <si>
    <t>Catherine Fleck</t>
  </si>
  <si>
    <t>Antonella Palazzo</t>
  </si>
  <si>
    <t>Leyna Flintoft</t>
  </si>
  <si>
    <t>Abigail Meehan</t>
  </si>
  <si>
    <t>Nicole Bondanella</t>
  </si>
  <si>
    <t>Silas Platt</t>
  </si>
  <si>
    <t>Mia Mihocko</t>
  </si>
  <si>
    <t>Campbell McCracken</t>
  </si>
  <si>
    <t>Campbell Plageman</t>
  </si>
  <si>
    <t>Zoe Dolfis</t>
  </si>
  <si>
    <t>Susan Mitchell</t>
  </si>
  <si>
    <t>Susan Mitchell, Vicky Palazzo / Kris Bondanella, Melissa Mihocko, Jessica Schwab, Amira Tann</t>
  </si>
  <si>
    <t>Elizabeth Macaranas</t>
  </si>
  <si>
    <t>Melissa Mihocko</t>
  </si>
  <si>
    <t xml:space="preserve">Thanks for a fun meet! </t>
  </si>
  <si>
    <t>Thanks, Lakeview, for hosting a fantastic meet!</t>
  </si>
  <si>
    <t>SHB</t>
  </si>
  <si>
    <t>RH</t>
  </si>
  <si>
    <t>Azeria "ZZ" Arnic</t>
  </si>
  <si>
    <t>Hudson Lynch</t>
  </si>
  <si>
    <t>Amber Harrison</t>
  </si>
  <si>
    <t>Jack Flanagan</t>
  </si>
  <si>
    <t>Maya Orlova</t>
  </si>
  <si>
    <t>Kyle Schutt</t>
  </si>
  <si>
    <t>Sarah Chodos</t>
  </si>
  <si>
    <t>Jacob Hurt</t>
  </si>
  <si>
    <t>Alex Morgan</t>
  </si>
  <si>
    <t>Cameron Sauchuk</t>
  </si>
  <si>
    <t>Xanthy Kuehne</t>
  </si>
  <si>
    <t>Oliver Matthews</t>
  </si>
  <si>
    <t>Olivia Timmermann</t>
  </si>
  <si>
    <t>Brodie Kuehne</t>
  </si>
  <si>
    <t>Evie Kerelchuk</t>
  </si>
  <si>
    <t>Alysa Gaona</t>
  </si>
  <si>
    <t>Izzy Matthews</t>
  </si>
  <si>
    <t>Isabel Kerelchuk</t>
  </si>
  <si>
    <t>Angelina katsas</t>
  </si>
  <si>
    <t>Natasha Sauchuk</t>
  </si>
  <si>
    <t>Anamarie Harrison</t>
  </si>
  <si>
    <t>Becket Lanier</t>
  </si>
  <si>
    <t>Petra Oleson</t>
  </si>
  <si>
    <t>Griffin Wagner</t>
  </si>
  <si>
    <t>Sophia Newtson</t>
  </si>
  <si>
    <t>Anne Juster</t>
  </si>
  <si>
    <t>Lina Rosenbaum</t>
  </si>
  <si>
    <t>Paisley Wilkins</t>
  </si>
  <si>
    <t>Ethan Heim</t>
  </si>
  <si>
    <t>Addie Bates</t>
  </si>
  <si>
    <t>Ryan Casteleyn</t>
  </si>
  <si>
    <t>Camryn Caughlin</t>
  </si>
  <si>
    <t>Tommy Juster</t>
  </si>
  <si>
    <t>Lyla Harrison</t>
  </si>
  <si>
    <t>David Caudillo</t>
  </si>
  <si>
    <t>Natalia Sayasithsena</t>
  </si>
  <si>
    <t>Liam Healey-Wright</t>
  </si>
  <si>
    <t>Kyleah Harbort</t>
  </si>
  <si>
    <t>Jadon Butler</t>
  </si>
  <si>
    <t>Erica Schroeder</t>
  </si>
  <si>
    <t>Peter Cullather</t>
  </si>
  <si>
    <t>Nicole Perkins</t>
  </si>
  <si>
    <t>Sam Martin</t>
  </si>
  <si>
    <t>Mary Callahan</t>
  </si>
  <si>
    <t>Ryan Caughey</t>
  </si>
  <si>
    <t>Claire Coughlin</t>
  </si>
  <si>
    <t>Michael Hitchock</t>
  </si>
  <si>
    <t>Zoe London</t>
  </si>
  <si>
    <t>George Harbort</t>
  </si>
  <si>
    <t>John Cullather, Fred Martin, Bob Perkins, Jim Juster, George Harbort</t>
  </si>
  <si>
    <t>Kendra Martin</t>
  </si>
  <si>
    <t>Kathleen Juster</t>
  </si>
  <si>
    <t>one diver on RH does not seem to be on the roster</t>
  </si>
  <si>
    <t>Thanks for hosting a great meet.  Score for IG Natalia S should be a 62.95.  I'll look into the roster question.</t>
  </si>
  <si>
    <t>CCC</t>
  </si>
  <si>
    <t>R</t>
  </si>
  <si>
    <t>Lucy Bennett</t>
  </si>
  <si>
    <t>Zavier Roberts</t>
  </si>
  <si>
    <t>Ellie Showalter</t>
  </si>
  <si>
    <t>Griffin Cahalan</t>
  </si>
  <si>
    <t>Chloe Field</t>
  </si>
  <si>
    <t>Owen Snyder</t>
  </si>
  <si>
    <t>Sophia McConnell</t>
  </si>
  <si>
    <t>Emerson Allen</t>
  </si>
  <si>
    <t>Lily Huie</t>
  </si>
  <si>
    <t>Brayden Auble</t>
  </si>
  <si>
    <t>Eliza McIlvaine</t>
  </si>
  <si>
    <t>Jasper Figley</t>
  </si>
  <si>
    <t>Ella Allen</t>
  </si>
  <si>
    <t>Emilio Padilla</t>
  </si>
  <si>
    <t>Delilah Copas</t>
  </si>
  <si>
    <t>Jack McIntosh</t>
  </si>
  <si>
    <t>Emma Smith</t>
  </si>
  <si>
    <t>Abby Southworth</t>
  </si>
  <si>
    <t>Sara Curry-Briggs</t>
  </si>
  <si>
    <t>Alexa Hill</t>
  </si>
  <si>
    <t>Emily Field</t>
  </si>
  <si>
    <t>Evan George</t>
  </si>
  <si>
    <t>Olivia Bruce</t>
  </si>
  <si>
    <t>Noah Henderson</t>
  </si>
  <si>
    <t>Kennedy McIntosh</t>
  </si>
  <si>
    <t>Andrew Bean</t>
  </si>
  <si>
    <t>Maia McAllister</t>
  </si>
  <si>
    <t>Cash Riedel</t>
  </si>
  <si>
    <t>Scarlett Copas</t>
  </si>
  <si>
    <t>Leo McFadden</t>
  </si>
  <si>
    <t>Lia Gauthier</t>
  </si>
  <si>
    <t>Hannah Cahalan</t>
  </si>
  <si>
    <t>Micaela Wells</t>
  </si>
  <si>
    <t>Colin Greene</t>
  </si>
  <si>
    <t>Jillian Champlin</t>
  </si>
  <si>
    <t>Wade Hayes</t>
  </si>
  <si>
    <t>Lauren Gagermeier</t>
  </si>
  <si>
    <t>Claire Conley</t>
  </si>
  <si>
    <t>Sara Kate George</t>
  </si>
  <si>
    <t>Brenda Greene</t>
  </si>
  <si>
    <t>Brenda Greene, Abraham McAllister, Greg Champlin, Jenn Auble, Kathy Ried</t>
  </si>
  <si>
    <t>Megan Burski Wells</t>
  </si>
  <si>
    <t>Melinda Young</t>
  </si>
  <si>
    <t>I concur - Ravensworth should only have 48 points.  Thank you for hosting and we look forward to seeing you at divisionals!</t>
  </si>
  <si>
    <t>HP-Highland Park</t>
  </si>
  <si>
    <t>OH-Orange Hunt</t>
  </si>
  <si>
    <t>G-Greenbriar</t>
  </si>
  <si>
    <t>PAR-Parliament</t>
  </si>
  <si>
    <t>FS-Fairfax Station</t>
  </si>
  <si>
    <t>CH-Cardinal Hill</t>
  </si>
  <si>
    <t>HP</t>
  </si>
  <si>
    <t>OH</t>
  </si>
  <si>
    <t>Katie Lee Cutts</t>
  </si>
  <si>
    <t>Benjamin Margolis</t>
  </si>
  <si>
    <t>Gabby Heredia</t>
  </si>
  <si>
    <t>Andrew Barber</t>
  </si>
  <si>
    <t>Maddy Guy</t>
  </si>
  <si>
    <t>Philip Stigliano</t>
  </si>
  <si>
    <t>Caroline Todd</t>
  </si>
  <si>
    <t>Theodore Romanosky</t>
  </si>
  <si>
    <t>Phoebe Guy</t>
  </si>
  <si>
    <t>Ben Berona</t>
  </si>
  <si>
    <t>Molly Foster</t>
  </si>
  <si>
    <t>Teddy Anderson</t>
  </si>
  <si>
    <t>Roxie Griffith</t>
  </si>
  <si>
    <t>Liam Painter</t>
  </si>
  <si>
    <t>Emily LaSalle</t>
  </si>
  <si>
    <t>Will Dickinson</t>
  </si>
  <si>
    <t>Kyra Drobnis</t>
  </si>
  <si>
    <t>Benjamin Allen</t>
  </si>
  <si>
    <t>Leah Jandrain</t>
  </si>
  <si>
    <t>Joshua Berona</t>
  </si>
  <si>
    <t>Kiera Carpenter</t>
  </si>
  <si>
    <t>Zack Stickel</t>
  </si>
  <si>
    <t>Bridget Snyder</t>
  </si>
  <si>
    <t>Adam Zimmer</t>
  </si>
  <si>
    <t>Peyton Anderson</t>
  </si>
  <si>
    <t>Ryan Fournier</t>
  </si>
  <si>
    <t>Clara Taylor</t>
  </si>
  <si>
    <t>Max Gura</t>
  </si>
  <si>
    <t>Devon Taylor</t>
  </si>
  <si>
    <t>Rebecca Drobnis</t>
  </si>
  <si>
    <t>Jayden Perry</t>
  </si>
  <si>
    <t>Lily Coulby</t>
  </si>
  <si>
    <t>Casper Bing</t>
  </si>
  <si>
    <t>Bethany Telleria</t>
  </si>
  <si>
    <t>Michael Neville</t>
  </si>
  <si>
    <t>Piper Guy</t>
  </si>
  <si>
    <t>Luke Stickel</t>
  </si>
  <si>
    <t>Brianna Land Riekse</t>
  </si>
  <si>
    <t>Caleb Urias</t>
  </si>
  <si>
    <t>Lina Elbekri</t>
  </si>
  <si>
    <t>Henry Cutts</t>
  </si>
  <si>
    <t>Lucy Barber</t>
  </si>
  <si>
    <t>Josephine Damico Lassman</t>
  </si>
  <si>
    <t>Desmond Damico Lassman</t>
  </si>
  <si>
    <t>Kotryna Bujokas</t>
  </si>
  <si>
    <t>Grant McClure</t>
  </si>
  <si>
    <t>Ginny Coulby</t>
  </si>
  <si>
    <t>Nate Anderson</t>
  </si>
  <si>
    <t>Danie Wolfe</t>
  </si>
  <si>
    <t>Maggie Toth</t>
  </si>
  <si>
    <t>Jackson Bertman</t>
  </si>
  <si>
    <t>Esme Damico Lassman</t>
  </si>
  <si>
    <t>Caden Guy</t>
  </si>
  <si>
    <t>Emily Townsend</t>
  </si>
  <si>
    <t>Porter Bertman</t>
  </si>
  <si>
    <t>Steven McCormick</t>
  </si>
  <si>
    <t>Mike Bertman</t>
  </si>
  <si>
    <t>Mike Bertman, Michael Margolis, Lydia Stickel, Maggie Perry, Rachel Dickinson</t>
  </si>
  <si>
    <t>Julie Margolis</t>
  </si>
  <si>
    <t xml:space="preserve">Julie Margolis </t>
  </si>
  <si>
    <t>Katherine McClure</t>
  </si>
  <si>
    <t>Thanks to you for being a great team!</t>
  </si>
  <si>
    <t>What a fun meet. Thank you for hosting, Highland Park!</t>
  </si>
  <si>
    <t>G</t>
  </si>
  <si>
    <t>PAR</t>
  </si>
  <si>
    <t>Charlotte Rotteveel</t>
  </si>
  <si>
    <t>Mack Miller</t>
  </si>
  <si>
    <t>Kayla Tarugsa</t>
  </si>
  <si>
    <t>Nolan Scott</t>
  </si>
  <si>
    <t>Gabriella Roberts</t>
  </si>
  <si>
    <t>Ben Blaeuer</t>
  </si>
  <si>
    <t>Olivia Pietress</t>
  </si>
  <si>
    <t>Pike Conway</t>
  </si>
  <si>
    <t>Simone Feil</t>
  </si>
  <si>
    <t>Drew Avila</t>
  </si>
  <si>
    <t>Madelyn Nassar</t>
  </si>
  <si>
    <t>Jack Henry</t>
  </si>
  <si>
    <t>Zanna Brown</t>
  </si>
  <si>
    <t>Max Waterman</t>
  </si>
  <si>
    <t>Gabrielle Subsavage</t>
  </si>
  <si>
    <t>Avery Edwards</t>
  </si>
  <si>
    <t>Gabby Smith</t>
  </si>
  <si>
    <t>Fynn Miller</t>
  </si>
  <si>
    <t>Tanisa Kanchanawanchai</t>
  </si>
  <si>
    <t>Hadley Miller</t>
  </si>
  <si>
    <t>Brielle Burnside</t>
  </si>
  <si>
    <t>Bridget Caines</t>
  </si>
  <si>
    <t>Eliza Miller</t>
  </si>
  <si>
    <t>Alex Smith</t>
  </si>
  <si>
    <t>Aubree Burnside</t>
  </si>
  <si>
    <t>Alex Avila</t>
  </si>
  <si>
    <t>Rowan Threadgill</t>
  </si>
  <si>
    <t>Jack Caines</t>
  </si>
  <si>
    <t>Sage Smyth</t>
  </si>
  <si>
    <t>Blake Allen</t>
  </si>
  <si>
    <t>Penny Lawrence</t>
  </si>
  <si>
    <t>Luke Snyder</t>
  </si>
  <si>
    <t>Evie Miller</t>
  </si>
  <si>
    <t>Paxton Martinez</t>
  </si>
  <si>
    <t>Isabel Smith</t>
  </si>
  <si>
    <t>Michael Bray</t>
  </si>
  <si>
    <t>Kendall Arnz</t>
  </si>
  <si>
    <t>Daniel Belloni</t>
  </si>
  <si>
    <t>Hazel Flynn</t>
  </si>
  <si>
    <t>Evan Vink</t>
  </si>
  <si>
    <t>Avery Lawrence</t>
  </si>
  <si>
    <t>Corban Lawrence</t>
  </si>
  <si>
    <t>Hunter Colandria</t>
  </si>
  <si>
    <t>Garrett Kendall</t>
  </si>
  <si>
    <t>Mozeleski Leah</t>
  </si>
  <si>
    <t>Matthew Bray</t>
  </si>
  <si>
    <t>Alyse Madsen</t>
  </si>
  <si>
    <t>Caeden Beavers</t>
  </si>
  <si>
    <t>Katelyn Ruehle</t>
  </si>
  <si>
    <t>Hugh Gannon</t>
  </si>
  <si>
    <t>Hannah Quick</t>
  </si>
  <si>
    <t>Daniel Cate</t>
  </si>
  <si>
    <t>David Avila</t>
  </si>
  <si>
    <t>H K Kim</t>
  </si>
  <si>
    <t>Roy Edwards</t>
  </si>
  <si>
    <t>Tracy Hartley, Virginia Rotteveel, Danielle Waterfield, Larry Gannon, Richard Bray</t>
  </si>
  <si>
    <t>Sarah Tohill</t>
  </si>
  <si>
    <t>Andrea Cate</t>
  </si>
  <si>
    <t>Thanks so much to Parliment for providing their referee. We were very grateful.</t>
  </si>
  <si>
    <t>I changed Alyse Madsen's score to read 129.25; all else looks good.  Thank you, Greenbriar, for hosting on this hot night!  Great meet!</t>
  </si>
  <si>
    <t>FS</t>
  </si>
  <si>
    <t>CH</t>
  </si>
  <si>
    <t>Katie Clague</t>
  </si>
  <si>
    <t>Levi Lundeby</t>
  </si>
  <si>
    <t>Stella Budiu</t>
  </si>
  <si>
    <t>Calvin Butler</t>
  </si>
  <si>
    <t>Aria Giarraputo</t>
  </si>
  <si>
    <t>Andrew Parente</t>
  </si>
  <si>
    <t>Marianna McKinnon</t>
  </si>
  <si>
    <t>Will Daman</t>
  </si>
  <si>
    <t>Elza Jones</t>
  </si>
  <si>
    <t>Cole Pointkowski</t>
  </si>
  <si>
    <t>Noelle Telleen</t>
  </si>
  <si>
    <t>Boone Dean</t>
  </si>
  <si>
    <t>Gwyn Howard</t>
  </si>
  <si>
    <t>Chace Majiros</t>
  </si>
  <si>
    <t>Mady McCormack</t>
  </si>
  <si>
    <t>RoRo Siegmund</t>
  </si>
  <si>
    <t>Serena Howard</t>
  </si>
  <si>
    <t>Cavan Telleen</t>
  </si>
  <si>
    <t>Alice Siegmund</t>
  </si>
  <si>
    <t>Zeke Louie</t>
  </si>
  <si>
    <t>Jacqueline Potter</t>
  </si>
  <si>
    <t>Travis Wittekind</t>
  </si>
  <si>
    <t>Dani Rothman</t>
  </si>
  <si>
    <t>Chase Pointkowski</t>
  </si>
  <si>
    <t>Darcy Telleen</t>
  </si>
  <si>
    <t>Nate Butler</t>
  </si>
  <si>
    <t>Alison Gurganus</t>
  </si>
  <si>
    <t>Nate Beck</t>
  </si>
  <si>
    <t>Rebecca Rothman</t>
  </si>
  <si>
    <t>Luca Budiu</t>
  </si>
  <si>
    <t>Samantha Apgar</t>
  </si>
  <si>
    <t>Oliver Jones</t>
  </si>
  <si>
    <t>Lyla Chutuape</t>
  </si>
  <si>
    <t>Hannah Goldberg</t>
  </si>
  <si>
    <t>Caitlin Holtaway</t>
  </si>
  <si>
    <t>Zara-Jean Penn</t>
  </si>
  <si>
    <t>Allie Reback</t>
  </si>
  <si>
    <t>Charles Schuppin</t>
  </si>
  <si>
    <t>Devyn Telleen</t>
  </si>
  <si>
    <t>William Feuchter</t>
  </si>
  <si>
    <t>Mia Romer</t>
  </si>
  <si>
    <t>Uday Sidhu</t>
  </si>
  <si>
    <t>Lauren Lundeby</t>
  </si>
  <si>
    <t>Gabi Konde</t>
  </si>
  <si>
    <t>Elisabeth Rockefeller</t>
  </si>
  <si>
    <t>Trey Telleen</t>
  </si>
  <si>
    <t>Julianne Feuchter</t>
  </si>
  <si>
    <t>Colin Crowley</t>
  </si>
  <si>
    <t>Teresa Capuano-Rizzo</t>
  </si>
  <si>
    <t>Julian Penn</t>
  </si>
  <si>
    <t>Lucy Silverstein</t>
  </si>
  <si>
    <t>Lucy Parente</t>
  </si>
  <si>
    <t>Sarina Meyer</t>
  </si>
  <si>
    <t>Paige Schuppin</t>
  </si>
  <si>
    <t>Leann Parente, Stephanie Perkowski, Karl Rothman, Ilana Feuchter, Teresa Crowley</t>
  </si>
  <si>
    <t>Ineta Jones</t>
  </si>
  <si>
    <t>Tricia Rizzo</t>
  </si>
  <si>
    <t>I accidentally had our referee in as one of the judges on the paperwork.  I changed it to add Karl Rothman here.  Sorry about that.  Thank you for a great, competitive meet Cardinal Hill!</t>
  </si>
  <si>
    <t>Thank you so much to Fairfax Station for a fun, well- run meet! Excited to see you at Divisionals!</t>
  </si>
  <si>
    <t>SRA-Stratford Rec Association</t>
  </si>
  <si>
    <t>M-Mantua</t>
  </si>
  <si>
    <t>HSC-Hamlet Swim</t>
  </si>
  <si>
    <t>SB-Springboard Recreration Club</t>
  </si>
  <si>
    <t>W-Woodley</t>
  </si>
  <si>
    <t>RFD-Rutherford</t>
  </si>
  <si>
    <t>SRA</t>
  </si>
  <si>
    <t>M</t>
  </si>
  <si>
    <t>Maggie Levi</t>
  </si>
  <si>
    <t>Grant Evonuk</t>
  </si>
  <si>
    <t>Kate Evonuk</t>
  </si>
  <si>
    <t>Liam Ganci</t>
  </si>
  <si>
    <t>Catherine Redington</t>
  </si>
  <si>
    <t>Collin Christ</t>
  </si>
  <si>
    <t>Paige Finley</t>
  </si>
  <si>
    <t>William Lang</t>
  </si>
  <si>
    <t>Juliet Tetreault</t>
  </si>
  <si>
    <t>Grayson Morrisette</t>
  </si>
  <si>
    <t>Kree Setliff</t>
  </si>
  <si>
    <t>Matteo Fazio</t>
  </si>
  <si>
    <t>Leila White</t>
  </si>
  <si>
    <t>Liam Redington</t>
  </si>
  <si>
    <t>Adele Pino</t>
  </si>
  <si>
    <t>Max Molina Weir</t>
  </si>
  <si>
    <t>Emily Wills</t>
  </si>
  <si>
    <t>Nicolas Hill</t>
  </si>
  <si>
    <t>Annabel Rider</t>
  </si>
  <si>
    <t>Finn Price</t>
  </si>
  <si>
    <t>Claire Cashin</t>
  </si>
  <si>
    <t>Cara Tansey</t>
  </si>
  <si>
    <t>Debbie Burke</t>
  </si>
  <si>
    <t>Aelan Elder</t>
  </si>
  <si>
    <t>Lydia Tetreault</t>
  </si>
  <si>
    <t>Owen Molina Weir</t>
  </si>
  <si>
    <t>Stina Nystrom</t>
  </si>
  <si>
    <t>Wesley Ferguson</t>
  </si>
  <si>
    <t>Maggie Burke</t>
  </si>
  <si>
    <t>Emery Mize</t>
  </si>
  <si>
    <t>Aysel El Bourini</t>
  </si>
  <si>
    <t>Samantha Eldred</t>
  </si>
  <si>
    <t>Ryan Calligaro</t>
  </si>
  <si>
    <t>Lily Ross</t>
  </si>
  <si>
    <t>Henry Levi</t>
  </si>
  <si>
    <t>Susan Wang Andera</t>
  </si>
  <si>
    <t>Dexter Tetreault</t>
  </si>
  <si>
    <t>Avery Garr</t>
  </si>
  <si>
    <t>Delaney Dean</t>
  </si>
  <si>
    <t>Sally Harrington</t>
  </si>
  <si>
    <t>Boede Offringa</t>
  </si>
  <si>
    <t>Sarah Fleming</t>
  </si>
  <si>
    <t>Kevin Dinkel</t>
  </si>
  <si>
    <t>Maddi Ross</t>
  </si>
  <si>
    <t>John Dinkel</t>
  </si>
  <si>
    <t>Allison Ary</t>
  </si>
  <si>
    <t>Eian Murphy</t>
  </si>
  <si>
    <t>Sammy McKnight</t>
  </si>
  <si>
    <t>Rohan McCarthy</t>
  </si>
  <si>
    <t>Sofia Nystrom</t>
  </si>
  <si>
    <t>Dillon Wirth</t>
  </si>
  <si>
    <t>Amanda Kendrick</t>
  </si>
  <si>
    <t>Matt Burke</t>
  </si>
  <si>
    <t>David Ross, Kevin Wirth, Matt Tetreault, Ena Murphy, Lesley McKnight</t>
  </si>
  <si>
    <t>Peggy Dinkel</t>
  </si>
  <si>
    <t>Erin Wirth</t>
  </si>
  <si>
    <t>Laura Tetreault</t>
  </si>
  <si>
    <t>HSC</t>
  </si>
  <si>
    <t>Abby Pickard</t>
  </si>
  <si>
    <t>Aiden Sutherland</t>
  </si>
  <si>
    <t>Campbell Kurpiel</t>
  </si>
  <si>
    <t>Liam Gentry</t>
  </si>
  <si>
    <t>Kate Gentry</t>
  </si>
  <si>
    <t>Samuel Bricker</t>
  </si>
  <si>
    <t>Elizabeth Peebles</t>
  </si>
  <si>
    <t>Alan Schwartz</t>
  </si>
  <si>
    <t>Jem Wahler</t>
  </si>
  <si>
    <t>Alejandro Payan</t>
  </si>
  <si>
    <t>Siena Nguyen</t>
  </si>
  <si>
    <t>Amelia Gentry</t>
  </si>
  <si>
    <t>Ava Payan</t>
  </si>
  <si>
    <t>Leyla Ozden</t>
  </si>
  <si>
    <t>Bennett Steele</t>
  </si>
  <si>
    <t>Eliza Hunt</t>
  </si>
  <si>
    <t>Jacob Ross</t>
  </si>
  <si>
    <t>Darius Bajoghli</t>
  </si>
  <si>
    <t>T'iyler Rothstein</t>
  </si>
  <si>
    <t>Ash Burress</t>
  </si>
  <si>
    <t>Aubrie Burress</t>
  </si>
  <si>
    <t>Savas Emanuel</t>
  </si>
  <si>
    <t>Jade Carey</t>
  </si>
  <si>
    <t>Melinda Hauda</t>
  </si>
  <si>
    <t>Anthony Maull</t>
  </si>
  <si>
    <t>Makenna Aphrodite</t>
  </si>
  <si>
    <t>Brendan Waterval</t>
  </si>
  <si>
    <t>Karen Hauda</t>
  </si>
  <si>
    <t>Mark Waterval, Carol Davis, Miguel Payan, Anamarie Paredes, Amir Bajoghli</t>
  </si>
  <si>
    <t>William Hauda</t>
  </si>
  <si>
    <t>Carylin Waterval</t>
  </si>
  <si>
    <t>W</t>
  </si>
  <si>
    <t>RFD</t>
  </si>
  <si>
    <t>Elin Temme</t>
  </si>
  <si>
    <t>Max Braswell</t>
  </si>
  <si>
    <t>Kathryn Fegan</t>
  </si>
  <si>
    <t>Alex Lum</t>
  </si>
  <si>
    <t>Sally Horne</t>
  </si>
  <si>
    <t>Optimus Bigby</t>
  </si>
  <si>
    <t>Teny Davitian</t>
  </si>
  <si>
    <t>Joseph Thiede</t>
  </si>
  <si>
    <t>Evie Warren</t>
  </si>
  <si>
    <t>Brandon Haase</t>
  </si>
  <si>
    <t>Lorriane Miller</t>
  </si>
  <si>
    <t>Cole Fegan</t>
  </si>
  <si>
    <t>Hadley Townsend</t>
  </si>
  <si>
    <t>Paul Thiede</t>
  </si>
  <si>
    <t>Tennley Jackson</t>
  </si>
  <si>
    <t>Zachary Lum</t>
  </si>
  <si>
    <t>Miriam Stavlund</t>
  </si>
  <si>
    <t>Austin Brooks</t>
  </si>
  <si>
    <t>Avery Burch</t>
  </si>
  <si>
    <t>Benjamin Lum</t>
  </si>
  <si>
    <t>Lola Beltran</t>
  </si>
  <si>
    <t>Eliza Pollack</t>
  </si>
  <si>
    <t>Wyatt Fegan</t>
  </si>
  <si>
    <t>Pendry Carroll</t>
  </si>
  <si>
    <t>Benjamin Pollack</t>
  </si>
  <si>
    <t>Eva Martin</t>
  </si>
  <si>
    <t>John Burns</t>
  </si>
  <si>
    <t>John Horne</t>
  </si>
  <si>
    <t>Helena Horne</t>
  </si>
  <si>
    <t>Roman Braswell</t>
  </si>
  <si>
    <t>Isabelle Horne</t>
  </si>
  <si>
    <t>Zachary Napoli</t>
  </si>
  <si>
    <t>Liam Wade</t>
  </si>
  <si>
    <t>James Horne</t>
  </si>
  <si>
    <t>Elizabeth Bell</t>
  </si>
  <si>
    <t>Caleb Hoover</t>
  </si>
  <si>
    <t>Tatum Kline</t>
  </si>
  <si>
    <t>Silas Mitchell</t>
  </si>
  <si>
    <t>Jim Sweeder</t>
  </si>
  <si>
    <t>Jim Sweeder, Ken Sims/Kyle Hoover, Emma Miller, Chris Wade, Katie Burch</t>
  </si>
  <si>
    <t>Emily Hoover</t>
  </si>
  <si>
    <t>Poline Braswell</t>
  </si>
  <si>
    <t xml:space="preserve">You need to put in the dive categories.  </t>
  </si>
  <si>
    <t>IC-Ilda Community</t>
  </si>
  <si>
    <t>CSC-Commonwealth Swim Club</t>
  </si>
  <si>
    <t>S-Springfield</t>
  </si>
  <si>
    <t>A-Annandale</t>
  </si>
  <si>
    <t>PL-Parklawn</t>
  </si>
  <si>
    <t>NS-North Springfield</t>
  </si>
  <si>
    <t>IC</t>
  </si>
  <si>
    <t>CSC</t>
  </si>
  <si>
    <t>Soraya Lora-Pena</t>
  </si>
  <si>
    <t>Lucas Nguyen</t>
  </si>
  <si>
    <t>Mackenzie Rose Healy</t>
  </si>
  <si>
    <t>Nick Jenkins</t>
  </si>
  <si>
    <t>Amaya Erb</t>
  </si>
  <si>
    <t>Nathan Pierce</t>
  </si>
  <si>
    <t>Rosalie Thornton</t>
  </si>
  <si>
    <t>Harrison Ali</t>
  </si>
  <si>
    <t>Natalia Torres</t>
  </si>
  <si>
    <t>Liam Swearingen</t>
  </si>
  <si>
    <t>Katya Kankadze</t>
  </si>
  <si>
    <t>Alex Erchov</t>
  </si>
  <si>
    <t>Luke Kropf</t>
  </si>
  <si>
    <t>Noah Pierce</t>
  </si>
  <si>
    <t>Lincoln Ali</t>
  </si>
  <si>
    <t>Emmett Kropf</t>
  </si>
  <si>
    <t>Madeline Fay</t>
  </si>
  <si>
    <t>Carter Jenkins</t>
  </si>
  <si>
    <t>Karie Egan</t>
  </si>
  <si>
    <t>Everett Thornton</t>
  </si>
  <si>
    <t>Emily Bush</t>
  </si>
  <si>
    <t>Grant Thornton</t>
  </si>
  <si>
    <t>Madi Flinn</t>
  </si>
  <si>
    <t>Maura Fay</t>
  </si>
  <si>
    <t>Nina Gillette</t>
  </si>
  <si>
    <t>Connie Gillette</t>
  </si>
  <si>
    <t>Connie Gillette, Jesse Thornton, Jessica Flinn, Cherlyn Jenkins, Tonyi Pelham</t>
  </si>
  <si>
    <t>Ed Fay</t>
  </si>
  <si>
    <t>Michelle Hughes Ali</t>
  </si>
  <si>
    <t xml:space="preserve">Thanks for a nice meet!  I didn't catch the last name of your meet secretary if you wouldn't mind filling that in. </t>
  </si>
  <si>
    <t>Thanks for a great meet</t>
  </si>
  <si>
    <t>S</t>
  </si>
  <si>
    <t>A</t>
  </si>
  <si>
    <t>Ramona Kelshian</t>
  </si>
  <si>
    <t>Caiden Calhoun</t>
  </si>
  <si>
    <t>Brigid Cahill</t>
  </si>
  <si>
    <t>Brendan Castro</t>
  </si>
  <si>
    <t>Isabella Darter</t>
  </si>
  <si>
    <t>Matthew Rempe</t>
  </si>
  <si>
    <t>Viviana Del Campo</t>
  </si>
  <si>
    <t>Benjamin Dane</t>
  </si>
  <si>
    <t>Avery Berg</t>
  </si>
  <si>
    <t>Kaia Clark</t>
  </si>
  <si>
    <t>Cristiano Garcia</t>
  </si>
  <si>
    <t>Grace Rempe</t>
  </si>
  <si>
    <t>Caleb Orban</t>
  </si>
  <si>
    <t>Ben Tran</t>
  </si>
  <si>
    <t>Brian Tran</t>
  </si>
  <si>
    <t>Nat O'Brien</t>
  </si>
  <si>
    <t>Abby Bangs</t>
  </si>
  <si>
    <t>Ari Snow</t>
  </si>
  <si>
    <t>Grace Partain</t>
  </si>
  <si>
    <t>Nathan Tran</t>
  </si>
  <si>
    <t>Mason Du</t>
  </si>
  <si>
    <t>Tim Isenberg</t>
  </si>
  <si>
    <t>Kristin Garcia</t>
  </si>
  <si>
    <t>Kristin Garcia, Betsy Yarrison, Deidre Cahill, Rae Tran, Nhamy Tran</t>
  </si>
  <si>
    <t>Lindsay Del Campo</t>
  </si>
  <si>
    <t>Denise Du</t>
  </si>
  <si>
    <t>Thanks so much, Annandale! Great meet!!</t>
  </si>
  <si>
    <t>Thank You Springfield for being great Hosts!!!</t>
  </si>
  <si>
    <t>PL</t>
  </si>
  <si>
    <t>NS</t>
  </si>
  <si>
    <t>Charlotte Hill</t>
  </si>
  <si>
    <t>Ethan Dalrymple</t>
  </si>
  <si>
    <t>Mei Mei Roth</t>
  </si>
  <si>
    <t>Cormac Henderson</t>
  </si>
  <si>
    <t>Natalia Haley</t>
  </si>
  <si>
    <t>William Gall</t>
  </si>
  <si>
    <t>Ella Aberra</t>
  </si>
  <si>
    <t>Miller Supple</t>
  </si>
  <si>
    <t>Yousef Chawki</t>
  </si>
  <si>
    <t>Raphael Mesmer</t>
  </si>
  <si>
    <t>Mason Iams</t>
  </si>
  <si>
    <t>Kaleo Contreni-Moore</t>
  </si>
  <si>
    <t>Miles Marvin</t>
  </si>
  <si>
    <t>Keaton Gutierrez</t>
  </si>
  <si>
    <t>Gabriel Mesmer</t>
  </si>
  <si>
    <t>Brooke Hunnicutt</t>
  </si>
  <si>
    <t>Phill Bernard</t>
  </si>
  <si>
    <t>Ami Bernard</t>
  </si>
  <si>
    <t>Charlie McGinity</t>
  </si>
  <si>
    <t>Rayna Johnson</t>
  </si>
  <si>
    <t>Tess Galway</t>
  </si>
  <si>
    <t>Will Leyhe</t>
  </si>
  <si>
    <t>Daysi Cruz</t>
  </si>
  <si>
    <t>Joe Liller</t>
  </si>
  <si>
    <t>Julia Kaldahl</t>
  </si>
  <si>
    <t>Brian Bernard</t>
  </si>
  <si>
    <t>Emma Hill</t>
  </si>
  <si>
    <t>Madalyn Dixon</t>
  </si>
  <si>
    <t>Morgan Milman</t>
  </si>
  <si>
    <t>Xavier Johnston</t>
  </si>
  <si>
    <t>Charlotte Moore</t>
  </si>
  <si>
    <t>Cade Stinson</t>
  </si>
  <si>
    <t>Emma Liston</t>
  </si>
  <si>
    <t>Owen Henderson</t>
  </si>
  <si>
    <t>Keira Dalrymple</t>
  </si>
  <si>
    <t>Madelynn Gall</t>
  </si>
  <si>
    <t>Laurie Blakeman</t>
  </si>
  <si>
    <t>Alison Dalsimer, Rheanna Bernard, Celeste Leyhe, Joy Hill, Meghan Iams</t>
  </si>
  <si>
    <t>Helen Harris</t>
  </si>
  <si>
    <t>Celeste Leyhe</t>
  </si>
  <si>
    <t>Thanks for a great meet!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</si>
</sst>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yy"/>
  </numFmts>
  <fonts count="5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sz val="18"/>
      <name val="Arial"/>
    </font>
    <font>
      <u/>
      <sz val="9"/>
      <color rgb="FF0000FF"/>
      <name val="Calibri"/>
    </font>
    <font>
      <sz val="11"/>
      <color rgb="FF008000"/>
      <name val="Inconsolata"/>
    </font>
    <font>
      <sz val="9"/>
      <color rgb="FF000000"/>
      <name val="Calibri"/>
    </font>
    <font>
      <sz val="9"/>
      <name val="Calibri"/>
    </font>
    <font>
      <sz val="10"/>
      <name val="Calibri"/>
    </font>
    <font>
      <b/>
      <u/>
      <sz val="10"/>
      <color rgb="FFFFFFFF"/>
      <name val="Arial"/>
    </font>
    <font>
      <sz val="11"/>
      <color rgb="FF000000"/>
      <name val="Calibri"/>
    </font>
    <font>
      <sz val="11"/>
      <name val="Calibri"/>
    </font>
  </fonts>
  <fills count="18">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2CC"/>
        <bgColor rgb="FFFFF2CC"/>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000000"/>
        <bgColor rgb="FF000000"/>
      </patternFill>
    </fill>
    <fill>
      <patternFill patternType="solid">
        <fgColor rgb="FF63D297"/>
        <bgColor rgb="FF63D297"/>
      </patternFill>
    </fill>
    <fill>
      <patternFill patternType="solid">
        <fgColor rgb="FFFCE5CD"/>
        <bgColor rgb="FFFCE5CD"/>
      </patternFill>
    </fill>
    <fill>
      <patternFill patternType="solid">
        <fgColor rgb="FFF9CB9C"/>
        <bgColor rgb="FFF9CB9C"/>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right style="thin">
        <color rgb="FFFFFF00"/>
      </right>
      <top/>
      <bottom/>
      <diagonal/>
    </border>
    <border>
      <left/>
      <right/>
      <top/>
      <bottom style="thin">
        <color rgb="FFFFFF00"/>
      </bottom>
      <diagonal/>
    </border>
    <border>
      <left/>
      <right style="thin">
        <color rgb="FFFFFF00"/>
      </right>
      <top style="thin">
        <color rgb="FFFFFF00"/>
      </top>
      <bottom style="thin">
        <color rgb="FFFFFF00"/>
      </bottom>
      <diagonal/>
    </border>
    <border>
      <left/>
      <right style="thin">
        <color rgb="FFFFFF00"/>
      </right>
      <top/>
      <bottom style="thin">
        <color rgb="FFFFFF00"/>
      </bottom>
      <diagonal/>
    </border>
  </borders>
  <cellStyleXfs count="1">
    <xf numFmtId="0" fontId="0" fillId="0" borderId="0"/>
  </cellStyleXfs>
  <cellXfs count="278">
    <xf numFmtId="0" fontId="0" fillId="0" borderId="0" xfId="0" applyFont="1" applyAlignment="1"/>
    <xf numFmtId="0" fontId="6" fillId="0" borderId="0" xfId="0" applyFont="1" applyAlignment="1"/>
    <xf numFmtId="0" fontId="3" fillId="0" borderId="0" xfId="0" applyFont="1" applyAlignment="1">
      <alignment wrapText="1"/>
    </xf>
    <xf numFmtId="0" fontId="3" fillId="0" borderId="0" xfId="0" applyFont="1" applyAlignment="1"/>
    <xf numFmtId="0" fontId="3" fillId="0" borderId="0" xfId="0" applyFont="1" applyAlignment="1">
      <alignment vertical="top"/>
    </xf>
    <xf numFmtId="0" fontId="6" fillId="0" borderId="0" xfId="0" applyFont="1" applyAlignment="1">
      <alignment horizontal="center" vertical="top"/>
    </xf>
    <xf numFmtId="0" fontId="3" fillId="0" borderId="0" xfId="0" applyFont="1"/>
    <xf numFmtId="0" fontId="9" fillId="2" borderId="0" xfId="0" applyFont="1" applyFill="1" applyAlignment="1"/>
    <xf numFmtId="0" fontId="10" fillId="2" borderId="0" xfId="0" applyFont="1" applyFill="1" applyAlignment="1"/>
    <xf numFmtId="0" fontId="12" fillId="2" borderId="0" xfId="0" applyFont="1" applyFill="1" applyAlignment="1"/>
    <xf numFmtId="0" fontId="1" fillId="2" borderId="0" xfId="0" applyFont="1" applyFill="1" applyAlignment="1"/>
    <xf numFmtId="0" fontId="13" fillId="2" borderId="0" xfId="0" applyFont="1" applyFill="1"/>
    <xf numFmtId="0" fontId="15" fillId="2" borderId="0" xfId="0" applyFont="1" applyFill="1" applyAlignment="1">
      <alignment horizontal="right"/>
    </xf>
    <xf numFmtId="0" fontId="16" fillId="2" borderId="0" xfId="0" applyFont="1" applyFill="1" applyAlignment="1">
      <alignment horizontal="center"/>
    </xf>
    <xf numFmtId="0" fontId="6" fillId="2" borderId="0" xfId="0" applyFont="1" applyFill="1" applyAlignment="1">
      <alignment horizontal="center"/>
    </xf>
    <xf numFmtId="0" fontId="19" fillId="2" borderId="0" xfId="0" applyFont="1" applyFill="1" applyAlignment="1">
      <alignment horizontal="right"/>
    </xf>
    <xf numFmtId="0" fontId="20" fillId="2" borderId="0" xfId="0" applyFont="1" applyFill="1" applyAlignment="1"/>
    <xf numFmtId="0" fontId="1" fillId="2" borderId="0" xfId="0" applyFont="1" applyFill="1" applyAlignment="1">
      <alignment vertical="top"/>
    </xf>
    <xf numFmtId="0" fontId="12" fillId="2" borderId="0" xfId="0" applyFont="1" applyFill="1" applyAlignment="1">
      <alignment vertical="top"/>
    </xf>
    <xf numFmtId="0" fontId="3" fillId="0" borderId="0" xfId="0" applyFont="1" applyAlignment="1">
      <alignment horizontal="center"/>
    </xf>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22" fillId="8" borderId="7" xfId="0" applyFont="1" applyFill="1" applyBorder="1"/>
    <xf numFmtId="14" fontId="23" fillId="6" borderId="4" xfId="0" applyNumberFormat="1" applyFont="1" applyFill="1" applyBorder="1" applyAlignment="1">
      <alignment horizontal="center"/>
    </xf>
    <xf numFmtId="0" fontId="24" fillId="2" borderId="0" xfId="0" applyFont="1" applyFill="1" applyAlignment="1"/>
    <xf numFmtId="0" fontId="25" fillId="2" borderId="0" xfId="0" applyFont="1" applyFill="1" applyAlignment="1">
      <alignment horizontal="right"/>
    </xf>
    <xf numFmtId="0" fontId="27" fillId="0" borderId="0" xfId="0" applyFont="1" applyAlignment="1">
      <alignment horizontal="center"/>
    </xf>
    <xf numFmtId="0" fontId="21" fillId="2" borderId="0" xfId="0" applyFont="1" applyFill="1" applyAlignment="1"/>
    <xf numFmtId="0" fontId="2" fillId="2" borderId="0" xfId="0" applyFont="1" applyFill="1" applyAlignment="1">
      <alignment horizontal="center"/>
    </xf>
    <xf numFmtId="0" fontId="2" fillId="2" borderId="0" xfId="0" applyFont="1" applyFill="1" applyAlignment="1"/>
    <xf numFmtId="0" fontId="28" fillId="2" borderId="0" xfId="0" applyFont="1" applyFill="1" applyAlignment="1">
      <alignment horizontal="center"/>
    </xf>
    <xf numFmtId="0" fontId="16" fillId="2" borderId="0" xfId="0" applyFont="1" applyFill="1" applyAlignment="1">
      <alignment horizontal="right"/>
    </xf>
    <xf numFmtId="0" fontId="29" fillId="2" borderId="0" xfId="0" applyFont="1" applyFill="1" applyAlignment="1">
      <alignment horizontal="center"/>
    </xf>
    <xf numFmtId="0" fontId="30" fillId="2" borderId="0" xfId="0" applyFont="1" applyFill="1"/>
    <xf numFmtId="0" fontId="15" fillId="2" borderId="0" xfId="0" applyFont="1" applyFill="1" applyAlignment="1">
      <alignment horizontal="right"/>
    </xf>
    <xf numFmtId="0" fontId="31" fillId="2" borderId="0" xfId="0" applyFont="1" applyFill="1" applyAlignment="1">
      <alignment horizontal="center"/>
    </xf>
    <xf numFmtId="0" fontId="13" fillId="2" borderId="0" xfId="0" applyFont="1" applyFill="1" applyAlignment="1"/>
    <xf numFmtId="0" fontId="14" fillId="2" borderId="0" xfId="0" applyFont="1" applyFill="1" applyAlignment="1">
      <alignment horizontal="right"/>
    </xf>
    <xf numFmtId="0" fontId="10" fillId="2" borderId="0" xfId="0" applyFont="1" applyFill="1" applyAlignment="1">
      <alignment horizontal="right"/>
    </xf>
    <xf numFmtId="0" fontId="14" fillId="2" borderId="6" xfId="0" applyFont="1" applyFill="1" applyBorder="1" applyAlignment="1">
      <alignment horizontal="right"/>
    </xf>
    <xf numFmtId="0" fontId="6" fillId="7" borderId="1" xfId="0" applyFont="1" applyFill="1" applyBorder="1" applyAlignment="1">
      <alignment horizontal="right"/>
    </xf>
    <xf numFmtId="0" fontId="33" fillId="7" borderId="4" xfId="0" applyFont="1" applyFill="1" applyBorder="1" applyAlignment="1">
      <alignment horizontal="center" vertical="center"/>
    </xf>
    <xf numFmtId="0" fontId="34" fillId="7" borderId="4" xfId="0" applyFont="1" applyFill="1" applyBorder="1" applyAlignment="1"/>
    <xf numFmtId="0" fontId="5" fillId="0" borderId="0" xfId="0" applyFont="1" applyAlignment="1">
      <alignment horizontal="center"/>
    </xf>
    <xf numFmtId="0" fontId="5" fillId="9" borderId="1" xfId="0" applyFont="1" applyFill="1" applyBorder="1" applyAlignment="1">
      <alignment horizontal="right"/>
    </xf>
    <xf numFmtId="0" fontId="5" fillId="9" borderId="1" xfId="0" applyFont="1" applyFill="1" applyBorder="1" applyAlignment="1">
      <alignment horizontal="right" vertical="top"/>
    </xf>
    <xf numFmtId="0" fontId="35" fillId="9" borderId="4" xfId="0" applyFont="1" applyFill="1" applyBorder="1" applyAlignment="1">
      <alignment horizontal="center" vertical="center"/>
    </xf>
    <xf numFmtId="0" fontId="34" fillId="9" borderId="4" xfId="0" applyFont="1" applyFill="1" applyBorder="1" applyAlignment="1"/>
    <xf numFmtId="0" fontId="20" fillId="7" borderId="4" xfId="0" applyFont="1" applyFill="1" applyBorder="1" applyAlignment="1"/>
    <xf numFmtId="0" fontId="5" fillId="7" borderId="4" xfId="0" applyFont="1" applyFill="1" applyBorder="1" applyAlignment="1">
      <alignment horizontal="center"/>
    </xf>
    <xf numFmtId="0" fontId="34" fillId="0" borderId="0" xfId="0" applyFont="1" applyAlignment="1"/>
    <xf numFmtId="0" fontId="5" fillId="9" borderId="4" xfId="0" applyFont="1" applyFill="1" applyBorder="1" applyAlignment="1">
      <alignment horizontal="center"/>
    </xf>
    <xf numFmtId="0" fontId="3" fillId="0" borderId="0" xfId="0" applyFont="1" applyAlignment="1">
      <alignment vertical="top"/>
    </xf>
    <xf numFmtId="0" fontId="13" fillId="0" borderId="0" xfId="0" applyFont="1" applyAlignment="1"/>
    <xf numFmtId="0" fontId="3" fillId="0" borderId="4" xfId="0" applyFont="1" applyBorder="1" applyAlignment="1">
      <alignment vertical="top"/>
    </xf>
    <xf numFmtId="0" fontId="3" fillId="0" borderId="4"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13" fillId="0" borderId="0" xfId="0" applyFont="1" applyAlignment="1">
      <alignment vertical="top"/>
    </xf>
    <xf numFmtId="0" fontId="3" fillId="0" borderId="4" xfId="0" applyFont="1" applyBorder="1" applyAlignment="1">
      <alignment vertical="top"/>
    </xf>
    <xf numFmtId="0" fontId="3" fillId="0" borderId="4" xfId="0" applyFont="1" applyBorder="1" applyAlignment="1">
      <alignment horizontal="right" vertical="top"/>
    </xf>
    <xf numFmtId="0" fontId="3" fillId="7"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6" fillId="0" borderId="4" xfId="0" applyFont="1" applyBorder="1" applyAlignment="1">
      <alignment vertical="top"/>
    </xf>
    <xf numFmtId="0" fontId="6" fillId="7" borderId="4" xfId="0" applyFont="1" applyFill="1" applyBorder="1" applyAlignment="1">
      <alignment horizontal="center" vertical="top"/>
    </xf>
    <xf numFmtId="0" fontId="6" fillId="10" borderId="4" xfId="0" applyFont="1" applyFill="1" applyBorder="1" applyAlignment="1">
      <alignment horizontal="center" vertical="top"/>
    </xf>
    <xf numFmtId="0" fontId="13" fillId="0" borderId="0" xfId="0" applyFont="1" applyAlignment="1">
      <alignment vertical="top"/>
    </xf>
    <xf numFmtId="0" fontId="3" fillId="0" borderId="0" xfId="0" applyFont="1" applyAlignment="1">
      <alignment vertical="top"/>
    </xf>
    <xf numFmtId="0" fontId="18" fillId="11" borderId="4" xfId="0" applyFont="1" applyFill="1" applyBorder="1" applyAlignment="1">
      <alignment vertical="top"/>
    </xf>
    <xf numFmtId="0" fontId="36" fillId="11" borderId="3" xfId="0" applyFont="1" applyFill="1" applyBorder="1" applyAlignment="1">
      <alignment horizontal="right" vertical="top"/>
    </xf>
    <xf numFmtId="0" fontId="36" fillId="11" borderId="3" xfId="0" applyFont="1" applyFill="1" applyBorder="1" applyAlignment="1">
      <alignment vertical="top"/>
    </xf>
    <xf numFmtId="0" fontId="36" fillId="11" borderId="3" xfId="0" applyFont="1" applyFill="1" applyBorder="1" applyAlignment="1">
      <alignment horizontal="center" vertical="top"/>
    </xf>
    <xf numFmtId="0" fontId="18" fillId="11" borderId="3" xfId="0" applyFont="1" applyFill="1" applyBorder="1" applyAlignment="1">
      <alignment vertical="top"/>
    </xf>
    <xf numFmtId="0" fontId="18" fillId="0" borderId="0" xfId="0" applyFont="1" applyAlignment="1">
      <alignment vertical="top"/>
    </xf>
    <xf numFmtId="0" fontId="15" fillId="0" borderId="11" xfId="0" applyFont="1" applyBorder="1" applyAlignment="1">
      <alignment vertical="top"/>
    </xf>
    <xf numFmtId="0" fontId="18" fillId="11" borderId="4" xfId="0" applyFont="1" applyFill="1" applyBorder="1" applyAlignment="1">
      <alignment vertical="top"/>
    </xf>
    <xf numFmtId="0" fontId="18" fillId="0" borderId="12" xfId="0" applyFont="1" applyBorder="1" applyAlignment="1">
      <alignment horizontal="center" vertical="top"/>
    </xf>
    <xf numFmtId="0" fontId="18" fillId="0" borderId="12" xfId="0" applyFont="1" applyBorder="1" applyAlignment="1">
      <alignment horizontal="left" vertical="top" wrapText="1"/>
    </xf>
    <xf numFmtId="4" fontId="18" fillId="0" borderId="4" xfId="0" applyNumberFormat="1" applyFont="1" applyBorder="1" applyAlignment="1">
      <alignment horizontal="center" vertical="top"/>
    </xf>
    <xf numFmtId="0" fontId="18" fillId="11" borderId="12" xfId="0" applyFont="1" applyFill="1" applyBorder="1" applyAlignment="1">
      <alignment vertical="top"/>
    </xf>
    <xf numFmtId="0" fontId="18" fillId="0" borderId="0" xfId="0" applyFont="1" applyAlignment="1">
      <alignment vertical="top"/>
    </xf>
    <xf numFmtId="0" fontId="15" fillId="0" borderId="0" xfId="0" applyFont="1" applyAlignment="1">
      <alignment vertical="top"/>
    </xf>
    <xf numFmtId="4" fontId="18" fillId="0" borderId="5" xfId="0" applyNumberFormat="1" applyFont="1" applyBorder="1" applyAlignment="1">
      <alignment horizontal="center" vertical="top"/>
    </xf>
    <xf numFmtId="0" fontId="18" fillId="0" borderId="12" xfId="0" applyFont="1" applyBorder="1" applyAlignment="1">
      <alignment vertical="top"/>
    </xf>
    <xf numFmtId="0" fontId="18" fillId="0" borderId="12" xfId="0" applyFont="1" applyBorder="1" applyAlignment="1">
      <alignment horizontal="center" vertical="top"/>
    </xf>
    <xf numFmtId="0" fontId="37" fillId="0" borderId="12" xfId="0" applyFont="1" applyBorder="1" applyAlignment="1">
      <alignment horizontal="center" vertical="top"/>
    </xf>
    <xf numFmtId="0" fontId="18" fillId="0" borderId="6" xfId="0" applyFont="1" applyBorder="1" applyAlignment="1">
      <alignment vertical="top"/>
    </xf>
    <xf numFmtId="0" fontId="18" fillId="12" borderId="5" xfId="0" applyFont="1" applyFill="1" applyBorder="1" applyAlignment="1">
      <alignment vertical="top"/>
    </xf>
    <xf numFmtId="0" fontId="36" fillId="12" borderId="12" xfId="0" applyFont="1" applyFill="1" applyBorder="1" applyAlignment="1">
      <alignment horizontal="right" vertical="top"/>
    </xf>
    <xf numFmtId="0" fontId="36" fillId="12" borderId="12" xfId="0" applyFont="1" applyFill="1" applyBorder="1" applyAlignment="1">
      <alignment vertical="top"/>
    </xf>
    <xf numFmtId="0" fontId="36" fillId="12" borderId="12" xfId="0" applyFont="1" applyFill="1" applyBorder="1" applyAlignment="1">
      <alignment horizontal="center" vertical="top"/>
    </xf>
    <xf numFmtId="0" fontId="18" fillId="12" borderId="12" xfId="0" applyFont="1" applyFill="1" applyBorder="1" applyAlignment="1">
      <alignment vertical="top"/>
    </xf>
    <xf numFmtId="0" fontId="18" fillId="12" borderId="4" xfId="0" applyFont="1" applyFill="1" applyBorder="1" applyAlignment="1">
      <alignment vertical="top"/>
    </xf>
    <xf numFmtId="0" fontId="36" fillId="12" borderId="3" xfId="0" applyFont="1" applyFill="1" applyBorder="1" applyAlignment="1">
      <alignment horizontal="right" vertical="top"/>
    </xf>
    <xf numFmtId="0" fontId="18" fillId="12" borderId="4" xfId="0" applyFont="1" applyFill="1" applyBorder="1" applyAlignment="1">
      <alignment vertical="top"/>
    </xf>
    <xf numFmtId="0" fontId="18" fillId="12" borderId="12" xfId="0" applyFont="1" applyFill="1" applyBorder="1" applyAlignment="1">
      <alignment vertical="top"/>
    </xf>
    <xf numFmtId="0" fontId="18" fillId="11" borderId="5" xfId="0" applyFont="1" applyFill="1" applyBorder="1" applyAlignment="1">
      <alignment vertical="top"/>
    </xf>
    <xf numFmtId="0" fontId="36" fillId="11" borderId="12" xfId="0" applyFont="1" applyFill="1" applyBorder="1" applyAlignment="1">
      <alignment horizontal="right" vertical="top"/>
    </xf>
    <xf numFmtId="0" fontId="36" fillId="11" borderId="12" xfId="0" applyFont="1" applyFill="1" applyBorder="1" applyAlignment="1">
      <alignment vertical="top"/>
    </xf>
    <xf numFmtId="0" fontId="36" fillId="11" borderId="12" xfId="0" applyFont="1" applyFill="1" applyBorder="1" applyAlignment="1">
      <alignment horizontal="center" vertical="top"/>
    </xf>
    <xf numFmtId="0" fontId="18" fillId="11" borderId="12" xfId="0" applyFont="1" applyFill="1" applyBorder="1" applyAlignment="1">
      <alignment vertical="top"/>
    </xf>
    <xf numFmtId="0" fontId="37" fillId="0" borderId="0" xfId="0" applyFont="1" applyAlignment="1">
      <alignment vertical="top"/>
    </xf>
    <xf numFmtId="0" fontId="8" fillId="0" borderId="0" xfId="0" applyFont="1" applyAlignment="1">
      <alignment vertical="top"/>
    </xf>
    <xf numFmtId="0" fontId="38" fillId="0" borderId="0" xfId="0" applyFont="1" applyAlignment="1">
      <alignment vertical="top"/>
    </xf>
    <xf numFmtId="0" fontId="7" fillId="0" borderId="0" xfId="0" applyFont="1" applyAlignment="1">
      <alignment vertical="top"/>
    </xf>
    <xf numFmtId="0" fontId="38" fillId="0" borderId="0" xfId="0" applyFont="1" applyAlignment="1">
      <alignment vertical="top"/>
    </xf>
    <xf numFmtId="0" fontId="8" fillId="0" borderId="0" xfId="0" applyFont="1" applyAlignment="1">
      <alignment vertical="top" wrapText="1"/>
    </xf>
    <xf numFmtId="0" fontId="37" fillId="0" borderId="0" xfId="0" applyFont="1" applyAlignment="1">
      <alignment vertical="top"/>
    </xf>
    <xf numFmtId="0" fontId="18" fillId="0" borderId="0" xfId="0" applyFont="1" applyAlignment="1">
      <alignment vertical="top" wrapText="1"/>
    </xf>
    <xf numFmtId="0" fontId="39" fillId="2" borderId="0" xfId="0" applyFont="1" applyFill="1" applyAlignment="1">
      <alignment horizontal="center" vertical="top"/>
    </xf>
    <xf numFmtId="0" fontId="10" fillId="2" borderId="0" xfId="0" applyFont="1" applyFill="1" applyAlignment="1">
      <alignment vertical="top"/>
    </xf>
    <xf numFmtId="0" fontId="16" fillId="2" borderId="0" xfId="0" applyFont="1" applyFill="1" applyAlignment="1">
      <alignment horizontal="right" vertical="top"/>
    </xf>
    <xf numFmtId="0" fontId="29" fillId="2" borderId="0" xfId="0" applyFont="1" applyFill="1" applyAlignment="1">
      <alignment horizontal="center" vertical="top"/>
    </xf>
    <xf numFmtId="0" fontId="30" fillId="2" borderId="0" xfId="0" applyFont="1" applyFill="1" applyAlignment="1">
      <alignment vertical="top"/>
    </xf>
    <xf numFmtId="0" fontId="30" fillId="2" borderId="0" xfId="0" applyFont="1" applyFill="1" applyAlignment="1">
      <alignment vertical="top"/>
    </xf>
    <xf numFmtId="0" fontId="15" fillId="2" borderId="0" xfId="0" applyFont="1" applyFill="1" applyAlignment="1">
      <alignment horizontal="right" vertical="top"/>
    </xf>
    <xf numFmtId="0" fontId="41" fillId="2" borderId="0" xfId="0" applyFont="1" applyFill="1" applyAlignment="1">
      <alignment horizontal="center" vertical="top"/>
    </xf>
    <xf numFmtId="0" fontId="9" fillId="2" borderId="0" xfId="0" applyFont="1" applyFill="1" applyAlignment="1">
      <alignment vertical="top"/>
    </xf>
    <xf numFmtId="0" fontId="13" fillId="2" borderId="0" xfId="0" applyFont="1" applyFill="1" applyAlignment="1">
      <alignment vertical="top"/>
    </xf>
    <xf numFmtId="0" fontId="13" fillId="2" borderId="0" xfId="0" applyFont="1" applyFill="1" applyAlignment="1">
      <alignment vertical="top"/>
    </xf>
    <xf numFmtId="0" fontId="12" fillId="2" borderId="0" xfId="0" applyFont="1" applyFill="1" applyAlignment="1">
      <alignment vertical="top"/>
    </xf>
    <xf numFmtId="0" fontId="14" fillId="2" borderId="0" xfId="0" applyFont="1" applyFill="1" applyAlignment="1">
      <alignment horizontal="right" vertical="top"/>
    </xf>
    <xf numFmtId="0" fontId="10" fillId="2" borderId="0" xfId="0" applyFont="1" applyFill="1" applyAlignment="1">
      <alignment horizontal="right" vertical="top"/>
    </xf>
    <xf numFmtId="0" fontId="14" fillId="2" borderId="6" xfId="0" applyFont="1" applyFill="1" applyBorder="1" applyAlignment="1">
      <alignment horizontal="right" vertical="top"/>
    </xf>
    <xf numFmtId="0" fontId="6" fillId="7" borderId="1" xfId="0" applyFont="1" applyFill="1" applyBorder="1" applyAlignment="1">
      <alignment horizontal="right" vertical="top"/>
    </xf>
    <xf numFmtId="0" fontId="33" fillId="7" borderId="4" xfId="0" applyFont="1" applyFill="1" applyBorder="1" applyAlignment="1">
      <alignment horizontal="center" vertical="top"/>
    </xf>
    <xf numFmtId="0" fontId="34" fillId="7"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35" fillId="9" borderId="4" xfId="0" applyFont="1" applyFill="1" applyBorder="1" applyAlignment="1">
      <alignment horizontal="center" vertical="top"/>
    </xf>
    <xf numFmtId="0" fontId="34" fillId="9" borderId="4" xfId="0" applyFont="1" applyFill="1" applyBorder="1" applyAlignment="1">
      <alignment vertical="top"/>
    </xf>
    <xf numFmtId="0" fontId="20" fillId="7" borderId="4" xfId="0" applyFont="1" applyFill="1" applyBorder="1" applyAlignment="1">
      <alignment vertical="top"/>
    </xf>
    <xf numFmtId="0" fontId="5" fillId="7" borderId="4" xfId="0" applyFont="1" applyFill="1" applyBorder="1" applyAlignment="1">
      <alignment horizontal="center" vertical="top"/>
    </xf>
    <xf numFmtId="0" fontId="34" fillId="0" borderId="0" xfId="0" applyFont="1" applyAlignment="1">
      <alignment vertical="top"/>
    </xf>
    <xf numFmtId="0" fontId="4" fillId="0" borderId="0" xfId="0" applyFont="1" applyAlignment="1">
      <alignment vertical="top"/>
    </xf>
    <xf numFmtId="0" fontId="5" fillId="9" borderId="4" xfId="0" applyFont="1" applyFill="1" applyBorder="1" applyAlignment="1">
      <alignment horizontal="center" vertical="top"/>
    </xf>
    <xf numFmtId="0" fontId="20" fillId="2" borderId="0" xfId="0" applyFont="1" applyFill="1" applyAlignment="1">
      <alignment vertical="top"/>
    </xf>
    <xf numFmtId="0" fontId="19" fillId="2" borderId="0" xfId="0" applyFont="1" applyFill="1" applyAlignment="1">
      <alignment horizontal="right" vertical="top"/>
    </xf>
    <xf numFmtId="0" fontId="18" fillId="11" borderId="4" xfId="0" applyFont="1" applyFill="1" applyBorder="1" applyAlignment="1"/>
    <xf numFmtId="0" fontId="18" fillId="11" borderId="4" xfId="0" applyFont="1" applyFill="1" applyBorder="1" applyAlignment="1"/>
    <xf numFmtId="0" fontId="18" fillId="0" borderId="0" xfId="0" applyFont="1" applyAlignment="1"/>
    <xf numFmtId="0" fontId="18" fillId="0" borderId="6" xfId="0" applyFont="1" applyBorder="1" applyAlignment="1"/>
    <xf numFmtId="0" fontId="18" fillId="12" borderId="5" xfId="0" applyFont="1" applyFill="1" applyBorder="1" applyAlignment="1"/>
    <xf numFmtId="0" fontId="18" fillId="12" borderId="4" xfId="0" applyFont="1" applyFill="1" applyBorder="1" applyAlignment="1"/>
    <xf numFmtId="0" fontId="18" fillId="11" borderId="5" xfId="0" applyFont="1" applyFill="1" applyBorder="1" applyAlignment="1"/>
    <xf numFmtId="0" fontId="6" fillId="0" borderId="0" xfId="0" applyFont="1" applyAlignment="1"/>
    <xf numFmtId="0" fontId="19" fillId="0" borderId="0" xfId="0" applyFont="1" applyAlignment="1">
      <alignment horizontal="center" vertical="top" wrapText="1"/>
    </xf>
    <xf numFmtId="0" fontId="19" fillId="0" borderId="0" xfId="0" applyFont="1" applyAlignment="1">
      <alignment vertical="top"/>
    </xf>
    <xf numFmtId="0" fontId="19" fillId="0" borderId="0" xfId="0" applyFont="1" applyAlignment="1">
      <alignment horizontal="center" vertical="top"/>
    </xf>
    <xf numFmtId="0" fontId="19" fillId="0" borderId="0" xfId="0" applyFont="1" applyAlignment="1">
      <alignment vertical="top"/>
    </xf>
    <xf numFmtId="0" fontId="13" fillId="0" borderId="0" xfId="0" applyFont="1" applyAlignment="1">
      <alignment wrapText="1"/>
    </xf>
    <xf numFmtId="0" fontId="3" fillId="0" borderId="0" xfId="0" applyFont="1" applyAlignment="1"/>
    <xf numFmtId="0" fontId="3" fillId="0" borderId="0" xfId="0" applyFont="1" applyAlignment="1">
      <alignment vertical="top"/>
    </xf>
    <xf numFmtId="0" fontId="42"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Alignment="1">
      <alignment wrapText="1"/>
    </xf>
    <xf numFmtId="0" fontId="3" fillId="0" borderId="0" xfId="0" applyFont="1" applyAlignment="1">
      <alignment vertical="top"/>
    </xf>
    <xf numFmtId="0" fontId="3" fillId="0" borderId="0" xfId="0" applyFont="1" applyAlignment="1">
      <alignment wrapText="1"/>
    </xf>
    <xf numFmtId="0" fontId="42" fillId="0" borderId="0" xfId="0" applyFont="1" applyAlignment="1">
      <alignment vertical="center"/>
    </xf>
    <xf numFmtId="0" fontId="42" fillId="0" borderId="0" xfId="0" applyFont="1" applyAlignment="1">
      <alignment vertical="center"/>
    </xf>
    <xf numFmtId="0" fontId="3" fillId="0" borderId="0" xfId="0" applyFont="1" applyAlignment="1">
      <alignment vertical="center"/>
    </xf>
    <xf numFmtId="0" fontId="3" fillId="0" borderId="0" xfId="0" applyFont="1"/>
    <xf numFmtId="0" fontId="3" fillId="0" borderId="0" xfId="0" applyFont="1" applyAlignment="1">
      <alignment horizontal="center" vertical="top"/>
    </xf>
    <xf numFmtId="0" fontId="15" fillId="13" borderId="0" xfId="0" applyFont="1" applyFill="1" applyAlignment="1">
      <alignment horizontal="left"/>
    </xf>
    <xf numFmtId="0" fontId="10" fillId="13" borderId="0" xfId="0" applyFont="1" applyFill="1" applyAlignment="1">
      <alignment horizontal="left"/>
    </xf>
    <xf numFmtId="0" fontId="10" fillId="13" borderId="0" xfId="0" applyFont="1" applyFill="1" applyAlignment="1">
      <alignment horizontal="center"/>
    </xf>
    <xf numFmtId="0" fontId="10" fillId="13" borderId="0" xfId="0" applyFont="1" applyFill="1" applyAlignment="1">
      <alignment horizontal="center" wrapText="1"/>
    </xf>
    <xf numFmtId="0" fontId="13" fillId="13" borderId="0" xfId="0" applyFont="1" applyFill="1"/>
    <xf numFmtId="0" fontId="10" fillId="13" borderId="0" xfId="0" applyFont="1" applyFill="1" applyAlignment="1">
      <alignment horizontal="left"/>
    </xf>
    <xf numFmtId="0" fontId="10" fillId="13" borderId="0" xfId="0" applyFont="1" applyFill="1" applyAlignment="1">
      <alignment horizontal="right"/>
    </xf>
    <xf numFmtId="0" fontId="10" fillId="13" borderId="0" xfId="0" applyFont="1" applyFill="1" applyAlignment="1">
      <alignment horizontal="left"/>
    </xf>
    <xf numFmtId="0" fontId="6" fillId="0" borderId="0" xfId="0" applyFont="1" applyAlignment="1">
      <alignment horizontal="center"/>
    </xf>
    <xf numFmtId="0" fontId="6" fillId="0" borderId="0" xfId="0" applyFont="1" applyAlignment="1">
      <alignment wrapText="1"/>
    </xf>
    <xf numFmtId="0" fontId="37"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43" fillId="0" borderId="0" xfId="0" applyFont="1" applyAlignment="1"/>
    <xf numFmtId="0" fontId="44" fillId="5" borderId="0" xfId="0" applyFont="1" applyFill="1" applyAlignment="1"/>
    <xf numFmtId="0" fontId="44" fillId="5" borderId="15" xfId="0" applyFont="1" applyFill="1" applyBorder="1" applyAlignment="1"/>
    <xf numFmtId="0" fontId="45" fillId="0" borderId="0" xfId="0" applyFont="1" applyAlignment="1">
      <alignment horizontal="left"/>
    </xf>
    <xf numFmtId="0" fontId="22" fillId="0" borderId="0" xfId="0" applyFont="1"/>
    <xf numFmtId="0" fontId="3" fillId="0" borderId="0" xfId="0" applyFont="1" applyAlignment="1">
      <alignment horizontal="center"/>
    </xf>
    <xf numFmtId="0" fontId="46" fillId="0" borderId="0" xfId="0" applyFont="1"/>
    <xf numFmtId="0" fontId="47" fillId="0" borderId="0" xfId="0" applyFont="1" applyAlignment="1">
      <alignment horizontal="center"/>
    </xf>
    <xf numFmtId="0" fontId="47" fillId="0" borderId="0" xfId="0" applyFont="1"/>
    <xf numFmtId="0" fontId="15" fillId="13" borderId="0" xfId="0" applyFont="1" applyFill="1" applyAlignment="1">
      <alignment horizontal="center"/>
    </xf>
    <xf numFmtId="0" fontId="48" fillId="13" borderId="0" xfId="0" applyFont="1" applyFill="1" applyAlignment="1">
      <alignment horizontal="left"/>
    </xf>
    <xf numFmtId="0" fontId="18" fillId="8" borderId="7" xfId="0" applyFont="1" applyFill="1" applyBorder="1" applyAlignment="1">
      <alignment horizontal="center"/>
    </xf>
    <xf numFmtId="0" fontId="37" fillId="7" borderId="0" xfId="0" applyFont="1" applyFill="1" applyAlignment="1">
      <alignment horizontal="left"/>
    </xf>
    <xf numFmtId="0" fontId="37" fillId="7" borderId="0" xfId="0" applyFont="1" applyFill="1" applyAlignment="1">
      <alignment horizontal="center"/>
    </xf>
    <xf numFmtId="0" fontId="37" fillId="15" borderId="0" xfId="0" applyFont="1" applyFill="1" applyAlignment="1">
      <alignment horizontal="center" wrapText="1"/>
    </xf>
    <xf numFmtId="0" fontId="37" fillId="16" borderId="0" xfId="0" applyFont="1" applyFill="1" applyAlignment="1">
      <alignment horizontal="center" wrapText="1"/>
    </xf>
    <xf numFmtId="0" fontId="37" fillId="16" borderId="16" xfId="0" applyFont="1" applyFill="1" applyBorder="1" applyAlignment="1">
      <alignment horizontal="center" wrapText="1"/>
    </xf>
    <xf numFmtId="0" fontId="47" fillId="7" borderId="0" xfId="0" applyFont="1" applyFill="1" applyAlignment="1">
      <alignment horizontal="center"/>
    </xf>
    <xf numFmtId="0" fontId="49" fillId="7" borderId="0" xfId="0" applyFont="1" applyFill="1" applyAlignment="1">
      <alignment horizontal="left"/>
    </xf>
    <xf numFmtId="0" fontId="47" fillId="7" borderId="0" xfId="0" applyFont="1" applyFill="1" applyAlignment="1">
      <alignment horizontal="center"/>
    </xf>
    <xf numFmtId="0" fontId="47" fillId="15" borderId="0" xfId="0" applyFont="1" applyFill="1" applyAlignment="1">
      <alignment horizontal="center"/>
    </xf>
    <xf numFmtId="0" fontId="18" fillId="8" borderId="7" xfId="0" applyFont="1" applyFill="1" applyBorder="1" applyAlignment="1"/>
    <xf numFmtId="0" fontId="18" fillId="8" borderId="17" xfId="0" applyFont="1" applyFill="1" applyBorder="1" applyAlignment="1"/>
    <xf numFmtId="0" fontId="18" fillId="8" borderId="18" xfId="0" applyFont="1" applyFill="1" applyBorder="1" applyAlignment="1">
      <alignment horizontal="center"/>
    </xf>
    <xf numFmtId="0" fontId="18" fillId="16" borderId="0" xfId="0" applyFont="1" applyFill="1" applyAlignment="1">
      <alignment horizontal="center"/>
    </xf>
    <xf numFmtId="0" fontId="49" fillId="7" borderId="0" xfId="0" applyFont="1" applyFill="1" applyAlignment="1">
      <alignment horizontal="left"/>
    </xf>
    <xf numFmtId="0" fontId="18" fillId="16" borderId="0" xfId="0" applyFont="1" applyFill="1" applyAlignment="1">
      <alignment horizontal="center"/>
    </xf>
    <xf numFmtId="0" fontId="50" fillId="7" borderId="0" xfId="0" applyFont="1" applyFill="1" applyAlignment="1">
      <alignment horizontal="left"/>
    </xf>
    <xf numFmtId="0" fontId="47" fillId="0" borderId="0" xfId="0" applyFont="1" applyAlignment="1">
      <alignment horizontal="center"/>
    </xf>
    <xf numFmtId="0" fontId="12" fillId="13" borderId="0" xfId="0" applyFont="1" applyFill="1" applyAlignment="1">
      <alignment horizontal="left"/>
    </xf>
    <xf numFmtId="0" fontId="12" fillId="13" borderId="0" xfId="0" applyFont="1" applyFill="1" applyAlignment="1">
      <alignment horizontal="center"/>
    </xf>
    <xf numFmtId="0" fontId="12" fillId="13" borderId="0" xfId="0" applyFont="1" applyFill="1" applyAlignment="1"/>
    <xf numFmtId="0" fontId="12" fillId="13" borderId="0" xfId="0" applyFont="1" applyFill="1"/>
    <xf numFmtId="0" fontId="6" fillId="3" borderId="0" xfId="0" applyFont="1" applyFill="1" applyAlignment="1">
      <alignment horizontal="center"/>
    </xf>
    <xf numFmtId="0" fontId="6" fillId="0" borderId="0" xfId="0" applyFont="1"/>
    <xf numFmtId="0" fontId="6" fillId="0" borderId="0" xfId="0" applyFont="1" applyAlignment="1">
      <alignment horizontal="center" wrapText="1"/>
    </xf>
    <xf numFmtId="0" fontId="3" fillId="17" borderId="0" xfId="0" applyFont="1" applyFill="1" applyAlignment="1">
      <alignment horizontal="left"/>
    </xf>
    <xf numFmtId="0" fontId="3" fillId="0" borderId="0" xfId="0" applyFont="1" applyAlignment="1">
      <alignment horizontal="left"/>
    </xf>
    <xf numFmtId="0" fontId="3" fillId="0" borderId="0" xfId="0" applyFont="1" applyAlignment="1"/>
    <xf numFmtId="0" fontId="3" fillId="0" borderId="0" xfId="0" applyFont="1" applyAlignment="1">
      <alignment horizontal="left"/>
    </xf>
    <xf numFmtId="164" fontId="3" fillId="0" borderId="0" xfId="0" applyNumberFormat="1" applyFont="1" applyAlignment="1">
      <alignment horizontal="left"/>
    </xf>
    <xf numFmtId="0" fontId="6" fillId="0" borderId="0" xfId="0" applyFont="1" applyAlignment="1">
      <alignment vertical="top"/>
    </xf>
    <xf numFmtId="0" fontId="6" fillId="0" borderId="0" xfId="0" applyFont="1" applyAlignment="1">
      <alignment horizontal="left" vertical="top" wrapText="1"/>
    </xf>
    <xf numFmtId="0" fontId="1" fillId="2" borderId="0" xfId="0" applyFont="1" applyFill="1" applyAlignment="1">
      <alignment horizontal="center"/>
    </xf>
    <xf numFmtId="0" fontId="0" fillId="0" borderId="0" xfId="0" applyFont="1" applyAlignment="1"/>
    <xf numFmtId="0" fontId="3" fillId="0" borderId="2" xfId="0" applyFont="1" applyBorder="1"/>
    <xf numFmtId="0" fontId="3" fillId="0" borderId="3" xfId="0" applyFont="1" applyBorder="1"/>
    <xf numFmtId="0" fontId="3" fillId="0" borderId="0" xfId="0" applyFont="1" applyAlignment="1">
      <alignment wrapText="1"/>
    </xf>
    <xf numFmtId="0" fontId="6" fillId="0" borderId="1" xfId="0" applyFont="1" applyBorder="1" applyAlignment="1">
      <alignment horizontal="center" vertical="top"/>
    </xf>
    <xf numFmtId="0" fontId="8" fillId="4" borderId="1" xfId="0" applyFont="1" applyFill="1" applyBorder="1" applyAlignment="1">
      <alignment vertical="top"/>
    </xf>
    <xf numFmtId="0" fontId="8" fillId="0" borderId="0" xfId="0" applyFont="1" applyAlignment="1">
      <alignment vertical="top"/>
    </xf>
    <xf numFmtId="0" fontId="18" fillId="4" borderId="1" xfId="0" applyFont="1" applyFill="1" applyBorder="1" applyAlignment="1">
      <alignment vertical="top" wrapText="1"/>
    </xf>
    <xf numFmtId="0" fontId="7" fillId="4" borderId="8" xfId="0" applyFont="1" applyFill="1" applyBorder="1" applyAlignment="1">
      <alignment vertical="top" wrapText="1"/>
    </xf>
    <xf numFmtId="0" fontId="3" fillId="0" borderId="10" xfId="0" applyFont="1" applyBorder="1"/>
    <xf numFmtId="0" fontId="3" fillId="0" borderId="9" xfId="0" applyFont="1" applyBorder="1"/>
    <xf numFmtId="0" fontId="3" fillId="0" borderId="14" xfId="0" applyFont="1" applyBorder="1"/>
    <xf numFmtId="0" fontId="3" fillId="0" borderId="11" xfId="0" applyFont="1" applyBorder="1"/>
    <xf numFmtId="0" fontId="3" fillId="0" borderId="13" xfId="0" applyFont="1" applyBorder="1"/>
    <xf numFmtId="0" fontId="3" fillId="0" borderId="6" xfId="0" applyFont="1" applyBorder="1"/>
    <xf numFmtId="0" fontId="3" fillId="0" borderId="12" xfId="0" applyFont="1" applyBorder="1"/>
    <xf numFmtId="14" fontId="40" fillId="2" borderId="0" xfId="0" applyNumberFormat="1" applyFont="1" applyFill="1" applyAlignment="1">
      <alignment horizontal="left" vertical="top"/>
    </xf>
    <xf numFmtId="14" fontId="32" fillId="2" borderId="0" xfId="0" applyNumberFormat="1" applyFont="1" applyFill="1" applyAlignment="1">
      <alignment horizontal="left" vertical="top"/>
    </xf>
    <xf numFmtId="0" fontId="5" fillId="9" borderId="1" xfId="0" applyFont="1" applyFill="1" applyBorder="1" applyAlignment="1">
      <alignment horizontal="right" vertical="top"/>
    </xf>
    <xf numFmtId="0" fontId="4" fillId="9" borderId="1" xfId="0" applyFont="1" applyFill="1" applyBorder="1" applyAlignment="1">
      <alignment horizontal="center" vertical="top" wrapText="1"/>
    </xf>
    <xf numFmtId="0" fontId="34" fillId="9" borderId="1" xfId="0" applyFont="1" applyFill="1" applyBorder="1" applyAlignment="1">
      <alignment horizontal="right" vertical="top"/>
    </xf>
    <xf numFmtId="0" fontId="4" fillId="9" borderId="2" xfId="0" applyFont="1" applyFill="1" applyBorder="1" applyAlignment="1">
      <alignment horizontal="center" vertical="top"/>
    </xf>
    <xf numFmtId="14" fontId="16" fillId="2" borderId="0" xfId="0" applyNumberFormat="1" applyFont="1" applyFill="1" applyAlignment="1">
      <alignment horizontal="right" vertical="top"/>
    </xf>
    <xf numFmtId="0" fontId="18" fillId="4" borderId="8" xfId="0" applyFont="1" applyFill="1" applyBorder="1" applyAlignment="1">
      <alignment vertical="top" wrapText="1"/>
    </xf>
    <xf numFmtId="0" fontId="3" fillId="4" borderId="8" xfId="0" applyFont="1" applyFill="1" applyBorder="1" applyAlignment="1">
      <alignment horizontal="center" vertical="top"/>
    </xf>
    <xf numFmtId="0" fontId="5" fillId="7" borderId="1" xfId="0" applyFont="1" applyFill="1" applyBorder="1" applyAlignment="1">
      <alignment horizontal="right" vertical="top"/>
    </xf>
    <xf numFmtId="0" fontId="4" fillId="7" borderId="1" xfId="0" applyFont="1" applyFill="1" applyBorder="1" applyAlignment="1">
      <alignment horizontal="center" vertical="top" wrapText="1"/>
    </xf>
    <xf numFmtId="0" fontId="34" fillId="7" borderId="1" xfId="0" applyFont="1" applyFill="1" applyBorder="1" applyAlignment="1">
      <alignment horizontal="right" vertical="top"/>
    </xf>
    <xf numFmtId="0" fontId="4" fillId="7" borderId="2" xfId="0" applyFont="1" applyFill="1" applyBorder="1" applyAlignment="1">
      <alignment horizontal="center" vertical="top"/>
    </xf>
    <xf numFmtId="0" fontId="23" fillId="6" borderId="1" xfId="0" applyFont="1" applyFill="1" applyBorder="1" applyAlignment="1">
      <alignment horizontal="center"/>
    </xf>
    <xf numFmtId="0" fontId="26" fillId="2" borderId="0" xfId="0" applyFont="1" applyFill="1" applyAlignment="1">
      <alignment horizontal="center"/>
    </xf>
    <xf numFmtId="0" fontId="1" fillId="2" borderId="0" xfId="0" applyFont="1" applyFill="1" applyAlignment="1">
      <alignment horizontal="left"/>
    </xf>
    <xf numFmtId="0" fontId="17" fillId="7" borderId="1" xfId="0" applyFont="1" applyFill="1" applyBorder="1" applyAlignment="1">
      <alignment horizontal="center"/>
    </xf>
    <xf numFmtId="0" fontId="11" fillId="7" borderId="1" xfId="0" applyFont="1" applyFill="1" applyBorder="1" applyAlignment="1">
      <alignment horizontal="center"/>
    </xf>
    <xf numFmtId="0" fontId="17" fillId="6" borderId="1" xfId="0" applyFont="1" applyFill="1" applyBorder="1" applyAlignment="1">
      <alignment horizontal="center"/>
    </xf>
    <xf numFmtId="0" fontId="11" fillId="6" borderId="1" xfId="0" applyFont="1" applyFill="1" applyBorder="1" applyAlignment="1">
      <alignment horizontal="center"/>
    </xf>
    <xf numFmtId="0" fontId="17" fillId="6" borderId="8" xfId="0" applyFont="1" applyFill="1" applyBorder="1" applyAlignment="1">
      <alignment horizontal="center"/>
    </xf>
    <xf numFmtId="0" fontId="11" fillId="6" borderId="8" xfId="0" applyFont="1" applyFill="1" applyBorder="1" applyAlignment="1">
      <alignment horizontal="center"/>
    </xf>
    <xf numFmtId="0" fontId="17" fillId="7" borderId="8" xfId="0" applyFont="1" applyFill="1" applyBorder="1" applyAlignment="1">
      <alignment horizontal="center"/>
    </xf>
    <xf numFmtId="0" fontId="4" fillId="7" borderId="1" xfId="0" applyFont="1" applyFill="1" applyBorder="1" applyAlignment="1">
      <alignment horizontal="center" vertical="center" wrapText="1"/>
    </xf>
    <xf numFmtId="0" fontId="4" fillId="7" borderId="2" xfId="0" applyFont="1" applyFill="1" applyBorder="1" applyAlignment="1">
      <alignment horizontal="center"/>
    </xf>
    <xf numFmtId="14" fontId="16" fillId="2" borderId="0" xfId="0" applyNumberFormat="1" applyFont="1" applyFill="1" applyAlignment="1">
      <alignment horizontal="right"/>
    </xf>
    <xf numFmtId="14" fontId="32" fillId="2" borderId="0" xfId="0" applyNumberFormat="1" applyFont="1" applyFill="1" applyAlignment="1">
      <alignment horizontal="left"/>
    </xf>
    <xf numFmtId="0" fontId="4" fillId="9" borderId="1" xfId="0" applyFont="1" applyFill="1" applyBorder="1" applyAlignment="1">
      <alignment horizontal="center" vertical="center" wrapText="1"/>
    </xf>
    <xf numFmtId="0" fontId="34" fillId="9" borderId="1" xfId="0" applyFont="1" applyFill="1" applyBorder="1" applyAlignment="1">
      <alignment horizontal="right"/>
    </xf>
    <xf numFmtId="0" fontId="4" fillId="9" borderId="2" xfId="0" applyFont="1" applyFill="1" applyBorder="1" applyAlignment="1">
      <alignment horizontal="center"/>
    </xf>
    <xf numFmtId="0" fontId="34" fillId="7" borderId="1" xfId="0" applyFont="1" applyFill="1" applyBorder="1" applyAlignment="1">
      <alignment horizontal="right"/>
    </xf>
    <xf numFmtId="0" fontId="3" fillId="4" borderId="8" xfId="0" applyFont="1" applyFill="1" applyBorder="1" applyAlignment="1">
      <alignment horizontal="left" vertical="top" wrapText="1"/>
    </xf>
    <xf numFmtId="0" fontId="7" fillId="4" borderId="8" xfId="0" applyFont="1" applyFill="1" applyBorder="1" applyAlignment="1">
      <alignment horizontal="left" vertical="top" wrapText="1"/>
    </xf>
    <xf numFmtId="0" fontId="5" fillId="7" borderId="1" xfId="0" applyFont="1" applyFill="1" applyBorder="1" applyAlignment="1">
      <alignment horizontal="right" vertical="center"/>
    </xf>
    <xf numFmtId="0" fontId="5" fillId="9" borderId="1" xfId="0" applyFont="1" applyFill="1" applyBorder="1" applyAlignment="1">
      <alignment horizontal="right" vertical="center"/>
    </xf>
    <xf numFmtId="0" fontId="6" fillId="3" borderId="0" xfId="0" applyFont="1" applyFill="1" applyAlignment="1">
      <alignment horizontal="center"/>
    </xf>
  </cellXfs>
  <cellStyles count="1">
    <cellStyle name="Normal" xfId="0" builtinId="0"/>
  </cellStyles>
  <dxfs count="2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DDCE8"/>
          <bgColor rgb="FFFDDCE8"/>
        </patternFill>
      </fill>
    </dxf>
    <dxf>
      <fill>
        <patternFill patternType="solid">
          <fgColor rgb="FFFFFFFF"/>
          <bgColor rgb="FFFFFFFF"/>
        </patternFill>
      </fill>
    </dxf>
    <dxf>
      <fill>
        <patternFill patternType="solid">
          <fgColor rgb="FFE91D63"/>
          <bgColor rgb="FFE91D63"/>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AdminDashboard-style" pivot="0" count="3" xr9:uid="{00000000-0011-0000-FFFF-FFFF00000000}">
      <tableStyleElement type="headerRow" dxfId="28"/>
      <tableStyleElement type="firstRowStripe" dxfId="27"/>
      <tableStyleElement type="secondRowStripe" dxfId="26"/>
    </tableStyle>
    <tableStyle name="AdminDashboard-style 2" pivot="0" count="3" xr9:uid="{00000000-0011-0000-FFFF-FFFF01000000}">
      <tableStyleElement type="headerRow" dxfId="25"/>
      <tableStyleElement type="firstRowStripe" dxfId="24"/>
      <tableStyleElement type="secondRowStripe" dxfId="23"/>
    </tableStyle>
    <tableStyle name="AdminDashboard-style 3" pivot="0" count="3" xr9:uid="{00000000-0011-0000-FFFF-FFFF02000000}">
      <tableStyleElement type="headerRow" dxfId="22"/>
      <tableStyleElement type="firstRowStripe" dxfId="21"/>
      <tableStyleElement type="secondRowStripe" dxfId="20"/>
    </tableStyle>
    <tableStyle name="Lookup-TOC-style" pivot="0" count="3" xr9:uid="{00000000-0011-0000-FFFF-FFFF03000000}">
      <tableStyleElement type="headerRow" dxfId="19"/>
      <tableStyleElement type="firstRowStripe" dxfId="18"/>
      <tableStyleElement type="secondRowStripe" dxfId="17"/>
    </tableStyle>
    <tableStyle name="Lookup-TOC-style 2" pivot="0" count="3" xr9:uid="{00000000-0011-0000-FFFF-FFFF04000000}">
      <tableStyleElement type="headerRow" dxfId="16"/>
      <tableStyleElement type="firstRowStripe" dxfId="15"/>
      <tableStyleElement type="secondRow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114300</xdr:colOff>
      <xdr:row>0</xdr:row>
      <xdr:rowOff>0</xdr:rowOff>
    </xdr:from>
    <xdr:ext cx="809625" cy="371475"/>
    <xdr:sp macro="" textlink="">
      <xdr:nvSpPr>
        <xdr:cNvPr id="19" name="Shape 19">
          <a:extLst>
            <a:ext uri="{FF2B5EF4-FFF2-40B4-BE49-F238E27FC236}">
              <a16:creationId xmlns:a16="http://schemas.microsoft.com/office/drawing/2014/main" id="{00000000-0008-0000-0B00-000013000000}"/>
            </a:ext>
          </a:extLst>
        </xdr:cNvPr>
        <xdr:cNvSpPr/>
      </xdr:nvSpPr>
      <xdr:spPr>
        <a:xfrm>
          <a:off x="348900" y="208775"/>
          <a:ext cx="1214400" cy="534300"/>
        </a:xfrm>
        <a:prstGeom prst="roundRect">
          <a:avLst>
            <a:gd name="adj" fmla="val 16667"/>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1400"/>
            <a:t>Process Actions</a:t>
          </a:r>
          <a:endParaRPr sz="14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1:D993" headerRowCount="0">
  <tableColumns count="3">
    <tableColumn id="1" xr3:uid="{00000000-0010-0000-0000-000001000000}" name="Column1"/>
    <tableColumn id="2" xr3:uid="{00000000-0010-0000-0000-000002000000}" name="Column2"/>
    <tableColumn id="3" xr3:uid="{00000000-0010-0000-0000-000003000000}" name="Column3"/>
  </tableColumns>
  <tableStyleInfo name="AdminDashboard-style" showFirstColumn="1" showLastColumn="1" showRowStripes="1" showColumnStripes="0"/>
  <extLst>
    <ext uri="GoogleSheetsCustomDataVersion1">
      <go:sheetsCustomData xmlns:go="http://customooxmlschemas.google.com/" headerRowCount="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Q1:Q993">
  <tableColumns count="1">
    <tableColumn id="1" xr3:uid="{00000000-0010-0000-0100-000001000000}" name="Processing Notes"/>
  </tableColumns>
  <tableStyleInfo name="AdminDashboard-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O993">
  <tableColumns count="11">
    <tableColumn id="1" xr3:uid="{00000000-0010-0000-0200-000001000000}" name="Action"/>
    <tableColumn id="2" xr3:uid="{00000000-0010-0000-0200-000002000000}" name="All"/>
    <tableColumn id="3" xr3:uid="{00000000-0010-0000-0200-000003000000}" name="Div1"/>
    <tableColumn id="4" xr3:uid="{00000000-0010-0000-0200-000004000000}" name="Div2"/>
    <tableColumn id="5" xr3:uid="{00000000-0010-0000-0200-000005000000}" name="Div3"/>
    <tableColumn id="6" xr3:uid="{00000000-0010-0000-0200-000006000000}" name="Div4"/>
    <tableColumn id="7" xr3:uid="{00000000-0010-0000-0200-000007000000}" name="Div5"/>
    <tableColumn id="8" xr3:uid="{00000000-0010-0000-0200-000008000000}" name="Div6"/>
    <tableColumn id="9" xr3:uid="{00000000-0010-0000-0200-000009000000}" name="Div7"/>
    <tableColumn id="10" xr3:uid="{00000000-0010-0000-0200-00000A000000}" name="Div8"/>
    <tableColumn id="11" xr3:uid="{00000000-0010-0000-0200-00000B000000}" name="Results"/>
  </tableColumns>
  <tableStyleInfo name="AdminDashboard-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3:E11" headerRowCount="0">
  <tableColumns count="5">
    <tableColumn id="1" xr3:uid="{00000000-0010-0000-0300-000001000000}" name="Column1"/>
    <tableColumn id="2" xr3:uid="{00000000-0010-0000-0300-000002000000}" name="Column2"/>
    <tableColumn id="3" xr3:uid="{00000000-0010-0000-0300-000003000000}" name="Column3"/>
    <tableColumn id="4" xr3:uid="{00000000-0010-0000-0300-000004000000}" name="Column4"/>
    <tableColumn id="5" xr3:uid="{00000000-0010-0000-0300-000005000000}" name="Column5"/>
  </tableColumns>
  <tableStyleInfo name="Lookup-TOC-style" showFirstColumn="1" showLastColumn="1" showRowStripes="1" showColumnStripes="0"/>
  <extLst>
    <ext uri="GoogleSheetsCustomDataVersion1">
      <go:sheetsCustomData xmlns:go="http://customooxmlschemas.google.com/" headerRowCount="1"/>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F3:F11">
  <tableColumns count="1">
    <tableColumn id="1" xr3:uid="{00000000-0010-0000-0400-000001000000}" name="File LInk (get shareable link and paste here) - this should automatically be populated via the &quot;DuplicateMeetSheets&quot; action above"/>
  </tableColumns>
  <tableStyleInfo name="Lookup-TOC-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hyperlink" Target="https://docs.google.com/spreadsheets/d/1-JXYCYIAvtmiIJj4y5uFNPzMrtPUC6JAnZaXl789pwQ" TargetMode="External"/></Relationships>
</file>

<file path=xl/worksheets/_rels/sheet1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4140625" defaultRowHeight="15.75" customHeight="1"/>
  <cols>
    <col min="1" max="1" width="9.5546875" customWidth="1"/>
    <col min="2" max="2" width="25.33203125" customWidth="1"/>
    <col min="3" max="3" width="19.33203125" customWidth="1"/>
    <col min="4" max="4" width="44.33203125" customWidth="1"/>
    <col min="5" max="5" width="91" customWidth="1"/>
  </cols>
  <sheetData>
    <row r="1" spans="1:5" ht="15.75" customHeight="1">
      <c r="A1" s="5" t="s">
        <v>4</v>
      </c>
      <c r="B1" s="20" t="s">
        <v>5</v>
      </c>
      <c r="C1" s="20" t="s">
        <v>6</v>
      </c>
      <c r="D1" s="20" t="s">
        <v>7</v>
      </c>
      <c r="E1" s="20" t="s">
        <v>8</v>
      </c>
    </row>
    <row r="2" spans="1:5" ht="15.75" customHeight="1">
      <c r="A2" s="21">
        <v>1</v>
      </c>
      <c r="B2" s="22" t="s">
        <v>9</v>
      </c>
      <c r="C2" s="22" t="s">
        <v>10</v>
      </c>
      <c r="D2" s="22" t="s">
        <v>11</v>
      </c>
      <c r="E2" s="22" t="s">
        <v>12</v>
      </c>
    </row>
    <row r="3" spans="1:5" ht="15.75" customHeight="1">
      <c r="A3" s="21">
        <f t="shared" ref="A3:A31" si="0">A2+1</f>
        <v>2</v>
      </c>
      <c r="B3" s="22" t="s">
        <v>13</v>
      </c>
      <c r="C3" s="22" t="s">
        <v>14</v>
      </c>
      <c r="D3" s="22" t="s">
        <v>15</v>
      </c>
      <c r="E3" s="22" t="s">
        <v>16</v>
      </c>
    </row>
    <row r="4" spans="1:5" ht="15.75" customHeight="1">
      <c r="A4" s="21">
        <f t="shared" si="0"/>
        <v>3</v>
      </c>
      <c r="B4" s="22" t="s">
        <v>17</v>
      </c>
      <c r="C4" s="22" t="s">
        <v>18</v>
      </c>
      <c r="D4" s="22" t="s">
        <v>19</v>
      </c>
      <c r="E4" s="22" t="s">
        <v>20</v>
      </c>
    </row>
    <row r="5" spans="1:5" ht="15.75" customHeight="1">
      <c r="A5" s="21">
        <f t="shared" si="0"/>
        <v>4</v>
      </c>
      <c r="B5" s="22" t="s">
        <v>21</v>
      </c>
      <c r="C5" s="22" t="s">
        <v>18</v>
      </c>
      <c r="D5" s="22" t="s">
        <v>22</v>
      </c>
      <c r="E5" s="22" t="s">
        <v>23</v>
      </c>
    </row>
    <row r="6" spans="1:5" ht="15.75" customHeight="1">
      <c r="A6" s="21">
        <f t="shared" si="0"/>
        <v>5</v>
      </c>
      <c r="B6" s="22"/>
      <c r="C6" s="22"/>
      <c r="D6" s="22" t="s">
        <v>24</v>
      </c>
      <c r="E6" s="22" t="s">
        <v>25</v>
      </c>
    </row>
    <row r="7" spans="1:5" ht="15.75" customHeight="1">
      <c r="A7" s="21">
        <f t="shared" si="0"/>
        <v>6</v>
      </c>
      <c r="B7" s="23"/>
      <c r="C7" s="23"/>
      <c r="D7" s="22" t="s">
        <v>26</v>
      </c>
      <c r="E7" s="22" t="s">
        <v>27</v>
      </c>
    </row>
    <row r="8" spans="1:5" ht="15.75" customHeight="1">
      <c r="A8" s="21">
        <f t="shared" si="0"/>
        <v>7</v>
      </c>
      <c r="B8" s="23"/>
      <c r="C8" s="23"/>
      <c r="D8" s="22" t="s">
        <v>26</v>
      </c>
      <c r="E8" s="22" t="s">
        <v>28</v>
      </c>
    </row>
    <row r="9" spans="1:5" ht="15.75" customHeight="1">
      <c r="A9" s="21">
        <f t="shared" si="0"/>
        <v>8</v>
      </c>
      <c r="B9" s="23"/>
      <c r="C9" s="23"/>
      <c r="D9" s="22" t="s">
        <v>29</v>
      </c>
      <c r="E9" s="22" t="s">
        <v>30</v>
      </c>
    </row>
    <row r="10" spans="1:5" ht="15.75" customHeight="1">
      <c r="A10" s="21">
        <f t="shared" si="0"/>
        <v>9</v>
      </c>
      <c r="B10" s="23"/>
      <c r="C10" s="23"/>
      <c r="D10" s="22" t="s">
        <v>29</v>
      </c>
      <c r="E10" s="22" t="s">
        <v>31</v>
      </c>
    </row>
    <row r="11" spans="1:5" ht="15.75" customHeight="1">
      <c r="A11" s="21">
        <f t="shared" si="0"/>
        <v>10</v>
      </c>
      <c r="B11" s="22" t="s">
        <v>32</v>
      </c>
      <c r="C11" s="22" t="s">
        <v>33</v>
      </c>
      <c r="D11" s="22" t="s">
        <v>34</v>
      </c>
      <c r="E11" s="22" t="s">
        <v>35</v>
      </c>
    </row>
    <row r="12" spans="1:5" ht="15.75" customHeight="1">
      <c r="A12" s="21">
        <f t="shared" si="0"/>
        <v>11</v>
      </c>
      <c r="B12" s="23"/>
      <c r="C12" s="23"/>
      <c r="D12" s="22"/>
      <c r="E12" s="22" t="s">
        <v>36</v>
      </c>
    </row>
    <row r="13" spans="1:5" ht="15.75" customHeight="1">
      <c r="A13" s="21">
        <f t="shared" si="0"/>
        <v>12</v>
      </c>
      <c r="B13" s="22" t="s">
        <v>37</v>
      </c>
      <c r="C13" s="22" t="s">
        <v>14</v>
      </c>
      <c r="D13" s="22" t="s">
        <v>38</v>
      </c>
      <c r="E13" s="22" t="s">
        <v>39</v>
      </c>
    </row>
    <row r="14" spans="1:5" ht="15.75" customHeight="1">
      <c r="A14" s="21">
        <f t="shared" si="0"/>
        <v>13</v>
      </c>
      <c r="B14" s="23"/>
      <c r="C14" s="23"/>
      <c r="D14" s="22" t="s">
        <v>40</v>
      </c>
      <c r="E14" s="22" t="s">
        <v>41</v>
      </c>
    </row>
    <row r="15" spans="1:5" ht="15.75" customHeight="1">
      <c r="A15" s="21">
        <f t="shared" si="0"/>
        <v>14</v>
      </c>
      <c r="B15" s="23"/>
      <c r="C15" s="23"/>
      <c r="D15" s="22" t="s">
        <v>42</v>
      </c>
      <c r="E15" s="22" t="s">
        <v>43</v>
      </c>
    </row>
    <row r="16" spans="1:5" ht="15.75" customHeight="1">
      <c r="A16" s="21">
        <f t="shared" si="0"/>
        <v>15</v>
      </c>
      <c r="B16" s="23"/>
      <c r="C16" s="23"/>
      <c r="D16" s="22" t="s">
        <v>44</v>
      </c>
      <c r="E16" s="22" t="s">
        <v>45</v>
      </c>
    </row>
    <row r="17" spans="1:5" ht="15.75" customHeight="1">
      <c r="A17" s="21">
        <f t="shared" si="0"/>
        <v>16</v>
      </c>
      <c r="B17" s="22" t="s">
        <v>46</v>
      </c>
      <c r="C17" s="22" t="s">
        <v>14</v>
      </c>
      <c r="D17" s="22"/>
      <c r="E17" s="22" t="s">
        <v>47</v>
      </c>
    </row>
    <row r="18" spans="1:5" ht="15.75" customHeight="1">
      <c r="A18" s="21">
        <f t="shared" si="0"/>
        <v>17</v>
      </c>
      <c r="B18" s="23"/>
      <c r="C18" s="23"/>
      <c r="D18" s="22"/>
      <c r="E18" s="22" t="s">
        <v>48</v>
      </c>
    </row>
    <row r="19" spans="1:5" ht="15.75" customHeight="1">
      <c r="A19" s="21">
        <f t="shared" si="0"/>
        <v>18</v>
      </c>
      <c r="B19" s="23"/>
      <c r="C19" s="23"/>
      <c r="D19" s="22"/>
      <c r="E19" s="22" t="s">
        <v>49</v>
      </c>
    </row>
    <row r="20" spans="1:5" ht="15.75" customHeight="1">
      <c r="A20" s="21">
        <f t="shared" si="0"/>
        <v>19</v>
      </c>
      <c r="B20" s="22" t="s">
        <v>46</v>
      </c>
      <c r="C20" s="22" t="s">
        <v>50</v>
      </c>
      <c r="D20" s="22"/>
      <c r="E20" s="22" t="s">
        <v>51</v>
      </c>
    </row>
    <row r="21" spans="1:5" ht="15.75" customHeight="1">
      <c r="A21" s="21">
        <f t="shared" si="0"/>
        <v>20</v>
      </c>
      <c r="B21" s="23"/>
      <c r="C21" s="23"/>
      <c r="D21" s="22"/>
      <c r="E21" s="22" t="s">
        <v>52</v>
      </c>
    </row>
    <row r="22" spans="1:5" ht="15.75" customHeight="1">
      <c r="A22" s="21">
        <f t="shared" si="0"/>
        <v>21</v>
      </c>
      <c r="B22" s="22" t="s">
        <v>53</v>
      </c>
      <c r="C22" s="22" t="s">
        <v>50</v>
      </c>
      <c r="D22" s="22"/>
      <c r="E22" s="22" t="s">
        <v>54</v>
      </c>
    </row>
    <row r="23" spans="1:5" ht="15.75" customHeight="1">
      <c r="A23" s="21">
        <f t="shared" si="0"/>
        <v>22</v>
      </c>
      <c r="B23" s="22" t="s">
        <v>55</v>
      </c>
      <c r="C23" s="22" t="s">
        <v>14</v>
      </c>
      <c r="D23" s="22" t="s">
        <v>38</v>
      </c>
      <c r="E23" s="22" t="s">
        <v>56</v>
      </c>
    </row>
    <row r="24" spans="1:5" ht="15.75" customHeight="1">
      <c r="A24" s="21">
        <f t="shared" si="0"/>
        <v>23</v>
      </c>
      <c r="B24" s="22" t="s">
        <v>57</v>
      </c>
      <c r="C24" s="22" t="s">
        <v>58</v>
      </c>
      <c r="D24" s="22" t="s">
        <v>59</v>
      </c>
      <c r="E24" s="22" t="s">
        <v>60</v>
      </c>
    </row>
    <row r="25" spans="1:5" ht="15.75" customHeight="1">
      <c r="A25" s="21">
        <f t="shared" si="0"/>
        <v>24</v>
      </c>
      <c r="B25" s="23"/>
      <c r="C25" s="23"/>
      <c r="D25" s="22"/>
      <c r="E25" s="23"/>
    </row>
    <row r="26" spans="1:5" ht="15.75" customHeight="1">
      <c r="A26" s="21">
        <f t="shared" si="0"/>
        <v>25</v>
      </c>
      <c r="B26" s="23"/>
      <c r="C26" s="23"/>
      <c r="D26" s="22"/>
      <c r="E26" s="23"/>
    </row>
    <row r="27" spans="1:5" ht="15.75" customHeight="1">
      <c r="A27" s="21">
        <f t="shared" si="0"/>
        <v>26</v>
      </c>
      <c r="B27" s="23"/>
      <c r="C27" s="23"/>
      <c r="D27" s="22"/>
      <c r="E27" s="23"/>
    </row>
    <row r="28" spans="1:5" ht="15.75" customHeight="1">
      <c r="A28" s="21">
        <f t="shared" si="0"/>
        <v>27</v>
      </c>
      <c r="B28" s="23"/>
      <c r="C28" s="23"/>
      <c r="D28" s="22"/>
      <c r="E28" s="23"/>
    </row>
    <row r="29" spans="1:5" ht="15.75" customHeight="1">
      <c r="A29" s="21">
        <f t="shared" si="0"/>
        <v>28</v>
      </c>
      <c r="B29" s="23"/>
      <c r="C29" s="23"/>
      <c r="D29" s="22"/>
      <c r="E29" s="23"/>
    </row>
    <row r="30" spans="1:5" ht="13.2">
      <c r="A30" s="21">
        <f t="shared" si="0"/>
        <v>29</v>
      </c>
      <c r="B30" s="22"/>
      <c r="C30" s="22"/>
      <c r="D30" s="22"/>
      <c r="E30" s="22"/>
    </row>
    <row r="31" spans="1:5" ht="13.2">
      <c r="A31" s="21">
        <f t="shared" si="0"/>
        <v>30</v>
      </c>
      <c r="B31" s="23"/>
      <c r="C31" s="23"/>
      <c r="D31" s="22"/>
      <c r="E31" s="22"/>
    </row>
    <row r="32" spans="1:5" ht="13.2">
      <c r="A32" s="24"/>
      <c r="B32" s="23"/>
      <c r="C32" s="23"/>
      <c r="D32" s="22"/>
      <c r="E32" s="23"/>
    </row>
    <row r="33" spans="1:5" ht="13.2">
      <c r="A33" s="24"/>
      <c r="B33" s="23"/>
      <c r="C33" s="23"/>
      <c r="D33" s="22"/>
      <c r="E33" s="23"/>
    </row>
    <row r="34" spans="1:5" ht="13.2">
      <c r="A34" s="24"/>
      <c r="B34" s="23"/>
      <c r="C34" s="23"/>
      <c r="D34" s="22"/>
      <c r="E34" s="23"/>
    </row>
    <row r="35" spans="1:5" ht="13.2">
      <c r="A35" s="24"/>
      <c r="B35" s="23"/>
      <c r="C35" s="23"/>
      <c r="D35" s="23"/>
      <c r="E35" s="23"/>
    </row>
    <row r="36" spans="1:5" ht="13.2">
      <c r="A36" s="24"/>
      <c r="B36" s="23"/>
      <c r="C36" s="23"/>
      <c r="D36" s="23"/>
      <c r="E36" s="23"/>
    </row>
    <row r="37" spans="1:5" ht="13.2">
      <c r="A37" s="24"/>
      <c r="B37" s="23"/>
      <c r="C37" s="23"/>
      <c r="D37" s="23"/>
      <c r="E37" s="23"/>
    </row>
    <row r="38" spans="1:5" ht="13.2">
      <c r="A38" s="24"/>
      <c r="B38" s="23"/>
      <c r="C38" s="23"/>
      <c r="D38" s="23"/>
      <c r="E38" s="23"/>
    </row>
    <row r="39" spans="1:5" ht="13.2">
      <c r="A39" s="24"/>
      <c r="B39" s="23"/>
      <c r="C39" s="23"/>
      <c r="D39" s="23"/>
      <c r="E39" s="23"/>
    </row>
    <row r="40" spans="1:5" ht="13.2">
      <c r="A40" s="24"/>
      <c r="B40" s="23"/>
      <c r="C40" s="23"/>
      <c r="D40" s="23"/>
      <c r="E40" s="23"/>
    </row>
    <row r="41" spans="1:5" ht="13.2">
      <c r="A41" s="24"/>
      <c r="B41" s="23"/>
      <c r="C41" s="23"/>
      <c r="D41" s="23"/>
      <c r="E41" s="23"/>
    </row>
    <row r="42" spans="1:5" ht="13.2">
      <c r="A42" s="24"/>
      <c r="B42" s="23"/>
      <c r="C42" s="23"/>
      <c r="D42" s="23"/>
      <c r="E42" s="23"/>
    </row>
    <row r="43" spans="1:5" ht="13.2">
      <c r="A43" s="24"/>
      <c r="B43" s="23"/>
      <c r="C43" s="23"/>
      <c r="D43" s="23"/>
      <c r="E43" s="23"/>
    </row>
    <row r="44" spans="1:5" ht="13.2">
      <c r="A44" s="24"/>
      <c r="B44" s="23"/>
      <c r="C44" s="23"/>
      <c r="D44" s="23"/>
      <c r="E44" s="23"/>
    </row>
    <row r="45" spans="1:5" ht="13.2">
      <c r="A45" s="24"/>
      <c r="B45" s="23"/>
      <c r="C45" s="23"/>
      <c r="D45" s="23"/>
      <c r="E45" s="23"/>
    </row>
    <row r="46" spans="1:5" ht="13.2">
      <c r="A46" s="24"/>
      <c r="B46" s="23"/>
      <c r="C46" s="23"/>
      <c r="D46" s="23"/>
      <c r="E46" s="23"/>
    </row>
    <row r="47" spans="1:5" ht="13.2">
      <c r="A47" s="24"/>
      <c r="B47" s="23"/>
      <c r="C47" s="23"/>
      <c r="D47" s="23"/>
      <c r="E47" s="23"/>
    </row>
    <row r="48" spans="1:5" ht="13.2">
      <c r="A48" s="24"/>
      <c r="B48" s="23"/>
      <c r="C48" s="23"/>
      <c r="D48" s="23"/>
      <c r="E48" s="23"/>
    </row>
    <row r="49" spans="1:5" ht="13.2">
      <c r="A49" s="24"/>
      <c r="B49" s="23"/>
      <c r="C49" s="23"/>
      <c r="D49" s="23"/>
      <c r="E49" s="23"/>
    </row>
    <row r="50" spans="1:5" ht="13.2">
      <c r="A50" s="24"/>
      <c r="B50" s="23"/>
      <c r="C50" s="23"/>
      <c r="D50" s="23"/>
      <c r="E50" s="23"/>
    </row>
    <row r="51" spans="1:5" ht="13.2">
      <c r="A51" s="24"/>
      <c r="B51" s="23"/>
      <c r="C51" s="23"/>
      <c r="D51" s="23"/>
      <c r="E51" s="23"/>
    </row>
    <row r="52" spans="1:5" ht="13.2">
      <c r="A52" s="24"/>
      <c r="B52" s="23"/>
      <c r="C52" s="23"/>
      <c r="D52" s="23"/>
      <c r="E52" s="23"/>
    </row>
    <row r="53" spans="1:5" ht="13.2">
      <c r="A53" s="24"/>
      <c r="B53" s="23"/>
      <c r="C53" s="23"/>
      <c r="D53" s="23"/>
      <c r="E53" s="23"/>
    </row>
    <row r="54" spans="1:5" ht="13.2">
      <c r="A54" s="24"/>
      <c r="B54" s="23"/>
      <c r="C54" s="23"/>
      <c r="D54" s="23"/>
      <c r="E54" s="23"/>
    </row>
    <row r="55" spans="1:5" ht="13.2">
      <c r="A55" s="24"/>
      <c r="B55" s="23"/>
      <c r="C55" s="23"/>
      <c r="D55" s="23"/>
      <c r="E55" s="23"/>
    </row>
    <row r="56" spans="1:5" ht="13.2">
      <c r="A56" s="24"/>
      <c r="B56" s="23"/>
      <c r="C56" s="23"/>
      <c r="D56" s="23"/>
      <c r="E56" s="23"/>
    </row>
    <row r="57" spans="1:5" ht="13.2">
      <c r="A57" s="24"/>
      <c r="B57" s="23"/>
      <c r="C57" s="23"/>
      <c r="D57" s="23"/>
      <c r="E57" s="23"/>
    </row>
    <row r="58" spans="1:5" ht="13.2">
      <c r="A58" s="24"/>
      <c r="B58" s="23"/>
      <c r="C58" s="23"/>
      <c r="D58" s="23"/>
      <c r="E58" s="23"/>
    </row>
    <row r="59" spans="1:5" ht="13.2">
      <c r="A59" s="24"/>
      <c r="B59" s="23"/>
      <c r="C59" s="23"/>
      <c r="D59" s="23"/>
      <c r="E59" s="23"/>
    </row>
    <row r="60" spans="1:5" ht="13.2">
      <c r="A60" s="24"/>
      <c r="B60" s="23"/>
      <c r="C60" s="23"/>
      <c r="D60" s="23"/>
      <c r="E60" s="23"/>
    </row>
    <row r="61" spans="1:5" ht="13.2">
      <c r="A61" s="24"/>
      <c r="B61" s="23"/>
      <c r="C61" s="23"/>
      <c r="D61" s="23"/>
      <c r="E61" s="23"/>
    </row>
    <row r="62" spans="1:5" ht="13.2">
      <c r="A62" s="24"/>
      <c r="B62" s="23"/>
      <c r="C62" s="23"/>
      <c r="D62" s="23"/>
      <c r="E62" s="23"/>
    </row>
    <row r="63" spans="1:5" ht="13.2">
      <c r="A63" s="24"/>
      <c r="B63" s="23"/>
      <c r="C63" s="23"/>
      <c r="D63" s="23"/>
      <c r="E63" s="23"/>
    </row>
    <row r="64" spans="1:5" ht="13.2">
      <c r="A64" s="24"/>
      <c r="B64" s="23"/>
      <c r="C64" s="23"/>
      <c r="D64" s="23"/>
      <c r="E64" s="23"/>
    </row>
    <row r="65" spans="1:5" ht="13.2">
      <c r="A65" s="24"/>
      <c r="B65" s="23"/>
      <c r="C65" s="23"/>
      <c r="D65" s="23"/>
      <c r="E65" s="23"/>
    </row>
    <row r="66" spans="1:5" ht="13.2">
      <c r="A66" s="24"/>
      <c r="B66" s="23"/>
      <c r="C66" s="23"/>
      <c r="D66" s="23"/>
      <c r="E66" s="23"/>
    </row>
    <row r="67" spans="1:5" ht="13.2">
      <c r="A67" s="24"/>
      <c r="B67" s="23"/>
      <c r="C67" s="23"/>
      <c r="D67" s="23"/>
      <c r="E67" s="23"/>
    </row>
    <row r="68" spans="1:5" ht="13.2">
      <c r="A68" s="24"/>
      <c r="B68" s="23"/>
      <c r="C68" s="23"/>
      <c r="D68" s="23"/>
      <c r="E68" s="23"/>
    </row>
    <row r="69" spans="1:5" ht="13.2">
      <c r="A69" s="24"/>
      <c r="B69" s="23"/>
      <c r="C69" s="23"/>
      <c r="D69" s="23"/>
      <c r="E69" s="23"/>
    </row>
    <row r="70" spans="1:5" ht="13.2">
      <c r="A70" s="24"/>
      <c r="B70" s="23"/>
      <c r="C70" s="23"/>
      <c r="D70" s="23"/>
      <c r="E70" s="23"/>
    </row>
    <row r="71" spans="1:5" ht="13.2">
      <c r="A71" s="24"/>
      <c r="B71" s="23"/>
      <c r="C71" s="23"/>
      <c r="D71" s="23"/>
      <c r="E71" s="23"/>
    </row>
    <row r="72" spans="1:5" ht="13.2">
      <c r="A72" s="24"/>
      <c r="B72" s="23"/>
      <c r="C72" s="23"/>
      <c r="D72" s="23"/>
      <c r="E72" s="23"/>
    </row>
    <row r="73" spans="1:5" ht="13.2">
      <c r="A73" s="24"/>
      <c r="B73" s="23"/>
      <c r="C73" s="23"/>
      <c r="D73" s="23"/>
      <c r="E73" s="23"/>
    </row>
    <row r="74" spans="1:5" ht="13.2">
      <c r="A74" s="24"/>
      <c r="B74" s="23"/>
      <c r="C74" s="23"/>
      <c r="D74" s="23"/>
      <c r="E74" s="23"/>
    </row>
    <row r="75" spans="1:5" ht="13.2">
      <c r="A75" s="24"/>
      <c r="B75" s="23"/>
      <c r="C75" s="23"/>
      <c r="D75" s="23"/>
      <c r="E75" s="23"/>
    </row>
    <row r="76" spans="1:5" ht="13.2">
      <c r="A76" s="24"/>
      <c r="B76" s="23"/>
      <c r="C76" s="23"/>
      <c r="D76" s="23"/>
      <c r="E76" s="23"/>
    </row>
    <row r="77" spans="1:5" ht="13.2">
      <c r="A77" s="24"/>
      <c r="B77" s="23"/>
      <c r="C77" s="23"/>
      <c r="D77" s="23"/>
      <c r="E77" s="23"/>
    </row>
    <row r="78" spans="1:5" ht="13.2">
      <c r="A78" s="24"/>
      <c r="B78" s="23"/>
      <c r="C78" s="23"/>
      <c r="D78" s="23"/>
      <c r="E78" s="23"/>
    </row>
    <row r="79" spans="1:5" ht="13.2">
      <c r="A79" s="24"/>
      <c r="B79" s="23"/>
      <c r="C79" s="23"/>
      <c r="D79" s="23"/>
      <c r="E79" s="23"/>
    </row>
    <row r="80" spans="1:5" ht="13.2">
      <c r="A80" s="24"/>
      <c r="B80" s="23"/>
      <c r="C80" s="23"/>
      <c r="D80" s="23"/>
      <c r="E80" s="23"/>
    </row>
    <row r="81" spans="1:5" ht="13.2">
      <c r="A81" s="24"/>
      <c r="B81" s="23"/>
      <c r="C81" s="23"/>
      <c r="D81" s="23"/>
      <c r="E81" s="23"/>
    </row>
    <row r="82" spans="1:5" ht="13.2">
      <c r="A82" s="24"/>
      <c r="B82" s="23"/>
      <c r="C82" s="23"/>
      <c r="D82" s="23"/>
      <c r="E82" s="23"/>
    </row>
    <row r="83" spans="1:5" ht="13.2">
      <c r="A83" s="24"/>
      <c r="B83" s="23"/>
      <c r="C83" s="23"/>
      <c r="D83" s="23"/>
      <c r="E83" s="23"/>
    </row>
    <row r="84" spans="1:5" ht="13.2">
      <c r="A84" s="24"/>
      <c r="B84" s="23"/>
      <c r="C84" s="23"/>
      <c r="D84" s="23"/>
      <c r="E84" s="23"/>
    </row>
    <row r="85" spans="1:5" ht="13.2">
      <c r="A85" s="24"/>
      <c r="B85" s="23"/>
      <c r="C85" s="23"/>
      <c r="D85" s="23"/>
      <c r="E85" s="23"/>
    </row>
    <row r="86" spans="1:5" ht="13.2">
      <c r="A86" s="24"/>
      <c r="B86" s="23"/>
      <c r="C86" s="23"/>
      <c r="D86" s="23"/>
      <c r="E86" s="23"/>
    </row>
    <row r="87" spans="1:5" ht="13.2">
      <c r="A87" s="24"/>
      <c r="B87" s="23"/>
      <c r="C87" s="23"/>
      <c r="D87" s="23"/>
      <c r="E87" s="23"/>
    </row>
    <row r="88" spans="1:5" ht="13.2">
      <c r="A88" s="24"/>
      <c r="B88" s="23"/>
      <c r="C88" s="23"/>
      <c r="D88" s="23"/>
      <c r="E88" s="23"/>
    </row>
    <row r="89" spans="1:5" ht="13.2">
      <c r="A89" s="24"/>
      <c r="B89" s="23"/>
      <c r="C89" s="23"/>
      <c r="D89" s="23"/>
      <c r="E89" s="23"/>
    </row>
    <row r="90" spans="1:5" ht="13.2">
      <c r="A90" s="24"/>
      <c r="B90" s="23"/>
      <c r="C90" s="23"/>
      <c r="D90" s="23"/>
      <c r="E90" s="23"/>
    </row>
    <row r="91" spans="1:5" ht="13.2">
      <c r="A91" s="24"/>
      <c r="B91" s="23"/>
      <c r="C91" s="23"/>
      <c r="D91" s="23"/>
      <c r="E91" s="23"/>
    </row>
    <row r="92" spans="1:5" ht="13.2">
      <c r="A92" s="24"/>
      <c r="B92" s="23"/>
      <c r="C92" s="23"/>
      <c r="D92" s="23"/>
      <c r="E92" s="23"/>
    </row>
    <row r="93" spans="1:5" ht="13.2">
      <c r="A93" s="24"/>
      <c r="B93" s="23"/>
      <c r="C93" s="23"/>
      <c r="D93" s="23"/>
      <c r="E93" s="23"/>
    </row>
    <row r="94" spans="1:5" ht="13.2">
      <c r="A94" s="24"/>
      <c r="B94" s="23"/>
      <c r="C94" s="23"/>
      <c r="D94" s="23"/>
      <c r="E94" s="23"/>
    </row>
    <row r="95" spans="1:5" ht="13.2">
      <c r="A95" s="24"/>
      <c r="B95" s="23"/>
      <c r="C95" s="23"/>
      <c r="D95" s="23"/>
      <c r="E95" s="23"/>
    </row>
    <row r="96" spans="1:5" ht="13.2">
      <c r="A96" s="24"/>
      <c r="B96" s="23"/>
      <c r="C96" s="23"/>
      <c r="D96" s="23"/>
      <c r="E96" s="23"/>
    </row>
    <row r="97" spans="1:5" ht="13.2">
      <c r="A97" s="24"/>
      <c r="B97" s="23"/>
      <c r="C97" s="23"/>
      <c r="D97" s="23"/>
      <c r="E97" s="23"/>
    </row>
    <row r="98" spans="1:5" ht="13.2">
      <c r="A98" s="24"/>
      <c r="B98" s="23"/>
      <c r="C98" s="23"/>
      <c r="D98" s="23"/>
      <c r="E98" s="23"/>
    </row>
    <row r="99" spans="1:5" ht="13.2">
      <c r="A99" s="24"/>
      <c r="B99" s="23"/>
      <c r="C99" s="23"/>
      <c r="D99" s="23"/>
      <c r="E99" s="23"/>
    </row>
    <row r="100" spans="1:5" ht="13.2">
      <c r="A100" s="24"/>
      <c r="B100" s="23"/>
      <c r="C100" s="23"/>
      <c r="D100" s="23"/>
      <c r="E100" s="23"/>
    </row>
    <row r="101" spans="1:5" ht="13.2">
      <c r="A101" s="24"/>
      <c r="B101" s="23"/>
      <c r="C101" s="23"/>
      <c r="D101" s="23"/>
      <c r="E101" s="23"/>
    </row>
    <row r="102" spans="1:5" ht="13.2">
      <c r="A102" s="24"/>
      <c r="B102" s="23"/>
      <c r="C102" s="23"/>
      <c r="D102" s="23"/>
      <c r="E102" s="23"/>
    </row>
    <row r="103" spans="1:5" ht="13.2">
      <c r="A103" s="24"/>
      <c r="B103" s="23"/>
      <c r="C103" s="23"/>
      <c r="D103" s="23"/>
      <c r="E103" s="23"/>
    </row>
    <row r="104" spans="1:5" ht="13.2">
      <c r="A104" s="24"/>
      <c r="B104" s="23"/>
      <c r="C104" s="23"/>
      <c r="D104" s="23"/>
      <c r="E104" s="23"/>
    </row>
    <row r="105" spans="1:5" ht="13.2">
      <c r="A105" s="24"/>
      <c r="B105" s="23"/>
      <c r="C105" s="23"/>
      <c r="D105" s="23"/>
      <c r="E105" s="23"/>
    </row>
    <row r="106" spans="1:5" ht="13.2">
      <c r="A106" s="24"/>
      <c r="B106" s="23"/>
      <c r="C106" s="23"/>
      <c r="D106" s="23"/>
      <c r="E106" s="23"/>
    </row>
    <row r="107" spans="1:5" ht="13.2">
      <c r="A107" s="24"/>
      <c r="B107" s="23"/>
      <c r="C107" s="23"/>
      <c r="D107" s="23"/>
      <c r="E107" s="23"/>
    </row>
    <row r="108" spans="1:5" ht="13.2">
      <c r="A108" s="24"/>
      <c r="B108" s="23"/>
      <c r="C108" s="23"/>
      <c r="D108" s="23"/>
      <c r="E108" s="23"/>
    </row>
    <row r="109" spans="1:5" ht="13.2">
      <c r="A109" s="24"/>
      <c r="B109" s="23"/>
      <c r="C109" s="23"/>
      <c r="D109" s="23"/>
      <c r="E109" s="23"/>
    </row>
    <row r="110" spans="1:5" ht="13.2">
      <c r="A110" s="24"/>
      <c r="B110" s="23"/>
      <c r="C110" s="23"/>
      <c r="D110" s="23"/>
      <c r="E110" s="23"/>
    </row>
    <row r="111" spans="1:5" ht="13.2">
      <c r="A111" s="24"/>
      <c r="B111" s="23"/>
      <c r="C111" s="23"/>
      <c r="D111" s="23"/>
      <c r="E111" s="23"/>
    </row>
    <row r="112" spans="1:5" ht="13.2">
      <c r="A112" s="24"/>
      <c r="B112" s="23"/>
      <c r="C112" s="23"/>
      <c r="D112" s="23"/>
      <c r="E112" s="23"/>
    </row>
    <row r="113" spans="1:5" ht="13.2">
      <c r="A113" s="24"/>
      <c r="B113" s="23"/>
      <c r="C113" s="23"/>
      <c r="D113" s="23"/>
      <c r="E113" s="23"/>
    </row>
    <row r="114" spans="1:5" ht="13.2">
      <c r="A114" s="24"/>
      <c r="B114" s="23"/>
      <c r="C114" s="23"/>
      <c r="D114" s="23"/>
      <c r="E114" s="23"/>
    </row>
    <row r="115" spans="1:5" ht="13.2">
      <c r="A115" s="24"/>
      <c r="B115" s="23"/>
      <c r="C115" s="23"/>
      <c r="D115" s="23"/>
      <c r="E115" s="23"/>
    </row>
    <row r="116" spans="1:5" ht="13.2">
      <c r="A116" s="24"/>
      <c r="B116" s="23"/>
      <c r="C116" s="23"/>
      <c r="D116" s="23"/>
      <c r="E116" s="23"/>
    </row>
    <row r="117" spans="1:5" ht="13.2">
      <c r="A117" s="24"/>
      <c r="B117" s="23"/>
      <c r="C117" s="23"/>
      <c r="D117" s="23"/>
      <c r="E117" s="23"/>
    </row>
    <row r="118" spans="1:5" ht="13.2">
      <c r="A118" s="24"/>
      <c r="B118" s="23"/>
      <c r="C118" s="23"/>
      <c r="D118" s="23"/>
      <c r="E118" s="23"/>
    </row>
    <row r="119" spans="1:5" ht="13.2">
      <c r="A119" s="24"/>
      <c r="B119" s="23"/>
      <c r="C119" s="23"/>
      <c r="D119" s="23"/>
      <c r="E119" s="23"/>
    </row>
    <row r="120" spans="1:5" ht="13.2">
      <c r="A120" s="24"/>
      <c r="B120" s="23"/>
      <c r="C120" s="23"/>
      <c r="D120" s="23"/>
      <c r="E120" s="23"/>
    </row>
    <row r="121" spans="1:5" ht="13.2">
      <c r="A121" s="24"/>
      <c r="B121" s="23"/>
      <c r="C121" s="23"/>
      <c r="D121" s="23"/>
      <c r="E121" s="23"/>
    </row>
    <row r="122" spans="1:5" ht="13.2">
      <c r="A122" s="24"/>
      <c r="B122" s="23"/>
      <c r="C122" s="23"/>
      <c r="D122" s="23"/>
      <c r="E122" s="23"/>
    </row>
    <row r="123" spans="1:5" ht="13.2">
      <c r="A123" s="24"/>
      <c r="B123" s="23"/>
      <c r="C123" s="23"/>
      <c r="D123" s="23"/>
      <c r="E123" s="23"/>
    </row>
    <row r="124" spans="1:5" ht="13.2">
      <c r="A124" s="24"/>
      <c r="B124" s="23"/>
      <c r="C124" s="23"/>
      <c r="D124" s="23"/>
      <c r="E124" s="23"/>
    </row>
    <row r="125" spans="1:5" ht="13.2">
      <c r="A125" s="24"/>
      <c r="B125" s="23"/>
      <c r="C125" s="23"/>
      <c r="D125" s="23"/>
      <c r="E125" s="23"/>
    </row>
    <row r="126" spans="1:5" ht="13.2">
      <c r="A126" s="24"/>
      <c r="B126" s="23"/>
      <c r="C126" s="23"/>
      <c r="D126" s="23"/>
      <c r="E126" s="23"/>
    </row>
    <row r="127" spans="1:5" ht="13.2">
      <c r="A127" s="24"/>
      <c r="B127" s="23"/>
      <c r="C127" s="23"/>
      <c r="D127" s="23"/>
      <c r="E127" s="23"/>
    </row>
    <row r="128" spans="1:5" ht="13.2">
      <c r="A128" s="24"/>
      <c r="B128" s="23"/>
      <c r="C128" s="23"/>
      <c r="D128" s="23"/>
      <c r="E128" s="23"/>
    </row>
    <row r="129" spans="1:5" ht="13.2">
      <c r="A129" s="24"/>
      <c r="B129" s="23"/>
      <c r="C129" s="23"/>
      <c r="D129" s="23"/>
      <c r="E129" s="23"/>
    </row>
    <row r="130" spans="1:5" ht="13.2">
      <c r="A130" s="24"/>
      <c r="B130" s="23"/>
      <c r="C130" s="23"/>
      <c r="D130" s="23"/>
      <c r="E130" s="23"/>
    </row>
    <row r="131" spans="1:5" ht="13.2">
      <c r="A131" s="24"/>
      <c r="B131" s="23"/>
      <c r="C131" s="23"/>
      <c r="D131" s="23"/>
      <c r="E131" s="23"/>
    </row>
    <row r="132" spans="1:5" ht="13.2">
      <c r="A132" s="24"/>
      <c r="B132" s="23"/>
      <c r="C132" s="23"/>
      <c r="D132" s="23"/>
      <c r="E132" s="23"/>
    </row>
    <row r="133" spans="1:5" ht="13.2">
      <c r="A133" s="24"/>
      <c r="B133" s="23"/>
      <c r="C133" s="23"/>
      <c r="D133" s="23"/>
      <c r="E133" s="23"/>
    </row>
    <row r="134" spans="1:5" ht="13.2">
      <c r="A134" s="24"/>
      <c r="B134" s="23"/>
      <c r="C134" s="23"/>
      <c r="D134" s="23"/>
      <c r="E134" s="23"/>
    </row>
    <row r="135" spans="1:5" ht="13.2">
      <c r="A135" s="24"/>
      <c r="B135" s="23"/>
      <c r="C135" s="23"/>
      <c r="D135" s="23"/>
      <c r="E135" s="23"/>
    </row>
    <row r="136" spans="1:5" ht="13.2">
      <c r="A136" s="24"/>
      <c r="B136" s="23"/>
      <c r="C136" s="23"/>
      <c r="D136" s="23"/>
      <c r="E136" s="23"/>
    </row>
    <row r="137" spans="1:5" ht="13.2">
      <c r="A137" s="24"/>
      <c r="B137" s="23"/>
      <c r="C137" s="23"/>
      <c r="D137" s="23"/>
      <c r="E137" s="23"/>
    </row>
    <row r="138" spans="1:5" ht="13.2">
      <c r="A138" s="24"/>
      <c r="B138" s="23"/>
      <c r="C138" s="23"/>
      <c r="D138" s="23"/>
      <c r="E138" s="23"/>
    </row>
    <row r="139" spans="1:5" ht="13.2">
      <c r="A139" s="24"/>
      <c r="B139" s="23"/>
      <c r="C139" s="23"/>
      <c r="D139" s="23"/>
      <c r="E139" s="23"/>
    </row>
    <row r="140" spans="1:5" ht="13.2">
      <c r="A140" s="24"/>
      <c r="B140" s="23"/>
      <c r="C140" s="23"/>
      <c r="D140" s="23"/>
      <c r="E140" s="23"/>
    </row>
    <row r="141" spans="1:5" ht="13.2">
      <c r="A141" s="24"/>
      <c r="B141" s="23"/>
      <c r="C141" s="23"/>
      <c r="D141" s="23"/>
      <c r="E141" s="23"/>
    </row>
    <row r="142" spans="1:5" ht="13.2">
      <c r="A142" s="24"/>
      <c r="B142" s="23"/>
      <c r="C142" s="23"/>
      <c r="D142" s="23"/>
      <c r="E142" s="23"/>
    </row>
    <row r="143" spans="1:5" ht="13.2">
      <c r="A143" s="24"/>
      <c r="B143" s="23"/>
      <c r="C143" s="23"/>
      <c r="D143" s="23"/>
      <c r="E143" s="23"/>
    </row>
    <row r="144" spans="1:5" ht="13.2">
      <c r="A144" s="24"/>
      <c r="B144" s="23"/>
      <c r="C144" s="23"/>
      <c r="D144" s="23"/>
      <c r="E144" s="23"/>
    </row>
    <row r="145" spans="1:5" ht="13.2">
      <c r="A145" s="24"/>
      <c r="B145" s="23"/>
      <c r="C145" s="23"/>
      <c r="D145" s="23"/>
      <c r="E145" s="23"/>
    </row>
    <row r="146" spans="1:5" ht="13.2">
      <c r="A146" s="24"/>
      <c r="B146" s="23"/>
      <c r="C146" s="23"/>
      <c r="D146" s="23"/>
      <c r="E146" s="23"/>
    </row>
    <row r="147" spans="1:5" ht="13.2">
      <c r="A147" s="24"/>
      <c r="B147" s="23"/>
      <c r="C147" s="23"/>
      <c r="D147" s="23"/>
      <c r="E147" s="23"/>
    </row>
    <row r="148" spans="1:5" ht="13.2">
      <c r="A148" s="24"/>
      <c r="B148" s="23"/>
      <c r="C148" s="23"/>
      <c r="D148" s="23"/>
      <c r="E148" s="23"/>
    </row>
    <row r="149" spans="1:5" ht="13.2">
      <c r="A149" s="24"/>
      <c r="B149" s="23"/>
      <c r="C149" s="23"/>
      <c r="D149" s="23"/>
      <c r="E149" s="23"/>
    </row>
    <row r="150" spans="1:5" ht="13.2">
      <c r="A150" s="24"/>
      <c r="B150" s="23"/>
      <c r="C150" s="23"/>
      <c r="D150" s="23"/>
      <c r="E150" s="23"/>
    </row>
    <row r="151" spans="1:5" ht="13.2">
      <c r="A151" s="24"/>
      <c r="B151" s="23"/>
      <c r="C151" s="23"/>
      <c r="D151" s="23"/>
      <c r="E151" s="23"/>
    </row>
    <row r="152" spans="1:5" ht="13.2">
      <c r="A152" s="24"/>
      <c r="B152" s="23"/>
      <c r="C152" s="23"/>
      <c r="D152" s="23"/>
      <c r="E152" s="23"/>
    </row>
    <row r="153" spans="1:5" ht="13.2">
      <c r="A153" s="24"/>
      <c r="B153" s="23"/>
      <c r="C153" s="23"/>
      <c r="D153" s="23"/>
      <c r="E153" s="23"/>
    </row>
    <row r="154" spans="1:5" ht="13.2">
      <c r="A154" s="24"/>
      <c r="B154" s="23"/>
      <c r="C154" s="23"/>
      <c r="D154" s="23"/>
      <c r="E154" s="23"/>
    </row>
    <row r="155" spans="1:5" ht="13.2">
      <c r="A155" s="24"/>
      <c r="B155" s="23"/>
      <c r="C155" s="23"/>
      <c r="D155" s="23"/>
      <c r="E155" s="23"/>
    </row>
    <row r="156" spans="1:5" ht="13.2">
      <c r="A156" s="24"/>
      <c r="B156" s="23"/>
      <c r="C156" s="23"/>
      <c r="D156" s="23"/>
      <c r="E156" s="23"/>
    </row>
    <row r="157" spans="1:5" ht="13.2">
      <c r="A157" s="24"/>
      <c r="B157" s="23"/>
      <c r="C157" s="23"/>
      <c r="D157" s="23"/>
      <c r="E157" s="23"/>
    </row>
    <row r="158" spans="1:5" ht="13.2">
      <c r="A158" s="24"/>
      <c r="B158" s="23"/>
      <c r="C158" s="23"/>
      <c r="D158" s="23"/>
      <c r="E158" s="23"/>
    </row>
    <row r="159" spans="1:5" ht="13.2">
      <c r="A159" s="24"/>
      <c r="B159" s="23"/>
      <c r="C159" s="23"/>
      <c r="D159" s="23"/>
      <c r="E159" s="23"/>
    </row>
    <row r="160" spans="1:5" ht="13.2">
      <c r="A160" s="24"/>
      <c r="B160" s="23"/>
      <c r="C160" s="23"/>
      <c r="D160" s="23"/>
      <c r="E160" s="23"/>
    </row>
    <row r="161" spans="1:5" ht="13.2">
      <c r="A161" s="24"/>
      <c r="B161" s="23"/>
      <c r="C161" s="23"/>
      <c r="D161" s="23"/>
      <c r="E161" s="23"/>
    </row>
    <row r="162" spans="1:5" ht="13.2">
      <c r="A162" s="24"/>
      <c r="B162" s="23"/>
      <c r="C162" s="23"/>
      <c r="D162" s="23"/>
      <c r="E162" s="23"/>
    </row>
    <row r="163" spans="1:5" ht="13.2">
      <c r="A163" s="24"/>
      <c r="B163" s="23"/>
      <c r="C163" s="23"/>
      <c r="D163" s="23"/>
      <c r="E163" s="23"/>
    </row>
    <row r="164" spans="1:5" ht="13.2">
      <c r="A164" s="24"/>
      <c r="B164" s="23"/>
      <c r="C164" s="23"/>
      <c r="D164" s="23"/>
      <c r="E164" s="23"/>
    </row>
    <row r="165" spans="1:5" ht="13.2">
      <c r="A165" s="24"/>
      <c r="B165" s="23"/>
      <c r="C165" s="23"/>
      <c r="D165" s="23"/>
      <c r="E165" s="23"/>
    </row>
    <row r="166" spans="1:5" ht="13.2">
      <c r="A166" s="24"/>
      <c r="B166" s="23"/>
      <c r="C166" s="23"/>
      <c r="D166" s="23"/>
      <c r="E166" s="23"/>
    </row>
    <row r="167" spans="1:5" ht="13.2">
      <c r="A167" s="24"/>
      <c r="B167" s="23"/>
      <c r="C167" s="23"/>
      <c r="D167" s="23"/>
      <c r="E167" s="23"/>
    </row>
    <row r="168" spans="1:5" ht="13.2">
      <c r="A168" s="24"/>
      <c r="B168" s="23"/>
      <c r="C168" s="23"/>
      <c r="D168" s="23"/>
      <c r="E168" s="23"/>
    </row>
    <row r="169" spans="1:5" ht="13.2">
      <c r="A169" s="24"/>
      <c r="B169" s="23"/>
      <c r="C169" s="23"/>
      <c r="D169" s="23"/>
      <c r="E169" s="23"/>
    </row>
    <row r="170" spans="1:5" ht="13.2">
      <c r="A170" s="24"/>
      <c r="B170" s="23"/>
      <c r="C170" s="23"/>
      <c r="D170" s="23"/>
      <c r="E170" s="23"/>
    </row>
    <row r="171" spans="1:5" ht="13.2">
      <c r="A171" s="24"/>
      <c r="B171" s="23"/>
      <c r="C171" s="23"/>
      <c r="D171" s="23"/>
      <c r="E171" s="23"/>
    </row>
    <row r="172" spans="1:5" ht="13.2">
      <c r="A172" s="24"/>
      <c r="B172" s="23"/>
      <c r="C172" s="23"/>
      <c r="D172" s="23"/>
      <c r="E172" s="23"/>
    </row>
    <row r="173" spans="1:5" ht="13.2">
      <c r="A173" s="24"/>
      <c r="B173" s="23"/>
      <c r="C173" s="23"/>
      <c r="D173" s="23"/>
      <c r="E173" s="23"/>
    </row>
    <row r="174" spans="1:5" ht="13.2">
      <c r="A174" s="24"/>
      <c r="B174" s="23"/>
      <c r="C174" s="23"/>
      <c r="D174" s="23"/>
      <c r="E174" s="23"/>
    </row>
    <row r="175" spans="1:5" ht="13.2">
      <c r="A175" s="24"/>
      <c r="B175" s="23"/>
      <c r="C175" s="23"/>
      <c r="D175" s="23"/>
      <c r="E175" s="23"/>
    </row>
    <row r="176" spans="1:5" ht="13.2">
      <c r="A176" s="24"/>
      <c r="B176" s="23"/>
      <c r="C176" s="23"/>
      <c r="D176" s="23"/>
      <c r="E176" s="23"/>
    </row>
    <row r="177" spans="1:5" ht="13.2">
      <c r="A177" s="24"/>
      <c r="B177" s="23"/>
      <c r="C177" s="23"/>
      <c r="D177" s="23"/>
      <c r="E177" s="23"/>
    </row>
    <row r="178" spans="1:5" ht="13.2">
      <c r="A178" s="24"/>
      <c r="B178" s="23"/>
      <c r="C178" s="23"/>
      <c r="D178" s="23"/>
      <c r="E178" s="23"/>
    </row>
    <row r="179" spans="1:5" ht="13.2">
      <c r="A179" s="24"/>
      <c r="B179" s="23"/>
      <c r="C179" s="23"/>
      <c r="D179" s="23"/>
      <c r="E179" s="23"/>
    </row>
    <row r="180" spans="1:5" ht="13.2">
      <c r="A180" s="24"/>
      <c r="B180" s="23"/>
      <c r="C180" s="23"/>
      <c r="D180" s="23"/>
      <c r="E180" s="23"/>
    </row>
    <row r="181" spans="1:5" ht="13.2">
      <c r="A181" s="24"/>
      <c r="B181" s="23"/>
      <c r="C181" s="23"/>
      <c r="D181" s="23"/>
      <c r="E181" s="23"/>
    </row>
    <row r="182" spans="1:5" ht="13.2">
      <c r="A182" s="24"/>
      <c r="B182" s="23"/>
      <c r="C182" s="23"/>
      <c r="D182" s="23"/>
      <c r="E182" s="23"/>
    </row>
    <row r="183" spans="1:5" ht="13.2">
      <c r="A183" s="24"/>
      <c r="B183" s="23"/>
      <c r="C183" s="23"/>
      <c r="D183" s="23"/>
      <c r="E183" s="23"/>
    </row>
    <row r="184" spans="1:5" ht="13.2">
      <c r="A184" s="24"/>
      <c r="B184" s="23"/>
      <c r="C184" s="23"/>
      <c r="D184" s="23"/>
      <c r="E184" s="23"/>
    </row>
    <row r="185" spans="1:5" ht="13.2">
      <c r="A185" s="24"/>
      <c r="B185" s="23"/>
      <c r="C185" s="23"/>
      <c r="D185" s="23"/>
      <c r="E185" s="23"/>
    </row>
    <row r="186" spans="1:5" ht="13.2">
      <c r="A186" s="24"/>
      <c r="B186" s="23"/>
      <c r="C186" s="23"/>
      <c r="D186" s="23"/>
      <c r="E186" s="23"/>
    </row>
    <row r="187" spans="1:5" ht="13.2">
      <c r="A187" s="24"/>
      <c r="B187" s="23"/>
      <c r="C187" s="23"/>
      <c r="D187" s="23"/>
      <c r="E187" s="23"/>
    </row>
    <row r="188" spans="1:5" ht="13.2">
      <c r="A188" s="24"/>
      <c r="B188" s="23"/>
      <c r="C188" s="23"/>
      <c r="D188" s="23"/>
      <c r="E188" s="23"/>
    </row>
    <row r="189" spans="1:5" ht="13.2">
      <c r="A189" s="24"/>
      <c r="B189" s="23"/>
      <c r="C189" s="23"/>
      <c r="D189" s="23"/>
      <c r="E189" s="23"/>
    </row>
    <row r="190" spans="1:5" ht="13.2">
      <c r="A190" s="24"/>
      <c r="B190" s="23"/>
      <c r="C190" s="23"/>
      <c r="D190" s="23"/>
      <c r="E190" s="23"/>
    </row>
    <row r="191" spans="1:5" ht="13.2">
      <c r="A191" s="24"/>
      <c r="B191" s="23"/>
      <c r="C191" s="23"/>
      <c r="D191" s="23"/>
      <c r="E191" s="23"/>
    </row>
    <row r="192" spans="1:5" ht="13.2">
      <c r="A192" s="24"/>
      <c r="B192" s="23"/>
      <c r="C192" s="23"/>
      <c r="D192" s="23"/>
      <c r="E192" s="23"/>
    </row>
    <row r="193" spans="1:5" ht="13.2">
      <c r="A193" s="24"/>
      <c r="B193" s="23"/>
      <c r="C193" s="23"/>
      <c r="D193" s="23"/>
      <c r="E193" s="23"/>
    </row>
    <row r="194" spans="1:5" ht="13.2">
      <c r="A194" s="24"/>
      <c r="B194" s="23"/>
      <c r="C194" s="23"/>
      <c r="D194" s="23"/>
      <c r="E194" s="23"/>
    </row>
    <row r="195" spans="1:5" ht="13.2">
      <c r="A195" s="24"/>
      <c r="B195" s="23"/>
      <c r="C195" s="23"/>
      <c r="D195" s="23"/>
      <c r="E195" s="23"/>
    </row>
    <row r="196" spans="1:5" ht="13.2">
      <c r="A196" s="24"/>
      <c r="B196" s="23"/>
      <c r="C196" s="23"/>
      <c r="D196" s="23"/>
      <c r="E196" s="23"/>
    </row>
    <row r="197" spans="1:5" ht="13.2">
      <c r="A197" s="24"/>
      <c r="B197" s="23"/>
      <c r="C197" s="23"/>
      <c r="D197" s="23"/>
      <c r="E197" s="23"/>
    </row>
    <row r="198" spans="1:5" ht="13.2">
      <c r="A198" s="24"/>
      <c r="B198" s="23"/>
      <c r="C198" s="23"/>
      <c r="D198" s="23"/>
      <c r="E198" s="23"/>
    </row>
    <row r="199" spans="1:5" ht="13.2">
      <c r="A199" s="24"/>
      <c r="B199" s="23"/>
      <c r="C199" s="23"/>
      <c r="D199" s="23"/>
      <c r="E199" s="23"/>
    </row>
    <row r="200" spans="1:5" ht="13.2">
      <c r="A200" s="24"/>
      <c r="B200" s="23"/>
      <c r="C200" s="23"/>
      <c r="D200" s="23"/>
      <c r="E200" s="23"/>
    </row>
    <row r="201" spans="1:5" ht="13.2">
      <c r="A201" s="24"/>
      <c r="B201" s="23"/>
      <c r="C201" s="23"/>
      <c r="D201" s="23"/>
      <c r="E201" s="23"/>
    </row>
    <row r="202" spans="1:5" ht="13.2">
      <c r="A202" s="24"/>
      <c r="B202" s="23"/>
      <c r="C202" s="23"/>
      <c r="D202" s="23"/>
      <c r="E202" s="23"/>
    </row>
    <row r="203" spans="1:5" ht="13.2">
      <c r="A203" s="24"/>
      <c r="B203" s="23"/>
      <c r="C203" s="23"/>
      <c r="D203" s="23"/>
      <c r="E203" s="23"/>
    </row>
    <row r="204" spans="1:5" ht="13.2">
      <c r="A204" s="24"/>
      <c r="B204" s="23"/>
      <c r="C204" s="23"/>
      <c r="D204" s="23"/>
      <c r="E204" s="23"/>
    </row>
    <row r="205" spans="1:5" ht="13.2">
      <c r="A205" s="24"/>
      <c r="B205" s="23"/>
      <c r="C205" s="23"/>
      <c r="D205" s="23"/>
      <c r="E205" s="23"/>
    </row>
    <row r="206" spans="1:5" ht="13.2">
      <c r="A206" s="24"/>
      <c r="B206" s="23"/>
      <c r="C206" s="23"/>
      <c r="D206" s="23"/>
      <c r="E206" s="23"/>
    </row>
    <row r="207" spans="1:5" ht="13.2">
      <c r="A207" s="24"/>
      <c r="B207" s="23"/>
      <c r="C207" s="23"/>
      <c r="D207" s="23"/>
      <c r="E207" s="23"/>
    </row>
    <row r="208" spans="1:5" ht="13.2">
      <c r="A208" s="24"/>
      <c r="B208" s="23"/>
      <c r="C208" s="23"/>
      <c r="D208" s="23"/>
      <c r="E208" s="23"/>
    </row>
    <row r="209" spans="1:5" ht="13.2">
      <c r="A209" s="24"/>
      <c r="B209" s="23"/>
      <c r="C209" s="23"/>
      <c r="D209" s="23"/>
      <c r="E209" s="23"/>
    </row>
    <row r="210" spans="1:5" ht="13.2">
      <c r="A210" s="24"/>
      <c r="B210" s="23"/>
      <c r="C210" s="23"/>
      <c r="D210" s="23"/>
      <c r="E210" s="23"/>
    </row>
    <row r="211" spans="1:5" ht="13.2">
      <c r="A211" s="24"/>
      <c r="B211" s="23"/>
      <c r="C211" s="23"/>
      <c r="D211" s="23"/>
      <c r="E211" s="23"/>
    </row>
    <row r="212" spans="1:5" ht="13.2">
      <c r="A212" s="24"/>
      <c r="B212" s="23"/>
      <c r="C212" s="23"/>
      <c r="D212" s="23"/>
      <c r="E212" s="23"/>
    </row>
    <row r="213" spans="1:5" ht="13.2">
      <c r="A213" s="24"/>
      <c r="B213" s="23"/>
      <c r="C213" s="23"/>
      <c r="D213" s="23"/>
      <c r="E213" s="23"/>
    </row>
    <row r="214" spans="1:5" ht="13.2">
      <c r="A214" s="24"/>
      <c r="B214" s="23"/>
      <c r="C214" s="23"/>
      <c r="D214" s="23"/>
      <c r="E214" s="23"/>
    </row>
    <row r="215" spans="1:5" ht="13.2">
      <c r="A215" s="24"/>
      <c r="B215" s="23"/>
      <c r="C215" s="23"/>
      <c r="D215" s="23"/>
      <c r="E215" s="23"/>
    </row>
    <row r="216" spans="1:5" ht="13.2">
      <c r="A216" s="24"/>
      <c r="B216" s="23"/>
      <c r="C216" s="23"/>
      <c r="D216" s="23"/>
      <c r="E216" s="23"/>
    </row>
    <row r="217" spans="1:5" ht="13.2">
      <c r="A217" s="24"/>
      <c r="B217" s="23"/>
      <c r="C217" s="23"/>
      <c r="D217" s="23"/>
      <c r="E217" s="23"/>
    </row>
    <row r="218" spans="1:5" ht="13.2">
      <c r="A218" s="24"/>
      <c r="B218" s="23"/>
      <c r="C218" s="23"/>
      <c r="D218" s="23"/>
      <c r="E218" s="23"/>
    </row>
    <row r="219" spans="1:5" ht="13.2">
      <c r="A219" s="24"/>
      <c r="B219" s="23"/>
      <c r="C219" s="23"/>
      <c r="D219" s="23"/>
      <c r="E219" s="23"/>
    </row>
    <row r="220" spans="1:5" ht="13.2">
      <c r="A220" s="24"/>
      <c r="B220" s="23"/>
      <c r="C220" s="23"/>
      <c r="D220" s="23"/>
      <c r="E220" s="23"/>
    </row>
    <row r="221" spans="1:5" ht="13.2">
      <c r="A221" s="24"/>
      <c r="B221" s="23"/>
      <c r="C221" s="23"/>
      <c r="D221" s="23"/>
      <c r="E221" s="23"/>
    </row>
    <row r="222" spans="1:5" ht="13.2">
      <c r="A222" s="24"/>
      <c r="B222" s="23"/>
      <c r="C222" s="23"/>
      <c r="D222" s="23"/>
      <c r="E222" s="23"/>
    </row>
    <row r="223" spans="1:5" ht="13.2">
      <c r="A223" s="24"/>
      <c r="B223" s="23"/>
      <c r="C223" s="23"/>
      <c r="D223" s="23"/>
      <c r="E223" s="23"/>
    </row>
    <row r="224" spans="1:5" ht="13.2">
      <c r="A224" s="24"/>
      <c r="B224" s="23"/>
      <c r="C224" s="23"/>
      <c r="D224" s="23"/>
      <c r="E224" s="23"/>
    </row>
    <row r="225" spans="1:5" ht="13.2">
      <c r="A225" s="24"/>
      <c r="B225" s="23"/>
      <c r="C225" s="23"/>
      <c r="D225" s="23"/>
      <c r="E225" s="23"/>
    </row>
    <row r="226" spans="1:5" ht="13.2">
      <c r="A226" s="24"/>
      <c r="B226" s="23"/>
      <c r="C226" s="23"/>
      <c r="D226" s="23"/>
      <c r="E226" s="23"/>
    </row>
    <row r="227" spans="1:5" ht="13.2">
      <c r="A227" s="24"/>
      <c r="B227" s="23"/>
      <c r="C227" s="23"/>
      <c r="D227" s="23"/>
      <c r="E227" s="23"/>
    </row>
    <row r="228" spans="1:5" ht="13.2">
      <c r="A228" s="24"/>
      <c r="B228" s="23"/>
      <c r="C228" s="23"/>
      <c r="D228" s="23"/>
      <c r="E228" s="23"/>
    </row>
    <row r="229" spans="1:5" ht="13.2">
      <c r="A229" s="24"/>
      <c r="B229" s="23"/>
      <c r="C229" s="23"/>
      <c r="D229" s="23"/>
      <c r="E229" s="23"/>
    </row>
    <row r="230" spans="1:5" ht="13.2">
      <c r="A230" s="24"/>
      <c r="B230" s="23"/>
      <c r="C230" s="23"/>
      <c r="D230" s="23"/>
      <c r="E230" s="23"/>
    </row>
    <row r="231" spans="1:5" ht="13.2">
      <c r="A231" s="24"/>
      <c r="B231" s="23"/>
      <c r="C231" s="23"/>
      <c r="D231" s="23"/>
      <c r="E231" s="23"/>
    </row>
    <row r="232" spans="1:5" ht="13.2">
      <c r="A232" s="24"/>
      <c r="B232" s="23"/>
      <c r="C232" s="23"/>
      <c r="D232" s="23"/>
      <c r="E232" s="23"/>
    </row>
    <row r="233" spans="1:5" ht="13.2">
      <c r="A233" s="24"/>
      <c r="B233" s="23"/>
      <c r="C233" s="23"/>
      <c r="D233" s="23"/>
      <c r="E233" s="23"/>
    </row>
    <row r="234" spans="1:5" ht="13.2">
      <c r="A234" s="24"/>
      <c r="B234" s="23"/>
      <c r="C234" s="23"/>
      <c r="D234" s="23"/>
      <c r="E234" s="23"/>
    </row>
    <row r="235" spans="1:5" ht="13.2">
      <c r="A235" s="24"/>
      <c r="B235" s="23"/>
      <c r="C235" s="23"/>
      <c r="D235" s="23"/>
      <c r="E235" s="23"/>
    </row>
    <row r="236" spans="1:5" ht="13.2">
      <c r="A236" s="24"/>
      <c r="B236" s="23"/>
      <c r="C236" s="23"/>
      <c r="D236" s="23"/>
      <c r="E236" s="23"/>
    </row>
    <row r="237" spans="1:5" ht="13.2">
      <c r="A237" s="24"/>
      <c r="B237" s="23"/>
      <c r="C237" s="23"/>
      <c r="D237" s="23"/>
      <c r="E237" s="23"/>
    </row>
    <row r="238" spans="1:5" ht="13.2">
      <c r="A238" s="24"/>
      <c r="B238" s="23"/>
      <c r="C238" s="23"/>
      <c r="D238" s="23"/>
      <c r="E238" s="23"/>
    </row>
    <row r="239" spans="1:5" ht="13.2">
      <c r="A239" s="24"/>
      <c r="B239" s="23"/>
      <c r="C239" s="23"/>
      <c r="D239" s="23"/>
      <c r="E239" s="23"/>
    </row>
    <row r="240" spans="1:5" ht="13.2">
      <c r="A240" s="24"/>
      <c r="B240" s="23"/>
      <c r="C240" s="23"/>
      <c r="D240" s="23"/>
      <c r="E240" s="23"/>
    </row>
    <row r="241" spans="1:5" ht="13.2">
      <c r="A241" s="24"/>
      <c r="B241" s="23"/>
      <c r="C241" s="23"/>
      <c r="D241" s="23"/>
      <c r="E241" s="23"/>
    </row>
    <row r="242" spans="1:5" ht="13.2">
      <c r="A242" s="24"/>
      <c r="B242" s="23"/>
      <c r="C242" s="23"/>
      <c r="D242" s="23"/>
      <c r="E242" s="23"/>
    </row>
    <row r="243" spans="1:5" ht="13.2">
      <c r="A243" s="24"/>
      <c r="B243" s="23"/>
      <c r="C243" s="23"/>
      <c r="D243" s="23"/>
      <c r="E243" s="23"/>
    </row>
    <row r="244" spans="1:5" ht="13.2">
      <c r="A244" s="24"/>
      <c r="B244" s="23"/>
      <c r="C244" s="23"/>
      <c r="D244" s="23"/>
      <c r="E244" s="23"/>
    </row>
    <row r="245" spans="1:5" ht="13.2">
      <c r="A245" s="24"/>
      <c r="B245" s="23"/>
      <c r="C245" s="23"/>
      <c r="D245" s="23"/>
      <c r="E245" s="23"/>
    </row>
    <row r="246" spans="1:5" ht="13.2">
      <c r="A246" s="24"/>
      <c r="B246" s="23"/>
      <c r="C246" s="23"/>
      <c r="D246" s="23"/>
      <c r="E246" s="23"/>
    </row>
    <row r="247" spans="1:5" ht="13.2">
      <c r="A247" s="24"/>
      <c r="B247" s="23"/>
      <c r="C247" s="23"/>
      <c r="D247" s="23"/>
      <c r="E247" s="23"/>
    </row>
    <row r="248" spans="1:5" ht="13.2">
      <c r="A248" s="24"/>
      <c r="B248" s="23"/>
      <c r="C248" s="23"/>
      <c r="D248" s="23"/>
      <c r="E248" s="23"/>
    </row>
    <row r="249" spans="1:5" ht="13.2">
      <c r="A249" s="24"/>
      <c r="B249" s="23"/>
      <c r="C249" s="23"/>
      <c r="D249" s="23"/>
      <c r="E249" s="23"/>
    </row>
    <row r="250" spans="1:5" ht="13.2">
      <c r="A250" s="24"/>
      <c r="B250" s="23"/>
      <c r="C250" s="23"/>
      <c r="D250" s="23"/>
      <c r="E250" s="23"/>
    </row>
    <row r="251" spans="1:5" ht="13.2">
      <c r="A251" s="24"/>
      <c r="B251" s="23"/>
      <c r="C251" s="23"/>
      <c r="D251" s="23"/>
      <c r="E251" s="23"/>
    </row>
    <row r="252" spans="1:5" ht="13.2">
      <c r="A252" s="24"/>
      <c r="B252" s="23"/>
      <c r="C252" s="23"/>
      <c r="D252" s="23"/>
      <c r="E252" s="23"/>
    </row>
    <row r="253" spans="1:5" ht="13.2">
      <c r="A253" s="24"/>
      <c r="B253" s="23"/>
      <c r="C253" s="23"/>
      <c r="D253" s="23"/>
      <c r="E253" s="23"/>
    </row>
    <row r="254" spans="1:5" ht="13.2">
      <c r="A254" s="24"/>
      <c r="B254" s="23"/>
      <c r="C254" s="23"/>
      <c r="D254" s="23"/>
      <c r="E254" s="23"/>
    </row>
    <row r="255" spans="1:5" ht="13.2">
      <c r="A255" s="24"/>
      <c r="B255" s="23"/>
      <c r="C255" s="23"/>
      <c r="D255" s="23"/>
      <c r="E255" s="23"/>
    </row>
    <row r="256" spans="1:5" ht="13.2">
      <c r="A256" s="24"/>
      <c r="B256" s="23"/>
      <c r="C256" s="23"/>
      <c r="D256" s="23"/>
      <c r="E256" s="23"/>
    </row>
    <row r="257" spans="1:5" ht="13.2">
      <c r="A257" s="24"/>
      <c r="B257" s="23"/>
      <c r="C257" s="23"/>
      <c r="D257" s="23"/>
      <c r="E257" s="23"/>
    </row>
    <row r="258" spans="1:5" ht="13.2">
      <c r="A258" s="24"/>
      <c r="B258" s="23"/>
      <c r="C258" s="23"/>
      <c r="D258" s="23"/>
      <c r="E258" s="23"/>
    </row>
    <row r="259" spans="1:5" ht="13.2">
      <c r="A259" s="24"/>
      <c r="B259" s="23"/>
      <c r="C259" s="23"/>
      <c r="D259" s="23"/>
      <c r="E259" s="23"/>
    </row>
    <row r="260" spans="1:5" ht="13.2">
      <c r="A260" s="24"/>
      <c r="B260" s="23"/>
      <c r="C260" s="23"/>
      <c r="D260" s="23"/>
      <c r="E260" s="23"/>
    </row>
    <row r="261" spans="1:5" ht="13.2">
      <c r="A261" s="24"/>
      <c r="B261" s="23"/>
      <c r="C261" s="23"/>
      <c r="D261" s="23"/>
      <c r="E261" s="23"/>
    </row>
    <row r="262" spans="1:5" ht="13.2">
      <c r="A262" s="24"/>
      <c r="B262" s="23"/>
      <c r="C262" s="23"/>
      <c r="D262" s="23"/>
      <c r="E262" s="23"/>
    </row>
    <row r="263" spans="1:5" ht="13.2">
      <c r="A263" s="24"/>
      <c r="B263" s="23"/>
      <c r="C263" s="23"/>
      <c r="D263" s="23"/>
      <c r="E263" s="23"/>
    </row>
    <row r="264" spans="1:5" ht="13.2">
      <c r="A264" s="24"/>
      <c r="B264" s="23"/>
      <c r="C264" s="23"/>
      <c r="D264" s="23"/>
      <c r="E264" s="23"/>
    </row>
    <row r="265" spans="1:5" ht="13.2">
      <c r="A265" s="24"/>
      <c r="B265" s="23"/>
      <c r="C265" s="23"/>
      <c r="D265" s="23"/>
      <c r="E265" s="23"/>
    </row>
    <row r="266" spans="1:5" ht="13.2">
      <c r="A266" s="24"/>
      <c r="B266" s="23"/>
      <c r="C266" s="23"/>
      <c r="D266" s="23"/>
      <c r="E266" s="23"/>
    </row>
    <row r="267" spans="1:5" ht="13.2">
      <c r="A267" s="24"/>
      <c r="B267" s="23"/>
      <c r="C267" s="23"/>
      <c r="D267" s="23"/>
      <c r="E267" s="23"/>
    </row>
    <row r="268" spans="1:5" ht="13.2">
      <c r="A268" s="24"/>
      <c r="B268" s="23"/>
      <c r="C268" s="23"/>
      <c r="D268" s="23"/>
      <c r="E268" s="23"/>
    </row>
    <row r="269" spans="1:5" ht="13.2">
      <c r="A269" s="24"/>
      <c r="B269" s="23"/>
      <c r="C269" s="23"/>
      <c r="D269" s="23"/>
      <c r="E269" s="23"/>
    </row>
    <row r="270" spans="1:5" ht="13.2">
      <c r="A270" s="24"/>
      <c r="B270" s="23"/>
      <c r="C270" s="23"/>
      <c r="D270" s="23"/>
      <c r="E270" s="23"/>
    </row>
    <row r="271" spans="1:5" ht="13.2">
      <c r="A271" s="24"/>
      <c r="B271" s="23"/>
      <c r="C271" s="23"/>
      <c r="D271" s="23"/>
      <c r="E271" s="23"/>
    </row>
    <row r="272" spans="1:5" ht="13.2">
      <c r="A272" s="24"/>
      <c r="B272" s="23"/>
      <c r="C272" s="23"/>
      <c r="D272" s="23"/>
      <c r="E272" s="23"/>
    </row>
    <row r="273" spans="1:5" ht="13.2">
      <c r="A273" s="24"/>
      <c r="B273" s="23"/>
      <c r="C273" s="23"/>
      <c r="D273" s="23"/>
      <c r="E273" s="23"/>
    </row>
    <row r="274" spans="1:5" ht="13.2">
      <c r="A274" s="24"/>
      <c r="B274" s="23"/>
      <c r="C274" s="23"/>
      <c r="D274" s="23"/>
      <c r="E274" s="23"/>
    </row>
    <row r="275" spans="1:5" ht="13.2">
      <c r="A275" s="24"/>
      <c r="B275" s="23"/>
      <c r="C275" s="23"/>
      <c r="D275" s="23"/>
      <c r="E275" s="23"/>
    </row>
    <row r="276" spans="1:5" ht="13.2">
      <c r="A276" s="24"/>
      <c r="B276" s="23"/>
      <c r="C276" s="23"/>
      <c r="D276" s="23"/>
      <c r="E276" s="23"/>
    </row>
    <row r="277" spans="1:5" ht="13.2">
      <c r="A277" s="24"/>
      <c r="B277" s="23"/>
      <c r="C277" s="23"/>
      <c r="D277" s="23"/>
      <c r="E277" s="23"/>
    </row>
    <row r="278" spans="1:5" ht="13.2">
      <c r="A278" s="24"/>
      <c r="B278" s="23"/>
      <c r="C278" s="23"/>
      <c r="D278" s="23"/>
      <c r="E278" s="23"/>
    </row>
    <row r="279" spans="1:5" ht="13.2">
      <c r="A279" s="24"/>
      <c r="B279" s="23"/>
      <c r="C279" s="23"/>
      <c r="D279" s="23"/>
      <c r="E279" s="23"/>
    </row>
    <row r="280" spans="1:5" ht="13.2">
      <c r="A280" s="24"/>
      <c r="B280" s="23"/>
      <c r="C280" s="23"/>
      <c r="D280" s="23"/>
      <c r="E280" s="23"/>
    </row>
    <row r="281" spans="1:5" ht="13.2">
      <c r="A281" s="24"/>
      <c r="B281" s="23"/>
      <c r="C281" s="23"/>
      <c r="D281" s="23"/>
      <c r="E281" s="23"/>
    </row>
    <row r="282" spans="1:5" ht="13.2">
      <c r="A282" s="24"/>
      <c r="B282" s="23"/>
      <c r="C282" s="23"/>
      <c r="D282" s="23"/>
      <c r="E282" s="23"/>
    </row>
    <row r="283" spans="1:5" ht="13.2">
      <c r="A283" s="24"/>
      <c r="B283" s="23"/>
      <c r="C283" s="23"/>
      <c r="D283" s="23"/>
      <c r="E283" s="23"/>
    </row>
    <row r="284" spans="1:5" ht="13.2">
      <c r="A284" s="24"/>
      <c r="B284" s="23"/>
      <c r="C284" s="23"/>
      <c r="D284" s="23"/>
      <c r="E284" s="23"/>
    </row>
    <row r="285" spans="1:5" ht="13.2">
      <c r="A285" s="24"/>
      <c r="B285" s="23"/>
      <c r="C285" s="23"/>
      <c r="D285" s="23"/>
      <c r="E285" s="23"/>
    </row>
    <row r="286" spans="1:5" ht="13.2">
      <c r="A286" s="24"/>
      <c r="B286" s="23"/>
      <c r="C286" s="23"/>
      <c r="D286" s="23"/>
      <c r="E286" s="23"/>
    </row>
    <row r="287" spans="1:5" ht="13.2">
      <c r="A287" s="24"/>
      <c r="B287" s="23"/>
      <c r="C287" s="23"/>
      <c r="D287" s="23"/>
      <c r="E287" s="23"/>
    </row>
    <row r="288" spans="1:5" ht="13.2">
      <c r="A288" s="24"/>
      <c r="B288" s="23"/>
      <c r="C288" s="23"/>
      <c r="D288" s="23"/>
      <c r="E288" s="23"/>
    </row>
    <row r="289" spans="1:5" ht="13.2">
      <c r="A289" s="24"/>
      <c r="B289" s="23"/>
      <c r="C289" s="23"/>
      <c r="D289" s="23"/>
      <c r="E289" s="23"/>
    </row>
    <row r="290" spans="1:5" ht="13.2">
      <c r="A290" s="24"/>
      <c r="B290" s="23"/>
      <c r="C290" s="23"/>
      <c r="D290" s="23"/>
      <c r="E290" s="23"/>
    </row>
    <row r="291" spans="1:5" ht="13.2">
      <c r="A291" s="24"/>
      <c r="B291" s="23"/>
      <c r="C291" s="23"/>
      <c r="D291" s="23"/>
      <c r="E291" s="23"/>
    </row>
    <row r="292" spans="1:5" ht="13.2">
      <c r="A292" s="24"/>
      <c r="B292" s="23"/>
      <c r="C292" s="23"/>
      <c r="D292" s="23"/>
      <c r="E292" s="23"/>
    </row>
    <row r="293" spans="1:5" ht="13.2">
      <c r="A293" s="24"/>
      <c r="B293" s="23"/>
      <c r="C293" s="23"/>
      <c r="D293" s="23"/>
      <c r="E293" s="23"/>
    </row>
    <row r="294" spans="1:5" ht="13.2">
      <c r="A294" s="24"/>
      <c r="B294" s="23"/>
      <c r="C294" s="23"/>
      <c r="D294" s="23"/>
      <c r="E294" s="23"/>
    </row>
    <row r="295" spans="1:5" ht="13.2">
      <c r="A295" s="24"/>
      <c r="B295" s="23"/>
      <c r="C295" s="23"/>
      <c r="D295" s="23"/>
      <c r="E295" s="23"/>
    </row>
    <row r="296" spans="1:5" ht="13.2">
      <c r="A296" s="24"/>
      <c r="B296" s="23"/>
      <c r="C296" s="23"/>
      <c r="D296" s="23"/>
      <c r="E296" s="23"/>
    </row>
    <row r="297" spans="1:5" ht="13.2">
      <c r="A297" s="24"/>
      <c r="B297" s="23"/>
      <c r="C297" s="23"/>
      <c r="D297" s="23"/>
      <c r="E297" s="23"/>
    </row>
    <row r="298" spans="1:5" ht="13.2">
      <c r="A298" s="24"/>
      <c r="B298" s="23"/>
      <c r="C298" s="23"/>
      <c r="D298" s="23"/>
      <c r="E298" s="23"/>
    </row>
    <row r="299" spans="1:5" ht="13.2">
      <c r="A299" s="24"/>
      <c r="B299" s="23"/>
      <c r="C299" s="23"/>
      <c r="D299" s="23"/>
      <c r="E299" s="23"/>
    </row>
    <row r="300" spans="1:5" ht="13.2">
      <c r="A300" s="24"/>
      <c r="B300" s="23"/>
      <c r="C300" s="23"/>
      <c r="D300" s="23"/>
      <c r="E300" s="23"/>
    </row>
    <row r="301" spans="1:5" ht="13.2">
      <c r="A301" s="24"/>
      <c r="B301" s="23"/>
      <c r="C301" s="23"/>
      <c r="D301" s="23"/>
      <c r="E301" s="23"/>
    </row>
    <row r="302" spans="1:5" ht="13.2">
      <c r="A302" s="24"/>
      <c r="B302" s="23"/>
      <c r="C302" s="23"/>
      <c r="D302" s="23"/>
      <c r="E302" s="23"/>
    </row>
    <row r="303" spans="1:5" ht="13.2">
      <c r="A303" s="24"/>
      <c r="B303" s="23"/>
      <c r="C303" s="23"/>
      <c r="D303" s="23"/>
      <c r="E303" s="23"/>
    </row>
    <row r="304" spans="1:5" ht="13.2">
      <c r="A304" s="24"/>
      <c r="B304" s="23"/>
      <c r="C304" s="23"/>
      <c r="D304" s="23"/>
      <c r="E304" s="23"/>
    </row>
    <row r="305" spans="1:5" ht="13.2">
      <c r="A305" s="24"/>
      <c r="B305" s="23"/>
      <c r="C305" s="23"/>
      <c r="D305" s="23"/>
      <c r="E305" s="23"/>
    </row>
    <row r="306" spans="1:5" ht="13.2">
      <c r="A306" s="24"/>
      <c r="B306" s="23"/>
      <c r="C306" s="23"/>
      <c r="D306" s="23"/>
      <c r="E306" s="23"/>
    </row>
    <row r="307" spans="1:5" ht="13.2">
      <c r="A307" s="24"/>
      <c r="B307" s="23"/>
      <c r="C307" s="23"/>
      <c r="D307" s="23"/>
      <c r="E307" s="23"/>
    </row>
    <row r="308" spans="1:5" ht="13.2">
      <c r="A308" s="24"/>
      <c r="B308" s="23"/>
      <c r="C308" s="23"/>
      <c r="D308" s="23"/>
      <c r="E308" s="23"/>
    </row>
    <row r="309" spans="1:5" ht="13.2">
      <c r="A309" s="24"/>
      <c r="B309" s="23"/>
      <c r="C309" s="23"/>
      <c r="D309" s="23"/>
      <c r="E309" s="23"/>
    </row>
    <row r="310" spans="1:5" ht="13.2">
      <c r="A310" s="24"/>
      <c r="B310" s="23"/>
      <c r="C310" s="23"/>
      <c r="D310" s="23"/>
      <c r="E310" s="23"/>
    </row>
    <row r="311" spans="1:5" ht="13.2">
      <c r="A311" s="24"/>
      <c r="B311" s="23"/>
      <c r="C311" s="23"/>
      <c r="D311" s="23"/>
      <c r="E311" s="23"/>
    </row>
    <row r="312" spans="1:5" ht="13.2">
      <c r="A312" s="24"/>
      <c r="B312" s="23"/>
      <c r="C312" s="23"/>
      <c r="D312" s="23"/>
      <c r="E312" s="23"/>
    </row>
    <row r="313" spans="1:5" ht="13.2">
      <c r="A313" s="24"/>
      <c r="B313" s="23"/>
      <c r="C313" s="23"/>
      <c r="D313" s="23"/>
      <c r="E313" s="23"/>
    </row>
    <row r="314" spans="1:5" ht="13.2">
      <c r="A314" s="24"/>
      <c r="B314" s="23"/>
      <c r="C314" s="23"/>
      <c r="D314" s="23"/>
      <c r="E314" s="23"/>
    </row>
    <row r="315" spans="1:5" ht="13.2">
      <c r="A315" s="24"/>
      <c r="B315" s="23"/>
      <c r="C315" s="23"/>
      <c r="D315" s="23"/>
      <c r="E315" s="23"/>
    </row>
    <row r="316" spans="1:5" ht="13.2">
      <c r="A316" s="24"/>
      <c r="B316" s="23"/>
      <c r="C316" s="23"/>
      <c r="D316" s="23"/>
      <c r="E316" s="23"/>
    </row>
    <row r="317" spans="1:5" ht="13.2">
      <c r="A317" s="24"/>
      <c r="B317" s="23"/>
      <c r="C317" s="23"/>
      <c r="D317" s="23"/>
      <c r="E317" s="23"/>
    </row>
    <row r="318" spans="1:5" ht="13.2">
      <c r="A318" s="24"/>
      <c r="B318" s="23"/>
      <c r="C318" s="23"/>
      <c r="D318" s="23"/>
      <c r="E318" s="23"/>
    </row>
    <row r="319" spans="1:5" ht="13.2">
      <c r="A319" s="24"/>
      <c r="B319" s="23"/>
      <c r="C319" s="23"/>
      <c r="D319" s="23"/>
      <c r="E319" s="23"/>
    </row>
    <row r="320" spans="1:5" ht="13.2">
      <c r="A320" s="24"/>
      <c r="B320" s="23"/>
      <c r="C320" s="23"/>
      <c r="D320" s="23"/>
      <c r="E320" s="23"/>
    </row>
    <row r="321" spans="1:5" ht="13.2">
      <c r="A321" s="24"/>
      <c r="B321" s="23"/>
      <c r="C321" s="23"/>
      <c r="D321" s="23"/>
      <c r="E321" s="23"/>
    </row>
    <row r="322" spans="1:5" ht="13.2">
      <c r="A322" s="24"/>
      <c r="B322" s="23"/>
      <c r="C322" s="23"/>
      <c r="D322" s="23"/>
      <c r="E322" s="23"/>
    </row>
    <row r="323" spans="1:5" ht="13.2">
      <c r="A323" s="24"/>
      <c r="B323" s="23"/>
      <c r="C323" s="23"/>
      <c r="D323" s="23"/>
      <c r="E323" s="23"/>
    </row>
    <row r="324" spans="1:5" ht="13.2">
      <c r="A324" s="24"/>
      <c r="B324" s="23"/>
      <c r="C324" s="23"/>
      <c r="D324" s="23"/>
      <c r="E324" s="23"/>
    </row>
    <row r="325" spans="1:5" ht="13.2">
      <c r="A325" s="24"/>
      <c r="B325" s="23"/>
      <c r="C325" s="23"/>
      <c r="D325" s="23"/>
      <c r="E325" s="23"/>
    </row>
    <row r="326" spans="1:5" ht="13.2">
      <c r="A326" s="24"/>
      <c r="B326" s="23"/>
      <c r="C326" s="23"/>
      <c r="D326" s="23"/>
      <c r="E326" s="23"/>
    </row>
    <row r="327" spans="1:5" ht="13.2">
      <c r="A327" s="24"/>
      <c r="B327" s="23"/>
      <c r="C327" s="23"/>
      <c r="D327" s="23"/>
      <c r="E327" s="23"/>
    </row>
    <row r="328" spans="1:5" ht="13.2">
      <c r="A328" s="24"/>
      <c r="B328" s="23"/>
      <c r="C328" s="23"/>
      <c r="D328" s="23"/>
      <c r="E328" s="23"/>
    </row>
    <row r="329" spans="1:5" ht="13.2">
      <c r="A329" s="24"/>
      <c r="B329" s="23"/>
      <c r="C329" s="23"/>
      <c r="D329" s="23"/>
      <c r="E329" s="23"/>
    </row>
    <row r="330" spans="1:5" ht="13.2">
      <c r="A330" s="24"/>
      <c r="B330" s="23"/>
      <c r="C330" s="23"/>
      <c r="D330" s="23"/>
      <c r="E330" s="23"/>
    </row>
    <row r="331" spans="1:5" ht="13.2">
      <c r="A331" s="24"/>
      <c r="B331" s="23"/>
      <c r="C331" s="23"/>
      <c r="D331" s="23"/>
      <c r="E331" s="23"/>
    </row>
    <row r="332" spans="1:5" ht="13.2">
      <c r="A332" s="24"/>
      <c r="B332" s="23"/>
      <c r="C332" s="23"/>
      <c r="D332" s="23"/>
      <c r="E332" s="23"/>
    </row>
    <row r="333" spans="1:5" ht="13.2">
      <c r="A333" s="24"/>
      <c r="B333" s="23"/>
      <c r="C333" s="23"/>
      <c r="D333" s="23"/>
      <c r="E333" s="23"/>
    </row>
    <row r="334" spans="1:5" ht="13.2">
      <c r="A334" s="24"/>
      <c r="B334" s="23"/>
      <c r="C334" s="23"/>
      <c r="D334" s="23"/>
      <c r="E334" s="23"/>
    </row>
    <row r="335" spans="1:5" ht="13.2">
      <c r="A335" s="24"/>
      <c r="B335" s="23"/>
      <c r="C335" s="23"/>
      <c r="D335" s="23"/>
      <c r="E335" s="23"/>
    </row>
    <row r="336" spans="1:5" ht="13.2">
      <c r="A336" s="24"/>
      <c r="B336" s="23"/>
      <c r="C336" s="23"/>
      <c r="D336" s="23"/>
      <c r="E336" s="23"/>
    </row>
    <row r="337" spans="1:5" ht="13.2">
      <c r="A337" s="24"/>
      <c r="B337" s="23"/>
      <c r="C337" s="23"/>
      <c r="D337" s="23"/>
      <c r="E337" s="23"/>
    </row>
    <row r="338" spans="1:5" ht="13.2">
      <c r="A338" s="24"/>
      <c r="B338" s="23"/>
      <c r="C338" s="23"/>
      <c r="D338" s="23"/>
      <c r="E338" s="23"/>
    </row>
    <row r="339" spans="1:5" ht="13.2">
      <c r="A339" s="24"/>
      <c r="B339" s="23"/>
      <c r="C339" s="23"/>
      <c r="D339" s="23"/>
      <c r="E339" s="23"/>
    </row>
    <row r="340" spans="1:5" ht="13.2">
      <c r="A340" s="24"/>
      <c r="B340" s="23"/>
      <c r="C340" s="23"/>
      <c r="D340" s="23"/>
      <c r="E340" s="23"/>
    </row>
    <row r="341" spans="1:5" ht="13.2">
      <c r="A341" s="24"/>
      <c r="B341" s="23"/>
      <c r="C341" s="23"/>
      <c r="D341" s="23"/>
      <c r="E341" s="23"/>
    </row>
    <row r="342" spans="1:5" ht="13.2">
      <c r="A342" s="24"/>
      <c r="B342" s="23"/>
      <c r="C342" s="23"/>
      <c r="D342" s="23"/>
      <c r="E342" s="23"/>
    </row>
    <row r="343" spans="1:5" ht="13.2">
      <c r="A343" s="24"/>
      <c r="B343" s="23"/>
      <c r="C343" s="23"/>
      <c r="D343" s="23"/>
      <c r="E343" s="23"/>
    </row>
    <row r="344" spans="1:5" ht="13.2">
      <c r="A344" s="24"/>
      <c r="B344" s="23"/>
      <c r="C344" s="23"/>
      <c r="D344" s="23"/>
      <c r="E344" s="23"/>
    </row>
    <row r="345" spans="1:5" ht="13.2">
      <c r="A345" s="24"/>
      <c r="B345" s="23"/>
      <c r="C345" s="23"/>
      <c r="D345" s="23"/>
      <c r="E345" s="23"/>
    </row>
    <row r="346" spans="1:5" ht="13.2">
      <c r="A346" s="24"/>
      <c r="B346" s="23"/>
      <c r="C346" s="23"/>
      <c r="D346" s="23"/>
      <c r="E346" s="23"/>
    </row>
    <row r="347" spans="1:5" ht="13.2">
      <c r="A347" s="24"/>
      <c r="B347" s="23"/>
      <c r="C347" s="23"/>
      <c r="D347" s="23"/>
      <c r="E347" s="23"/>
    </row>
    <row r="348" spans="1:5" ht="13.2">
      <c r="A348" s="24"/>
      <c r="B348" s="23"/>
      <c r="C348" s="23"/>
      <c r="D348" s="23"/>
      <c r="E348" s="23"/>
    </row>
    <row r="349" spans="1:5" ht="13.2">
      <c r="A349" s="24"/>
      <c r="B349" s="23"/>
      <c r="C349" s="23"/>
      <c r="D349" s="23"/>
      <c r="E349" s="23"/>
    </row>
    <row r="350" spans="1:5" ht="13.2">
      <c r="A350" s="24"/>
      <c r="B350" s="23"/>
      <c r="C350" s="23"/>
      <c r="D350" s="23"/>
      <c r="E350" s="23"/>
    </row>
    <row r="351" spans="1:5" ht="13.2">
      <c r="A351" s="24"/>
      <c r="B351" s="23"/>
      <c r="C351" s="23"/>
      <c r="D351" s="23"/>
      <c r="E351" s="23"/>
    </row>
    <row r="352" spans="1:5" ht="13.2">
      <c r="A352" s="24"/>
      <c r="B352" s="23"/>
      <c r="C352" s="23"/>
      <c r="D352" s="23"/>
      <c r="E352" s="23"/>
    </row>
    <row r="353" spans="1:5" ht="13.2">
      <c r="A353" s="24"/>
      <c r="B353" s="23"/>
      <c r="C353" s="23"/>
      <c r="D353" s="23"/>
      <c r="E353" s="23"/>
    </row>
    <row r="354" spans="1:5" ht="13.2">
      <c r="A354" s="24"/>
      <c r="B354" s="23"/>
      <c r="C354" s="23"/>
      <c r="D354" s="23"/>
      <c r="E354" s="23"/>
    </row>
    <row r="355" spans="1:5" ht="13.2">
      <c r="A355" s="24"/>
      <c r="B355" s="23"/>
      <c r="C355" s="23"/>
      <c r="D355" s="23"/>
      <c r="E355" s="23"/>
    </row>
    <row r="356" spans="1:5" ht="13.2">
      <c r="A356" s="24"/>
      <c r="B356" s="23"/>
      <c r="C356" s="23"/>
      <c r="D356" s="23"/>
      <c r="E356" s="23"/>
    </row>
    <row r="357" spans="1:5" ht="13.2">
      <c r="A357" s="24"/>
      <c r="B357" s="23"/>
      <c r="C357" s="23"/>
      <c r="D357" s="23"/>
      <c r="E357" s="23"/>
    </row>
    <row r="358" spans="1:5" ht="13.2">
      <c r="A358" s="24"/>
      <c r="B358" s="23"/>
      <c r="C358" s="23"/>
      <c r="D358" s="23"/>
      <c r="E358" s="23"/>
    </row>
    <row r="359" spans="1:5" ht="13.2">
      <c r="A359" s="24"/>
      <c r="B359" s="23"/>
      <c r="C359" s="23"/>
      <c r="D359" s="23"/>
      <c r="E359" s="23"/>
    </row>
    <row r="360" spans="1:5" ht="13.2">
      <c r="A360" s="24"/>
      <c r="B360" s="23"/>
      <c r="C360" s="23"/>
      <c r="D360" s="23"/>
      <c r="E360" s="23"/>
    </row>
    <row r="361" spans="1:5" ht="13.2">
      <c r="A361" s="24"/>
      <c r="B361" s="23"/>
      <c r="C361" s="23"/>
      <c r="D361" s="23"/>
      <c r="E361" s="23"/>
    </row>
    <row r="362" spans="1:5" ht="13.2">
      <c r="A362" s="24"/>
      <c r="B362" s="23"/>
      <c r="C362" s="23"/>
      <c r="D362" s="23"/>
      <c r="E362" s="23"/>
    </row>
    <row r="363" spans="1:5" ht="13.2">
      <c r="A363" s="24"/>
      <c r="B363" s="23"/>
      <c r="C363" s="23"/>
      <c r="D363" s="23"/>
      <c r="E363" s="23"/>
    </row>
    <row r="364" spans="1:5" ht="13.2">
      <c r="A364" s="24"/>
      <c r="B364" s="23"/>
      <c r="C364" s="23"/>
      <c r="D364" s="23"/>
      <c r="E364" s="23"/>
    </row>
    <row r="365" spans="1:5" ht="13.2">
      <c r="A365" s="24"/>
      <c r="B365" s="23"/>
      <c r="C365" s="23"/>
      <c r="D365" s="23"/>
      <c r="E365" s="23"/>
    </row>
    <row r="366" spans="1:5" ht="13.2">
      <c r="A366" s="24"/>
      <c r="B366" s="23"/>
      <c r="C366" s="23"/>
      <c r="D366" s="23"/>
      <c r="E366" s="23"/>
    </row>
    <row r="367" spans="1:5" ht="13.2">
      <c r="A367" s="24"/>
      <c r="B367" s="23"/>
      <c r="C367" s="23"/>
      <c r="D367" s="23"/>
      <c r="E367" s="23"/>
    </row>
    <row r="368" spans="1:5" ht="13.2">
      <c r="A368" s="24"/>
      <c r="B368" s="23"/>
      <c r="C368" s="23"/>
      <c r="D368" s="23"/>
      <c r="E368" s="23"/>
    </row>
    <row r="369" spans="1:5" ht="13.2">
      <c r="A369" s="24"/>
      <c r="B369" s="23"/>
      <c r="C369" s="23"/>
      <c r="D369" s="23"/>
      <c r="E369" s="23"/>
    </row>
    <row r="370" spans="1:5" ht="13.2">
      <c r="A370" s="24"/>
      <c r="B370" s="23"/>
      <c r="C370" s="23"/>
      <c r="D370" s="23"/>
      <c r="E370" s="23"/>
    </row>
    <row r="371" spans="1:5" ht="13.2">
      <c r="A371" s="24"/>
      <c r="B371" s="23"/>
      <c r="C371" s="23"/>
      <c r="D371" s="23"/>
      <c r="E371" s="23"/>
    </row>
    <row r="372" spans="1:5" ht="13.2">
      <c r="A372" s="24"/>
      <c r="B372" s="23"/>
      <c r="C372" s="23"/>
      <c r="D372" s="23"/>
      <c r="E372" s="23"/>
    </row>
    <row r="373" spans="1:5" ht="13.2">
      <c r="A373" s="24"/>
      <c r="B373" s="23"/>
      <c r="C373" s="23"/>
      <c r="D373" s="23"/>
      <c r="E373" s="23"/>
    </row>
    <row r="374" spans="1:5" ht="13.2">
      <c r="A374" s="24"/>
      <c r="B374" s="23"/>
      <c r="C374" s="23"/>
      <c r="D374" s="23"/>
      <c r="E374" s="23"/>
    </row>
    <row r="375" spans="1:5" ht="13.2">
      <c r="A375" s="24"/>
      <c r="B375" s="23"/>
      <c r="C375" s="23"/>
      <c r="D375" s="23"/>
      <c r="E375" s="23"/>
    </row>
    <row r="376" spans="1:5" ht="13.2">
      <c r="A376" s="24"/>
      <c r="B376" s="23"/>
      <c r="C376" s="23"/>
      <c r="D376" s="23"/>
      <c r="E376" s="23"/>
    </row>
    <row r="377" spans="1:5" ht="13.2">
      <c r="A377" s="24"/>
      <c r="B377" s="23"/>
      <c r="C377" s="23"/>
      <c r="D377" s="23"/>
      <c r="E377" s="23"/>
    </row>
    <row r="378" spans="1:5" ht="13.2">
      <c r="A378" s="24"/>
      <c r="B378" s="23"/>
      <c r="C378" s="23"/>
      <c r="D378" s="23"/>
      <c r="E378" s="23"/>
    </row>
    <row r="379" spans="1:5" ht="13.2">
      <c r="A379" s="24"/>
      <c r="B379" s="23"/>
      <c r="C379" s="23"/>
      <c r="D379" s="23"/>
      <c r="E379" s="23"/>
    </row>
    <row r="380" spans="1:5" ht="13.2">
      <c r="A380" s="24"/>
      <c r="B380" s="23"/>
      <c r="C380" s="23"/>
      <c r="D380" s="23"/>
      <c r="E380" s="23"/>
    </row>
    <row r="381" spans="1:5" ht="13.2">
      <c r="A381" s="24"/>
      <c r="B381" s="23"/>
      <c r="C381" s="23"/>
      <c r="D381" s="23"/>
      <c r="E381" s="23"/>
    </row>
    <row r="382" spans="1:5" ht="13.2">
      <c r="A382" s="24"/>
      <c r="B382" s="23"/>
      <c r="C382" s="23"/>
      <c r="D382" s="23"/>
      <c r="E382" s="23"/>
    </row>
    <row r="383" spans="1:5" ht="13.2">
      <c r="A383" s="24"/>
      <c r="B383" s="23"/>
      <c r="C383" s="23"/>
      <c r="D383" s="23"/>
      <c r="E383" s="23"/>
    </row>
    <row r="384" spans="1:5" ht="13.2">
      <c r="A384" s="24"/>
      <c r="B384" s="23"/>
      <c r="C384" s="23"/>
      <c r="D384" s="23"/>
      <c r="E384" s="23"/>
    </row>
    <row r="385" spans="1:5" ht="13.2">
      <c r="A385" s="24"/>
      <c r="B385" s="23"/>
      <c r="C385" s="23"/>
      <c r="D385" s="23"/>
      <c r="E385" s="23"/>
    </row>
    <row r="386" spans="1:5" ht="13.2">
      <c r="A386" s="24"/>
      <c r="B386" s="23"/>
      <c r="C386" s="23"/>
      <c r="D386" s="23"/>
      <c r="E386" s="23"/>
    </row>
    <row r="387" spans="1:5" ht="13.2">
      <c r="A387" s="24"/>
      <c r="B387" s="23"/>
      <c r="C387" s="23"/>
      <c r="D387" s="23"/>
      <c r="E387" s="23"/>
    </row>
    <row r="388" spans="1:5" ht="13.2">
      <c r="A388" s="24"/>
      <c r="B388" s="23"/>
      <c r="C388" s="23"/>
      <c r="D388" s="23"/>
      <c r="E388" s="23"/>
    </row>
    <row r="389" spans="1:5" ht="13.2">
      <c r="A389" s="24"/>
      <c r="B389" s="23"/>
      <c r="C389" s="23"/>
      <c r="D389" s="23"/>
      <c r="E389" s="23"/>
    </row>
    <row r="390" spans="1:5" ht="13.2">
      <c r="A390" s="24"/>
      <c r="B390" s="23"/>
      <c r="C390" s="23"/>
      <c r="D390" s="23"/>
      <c r="E390" s="23"/>
    </row>
    <row r="391" spans="1:5" ht="13.2">
      <c r="A391" s="24"/>
      <c r="B391" s="23"/>
      <c r="C391" s="23"/>
      <c r="D391" s="23"/>
      <c r="E391" s="23"/>
    </row>
    <row r="392" spans="1:5" ht="13.2">
      <c r="A392" s="24"/>
      <c r="B392" s="23"/>
      <c r="C392" s="23"/>
      <c r="D392" s="23"/>
      <c r="E392" s="23"/>
    </row>
    <row r="393" spans="1:5" ht="13.2">
      <c r="A393" s="24"/>
      <c r="B393" s="23"/>
      <c r="C393" s="23"/>
      <c r="D393" s="23"/>
      <c r="E393" s="23"/>
    </row>
    <row r="394" spans="1:5" ht="13.2">
      <c r="A394" s="24"/>
      <c r="B394" s="23"/>
      <c r="C394" s="23"/>
      <c r="D394" s="23"/>
      <c r="E394" s="23"/>
    </row>
    <row r="395" spans="1:5" ht="13.2">
      <c r="A395" s="24"/>
      <c r="B395" s="23"/>
      <c r="C395" s="23"/>
      <c r="D395" s="23"/>
      <c r="E395" s="23"/>
    </row>
    <row r="396" spans="1:5" ht="13.2">
      <c r="A396" s="24"/>
      <c r="B396" s="23"/>
      <c r="C396" s="23"/>
      <c r="D396" s="23"/>
      <c r="E396" s="23"/>
    </row>
    <row r="397" spans="1:5" ht="13.2">
      <c r="A397" s="24"/>
      <c r="B397" s="23"/>
      <c r="C397" s="23"/>
      <c r="D397" s="23"/>
      <c r="E397" s="23"/>
    </row>
    <row r="398" spans="1:5" ht="13.2">
      <c r="A398" s="24"/>
      <c r="B398" s="23"/>
      <c r="C398" s="23"/>
      <c r="D398" s="23"/>
      <c r="E398" s="23"/>
    </row>
    <row r="399" spans="1:5" ht="13.2">
      <c r="A399" s="24"/>
      <c r="B399" s="23"/>
      <c r="C399" s="23"/>
      <c r="D399" s="23"/>
      <c r="E399" s="23"/>
    </row>
    <row r="400" spans="1:5" ht="13.2">
      <c r="A400" s="24"/>
      <c r="B400" s="23"/>
      <c r="C400" s="23"/>
      <c r="D400" s="23"/>
      <c r="E400" s="23"/>
    </row>
    <row r="401" spans="1:5" ht="13.2">
      <c r="A401" s="24"/>
      <c r="B401" s="23"/>
      <c r="C401" s="23"/>
      <c r="D401" s="23"/>
      <c r="E401" s="23"/>
    </row>
    <row r="402" spans="1:5" ht="13.2">
      <c r="A402" s="24"/>
      <c r="B402" s="23"/>
      <c r="C402" s="23"/>
      <c r="D402" s="23"/>
      <c r="E402" s="23"/>
    </row>
    <row r="403" spans="1:5" ht="13.2">
      <c r="A403" s="24"/>
      <c r="B403" s="23"/>
      <c r="C403" s="23"/>
      <c r="D403" s="23"/>
      <c r="E403" s="23"/>
    </row>
    <row r="404" spans="1:5" ht="13.2">
      <c r="A404" s="24"/>
      <c r="B404" s="23"/>
      <c r="C404" s="23"/>
      <c r="D404" s="23"/>
      <c r="E404" s="23"/>
    </row>
    <row r="405" spans="1:5" ht="13.2">
      <c r="A405" s="24"/>
      <c r="B405" s="23"/>
      <c r="C405" s="23"/>
      <c r="D405" s="23"/>
      <c r="E405" s="23"/>
    </row>
    <row r="406" spans="1:5" ht="13.2">
      <c r="A406" s="24"/>
      <c r="B406" s="23"/>
      <c r="C406" s="23"/>
      <c r="D406" s="23"/>
      <c r="E406" s="23"/>
    </row>
    <row r="407" spans="1:5" ht="13.2">
      <c r="A407" s="24"/>
      <c r="B407" s="23"/>
      <c r="C407" s="23"/>
      <c r="D407" s="23"/>
      <c r="E407" s="23"/>
    </row>
    <row r="408" spans="1:5" ht="13.2">
      <c r="A408" s="24"/>
      <c r="B408" s="23"/>
      <c r="C408" s="23"/>
      <c r="D408" s="23"/>
      <c r="E408" s="23"/>
    </row>
    <row r="409" spans="1:5" ht="13.2">
      <c r="A409" s="24"/>
      <c r="B409" s="23"/>
      <c r="C409" s="23"/>
      <c r="D409" s="23"/>
      <c r="E409" s="23"/>
    </row>
    <row r="410" spans="1:5" ht="13.2">
      <c r="A410" s="24"/>
      <c r="B410" s="23"/>
      <c r="C410" s="23"/>
      <c r="D410" s="23"/>
      <c r="E410" s="23"/>
    </row>
    <row r="411" spans="1:5" ht="13.2">
      <c r="A411" s="24"/>
      <c r="B411" s="23"/>
      <c r="C411" s="23"/>
      <c r="D411" s="23"/>
      <c r="E411" s="23"/>
    </row>
    <row r="412" spans="1:5" ht="13.2">
      <c r="A412" s="24"/>
      <c r="B412" s="23"/>
      <c r="C412" s="23"/>
      <c r="D412" s="23"/>
      <c r="E412" s="23"/>
    </row>
    <row r="413" spans="1:5" ht="13.2">
      <c r="A413" s="24"/>
      <c r="B413" s="23"/>
      <c r="C413" s="23"/>
      <c r="D413" s="23"/>
      <c r="E413" s="23"/>
    </row>
    <row r="414" spans="1:5" ht="13.2">
      <c r="A414" s="24"/>
      <c r="B414" s="23"/>
      <c r="C414" s="23"/>
      <c r="D414" s="23"/>
      <c r="E414" s="23"/>
    </row>
    <row r="415" spans="1:5" ht="13.2">
      <c r="A415" s="24"/>
      <c r="B415" s="23"/>
      <c r="C415" s="23"/>
      <c r="D415" s="23"/>
      <c r="E415" s="23"/>
    </row>
    <row r="416" spans="1:5" ht="13.2">
      <c r="A416" s="24"/>
      <c r="B416" s="23"/>
      <c r="C416" s="23"/>
      <c r="D416" s="23"/>
      <c r="E416" s="23"/>
    </row>
    <row r="417" spans="1:5" ht="13.2">
      <c r="A417" s="24"/>
      <c r="B417" s="23"/>
      <c r="C417" s="23"/>
      <c r="D417" s="23"/>
      <c r="E417" s="23"/>
    </row>
    <row r="418" spans="1:5" ht="13.2">
      <c r="A418" s="24"/>
      <c r="B418" s="23"/>
      <c r="C418" s="23"/>
      <c r="D418" s="23"/>
      <c r="E418" s="23"/>
    </row>
    <row r="419" spans="1:5" ht="13.2">
      <c r="A419" s="24"/>
      <c r="B419" s="23"/>
      <c r="C419" s="23"/>
      <c r="D419" s="23"/>
      <c r="E419" s="23"/>
    </row>
    <row r="420" spans="1:5" ht="13.2">
      <c r="A420" s="24"/>
      <c r="B420" s="23"/>
      <c r="C420" s="23"/>
      <c r="D420" s="23"/>
      <c r="E420" s="23"/>
    </row>
    <row r="421" spans="1:5" ht="13.2">
      <c r="A421" s="24"/>
      <c r="B421" s="23"/>
      <c r="C421" s="23"/>
      <c r="D421" s="23"/>
      <c r="E421" s="23"/>
    </row>
    <row r="422" spans="1:5" ht="13.2">
      <c r="A422" s="24"/>
      <c r="B422" s="23"/>
      <c r="C422" s="23"/>
      <c r="D422" s="23"/>
      <c r="E422" s="23"/>
    </row>
    <row r="423" spans="1:5" ht="13.2">
      <c r="A423" s="24"/>
      <c r="B423" s="23"/>
      <c r="C423" s="23"/>
      <c r="D423" s="23"/>
      <c r="E423" s="23"/>
    </row>
    <row r="424" spans="1:5" ht="13.2">
      <c r="A424" s="24"/>
      <c r="B424" s="23"/>
      <c r="C424" s="23"/>
      <c r="D424" s="23"/>
      <c r="E424" s="23"/>
    </row>
    <row r="425" spans="1:5" ht="13.2">
      <c r="A425" s="24"/>
      <c r="B425" s="23"/>
      <c r="C425" s="23"/>
      <c r="D425" s="23"/>
      <c r="E425" s="23"/>
    </row>
    <row r="426" spans="1:5" ht="13.2">
      <c r="A426" s="24"/>
      <c r="B426" s="23"/>
      <c r="C426" s="23"/>
      <c r="D426" s="23"/>
      <c r="E426" s="23"/>
    </row>
    <row r="427" spans="1:5" ht="13.2">
      <c r="A427" s="24"/>
      <c r="B427" s="23"/>
      <c r="C427" s="23"/>
      <c r="D427" s="23"/>
      <c r="E427" s="23"/>
    </row>
    <row r="428" spans="1:5" ht="13.2">
      <c r="A428" s="24"/>
      <c r="B428" s="23"/>
      <c r="C428" s="23"/>
      <c r="D428" s="23"/>
      <c r="E428" s="23"/>
    </row>
    <row r="429" spans="1:5" ht="13.2">
      <c r="A429" s="24"/>
      <c r="B429" s="23"/>
      <c r="C429" s="23"/>
      <c r="D429" s="23"/>
      <c r="E429" s="23"/>
    </row>
    <row r="430" spans="1:5" ht="13.2">
      <c r="A430" s="24"/>
      <c r="B430" s="23"/>
      <c r="C430" s="23"/>
      <c r="D430" s="23"/>
      <c r="E430" s="23"/>
    </row>
    <row r="431" spans="1:5" ht="13.2">
      <c r="A431" s="24"/>
      <c r="B431" s="23"/>
      <c r="C431" s="23"/>
      <c r="D431" s="23"/>
      <c r="E431" s="23"/>
    </row>
    <row r="432" spans="1:5" ht="13.2">
      <c r="A432" s="24"/>
      <c r="B432" s="23"/>
      <c r="C432" s="23"/>
      <c r="D432" s="23"/>
      <c r="E432" s="23"/>
    </row>
    <row r="433" spans="1:5" ht="13.2">
      <c r="A433" s="24"/>
      <c r="B433" s="23"/>
      <c r="C433" s="23"/>
      <c r="D433" s="23"/>
      <c r="E433" s="23"/>
    </row>
    <row r="434" spans="1:5" ht="13.2">
      <c r="A434" s="24"/>
      <c r="B434" s="23"/>
      <c r="C434" s="23"/>
      <c r="D434" s="23"/>
      <c r="E434" s="23"/>
    </row>
    <row r="435" spans="1:5" ht="13.2">
      <c r="A435" s="24"/>
      <c r="B435" s="23"/>
      <c r="C435" s="23"/>
      <c r="D435" s="23"/>
      <c r="E435" s="23"/>
    </row>
    <row r="436" spans="1:5" ht="13.2">
      <c r="A436" s="24"/>
      <c r="B436" s="23"/>
      <c r="C436" s="23"/>
      <c r="D436" s="23"/>
      <c r="E436" s="23"/>
    </row>
    <row r="437" spans="1:5" ht="13.2">
      <c r="A437" s="24"/>
      <c r="B437" s="23"/>
      <c r="C437" s="23"/>
      <c r="D437" s="23"/>
      <c r="E437" s="23"/>
    </row>
    <row r="438" spans="1:5" ht="13.2">
      <c r="A438" s="24"/>
      <c r="B438" s="23"/>
      <c r="C438" s="23"/>
      <c r="D438" s="23"/>
      <c r="E438" s="23"/>
    </row>
    <row r="439" spans="1:5" ht="13.2">
      <c r="A439" s="24"/>
      <c r="B439" s="23"/>
      <c r="C439" s="23"/>
      <c r="D439" s="23"/>
      <c r="E439" s="23"/>
    </row>
    <row r="440" spans="1:5" ht="13.2">
      <c r="A440" s="24"/>
      <c r="B440" s="23"/>
      <c r="C440" s="23"/>
      <c r="D440" s="23"/>
      <c r="E440" s="23"/>
    </row>
    <row r="441" spans="1:5" ht="13.2">
      <c r="A441" s="24"/>
      <c r="B441" s="23"/>
      <c r="C441" s="23"/>
      <c r="D441" s="23"/>
      <c r="E441" s="23"/>
    </row>
    <row r="442" spans="1:5" ht="13.2">
      <c r="A442" s="24"/>
      <c r="B442" s="23"/>
      <c r="C442" s="23"/>
      <c r="D442" s="23"/>
      <c r="E442" s="23"/>
    </row>
    <row r="443" spans="1:5" ht="13.2">
      <c r="A443" s="24"/>
      <c r="B443" s="23"/>
      <c r="C443" s="23"/>
      <c r="D443" s="23"/>
      <c r="E443" s="23"/>
    </row>
    <row r="444" spans="1:5" ht="13.2">
      <c r="A444" s="24"/>
      <c r="B444" s="23"/>
      <c r="C444" s="23"/>
      <c r="D444" s="23"/>
      <c r="E444" s="23"/>
    </row>
    <row r="445" spans="1:5" ht="13.2">
      <c r="A445" s="24"/>
      <c r="B445" s="23"/>
      <c r="C445" s="23"/>
      <c r="D445" s="23"/>
      <c r="E445" s="23"/>
    </row>
    <row r="446" spans="1:5" ht="13.2">
      <c r="A446" s="24"/>
      <c r="B446" s="23"/>
      <c r="C446" s="23"/>
      <c r="D446" s="23"/>
      <c r="E446" s="23"/>
    </row>
    <row r="447" spans="1:5" ht="13.2">
      <c r="A447" s="24"/>
      <c r="B447" s="23"/>
      <c r="C447" s="23"/>
      <c r="D447" s="23"/>
      <c r="E447" s="23"/>
    </row>
    <row r="448" spans="1:5" ht="13.2">
      <c r="A448" s="24"/>
      <c r="B448" s="23"/>
      <c r="C448" s="23"/>
      <c r="D448" s="23"/>
      <c r="E448" s="23"/>
    </row>
    <row r="449" spans="1:5" ht="13.2">
      <c r="A449" s="24"/>
      <c r="B449" s="23"/>
      <c r="C449" s="23"/>
      <c r="D449" s="23"/>
      <c r="E449" s="23"/>
    </row>
    <row r="450" spans="1:5" ht="13.2">
      <c r="A450" s="24"/>
      <c r="B450" s="23"/>
      <c r="C450" s="23"/>
      <c r="D450" s="23"/>
      <c r="E450" s="23"/>
    </row>
    <row r="451" spans="1:5" ht="13.2">
      <c r="A451" s="24"/>
      <c r="B451" s="23"/>
      <c r="C451" s="23"/>
      <c r="D451" s="23"/>
      <c r="E451" s="23"/>
    </row>
    <row r="452" spans="1:5" ht="13.2">
      <c r="A452" s="24"/>
      <c r="B452" s="23"/>
      <c r="C452" s="23"/>
      <c r="D452" s="23"/>
      <c r="E452" s="23"/>
    </row>
    <row r="453" spans="1:5" ht="13.2">
      <c r="A453" s="24"/>
      <c r="B453" s="23"/>
      <c r="C453" s="23"/>
      <c r="D453" s="23"/>
      <c r="E453" s="23"/>
    </row>
    <row r="454" spans="1:5" ht="13.2">
      <c r="A454" s="24"/>
      <c r="B454" s="23"/>
      <c r="C454" s="23"/>
      <c r="D454" s="23"/>
      <c r="E454" s="23"/>
    </row>
    <row r="455" spans="1:5" ht="13.2">
      <c r="A455" s="24"/>
      <c r="B455" s="23"/>
      <c r="C455" s="23"/>
      <c r="D455" s="23"/>
      <c r="E455" s="23"/>
    </row>
    <row r="456" spans="1:5" ht="13.2">
      <c r="A456" s="24"/>
      <c r="B456" s="23"/>
      <c r="C456" s="23"/>
      <c r="D456" s="23"/>
      <c r="E456" s="23"/>
    </row>
    <row r="457" spans="1:5" ht="13.2">
      <c r="A457" s="24"/>
      <c r="B457" s="23"/>
      <c r="C457" s="23"/>
      <c r="D457" s="23"/>
      <c r="E457" s="23"/>
    </row>
    <row r="458" spans="1:5" ht="13.2">
      <c r="A458" s="24"/>
      <c r="B458" s="23"/>
      <c r="C458" s="23"/>
      <c r="D458" s="23"/>
      <c r="E458" s="23"/>
    </row>
    <row r="459" spans="1:5" ht="13.2">
      <c r="A459" s="24"/>
      <c r="B459" s="23"/>
      <c r="C459" s="23"/>
      <c r="D459" s="23"/>
      <c r="E459" s="23"/>
    </row>
    <row r="460" spans="1:5" ht="13.2">
      <c r="A460" s="24"/>
      <c r="B460" s="23"/>
      <c r="C460" s="23"/>
      <c r="D460" s="23"/>
      <c r="E460" s="23"/>
    </row>
    <row r="461" spans="1:5" ht="13.2">
      <c r="A461" s="24"/>
      <c r="B461" s="23"/>
      <c r="C461" s="23"/>
      <c r="D461" s="23"/>
      <c r="E461" s="23"/>
    </row>
    <row r="462" spans="1:5" ht="13.2">
      <c r="A462" s="24"/>
      <c r="B462" s="23"/>
      <c r="C462" s="23"/>
      <c r="D462" s="23"/>
      <c r="E462" s="23"/>
    </row>
    <row r="463" spans="1:5" ht="13.2">
      <c r="A463" s="24"/>
      <c r="B463" s="23"/>
      <c r="C463" s="23"/>
      <c r="D463" s="23"/>
      <c r="E463" s="23"/>
    </row>
    <row r="464" spans="1:5" ht="13.2">
      <c r="A464" s="24"/>
      <c r="B464" s="23"/>
      <c r="C464" s="23"/>
      <c r="D464" s="23"/>
      <c r="E464" s="23"/>
    </row>
    <row r="465" spans="1:5" ht="13.2">
      <c r="A465" s="24"/>
      <c r="B465" s="23"/>
      <c r="C465" s="23"/>
      <c r="D465" s="23"/>
      <c r="E465" s="23"/>
    </row>
    <row r="466" spans="1:5" ht="13.2">
      <c r="A466" s="24"/>
      <c r="B466" s="23"/>
      <c r="C466" s="23"/>
      <c r="D466" s="23"/>
      <c r="E466" s="23"/>
    </row>
    <row r="467" spans="1:5" ht="13.2">
      <c r="A467" s="24"/>
      <c r="B467" s="23"/>
      <c r="C467" s="23"/>
      <c r="D467" s="23"/>
      <c r="E467" s="23"/>
    </row>
    <row r="468" spans="1:5" ht="13.2">
      <c r="A468" s="24"/>
      <c r="B468" s="23"/>
      <c r="C468" s="23"/>
      <c r="D468" s="23"/>
      <c r="E468" s="23"/>
    </row>
    <row r="469" spans="1:5" ht="13.2">
      <c r="A469" s="24"/>
      <c r="B469" s="23"/>
      <c r="C469" s="23"/>
      <c r="D469" s="23"/>
      <c r="E469" s="23"/>
    </row>
    <row r="470" spans="1:5" ht="13.2">
      <c r="A470" s="24"/>
      <c r="B470" s="23"/>
      <c r="C470" s="23"/>
      <c r="D470" s="23"/>
      <c r="E470" s="23"/>
    </row>
    <row r="471" spans="1:5" ht="13.2">
      <c r="A471" s="24"/>
      <c r="B471" s="23"/>
      <c r="C471" s="23"/>
      <c r="D471" s="23"/>
      <c r="E471" s="23"/>
    </row>
    <row r="472" spans="1:5" ht="13.2">
      <c r="A472" s="24"/>
      <c r="B472" s="23"/>
      <c r="C472" s="23"/>
      <c r="D472" s="23"/>
      <c r="E472" s="23"/>
    </row>
    <row r="473" spans="1:5" ht="13.2">
      <c r="A473" s="24"/>
      <c r="B473" s="23"/>
      <c r="C473" s="23"/>
      <c r="D473" s="23"/>
      <c r="E473" s="23"/>
    </row>
    <row r="474" spans="1:5" ht="13.2">
      <c r="A474" s="24"/>
      <c r="B474" s="23"/>
      <c r="C474" s="23"/>
      <c r="D474" s="23"/>
      <c r="E474" s="23"/>
    </row>
    <row r="475" spans="1:5" ht="13.2">
      <c r="A475" s="24"/>
      <c r="B475" s="23"/>
      <c r="C475" s="23"/>
      <c r="D475" s="23"/>
      <c r="E475" s="23"/>
    </row>
    <row r="476" spans="1:5" ht="13.2">
      <c r="A476" s="24"/>
      <c r="B476" s="23"/>
      <c r="C476" s="23"/>
      <c r="D476" s="23"/>
      <c r="E476" s="23"/>
    </row>
    <row r="477" spans="1:5" ht="13.2">
      <c r="A477" s="24"/>
      <c r="B477" s="23"/>
      <c r="C477" s="23"/>
      <c r="D477" s="23"/>
      <c r="E477" s="23"/>
    </row>
    <row r="478" spans="1:5" ht="13.2">
      <c r="A478" s="24"/>
      <c r="B478" s="23"/>
      <c r="C478" s="23"/>
      <c r="D478" s="23"/>
      <c r="E478" s="23"/>
    </row>
    <row r="479" spans="1:5" ht="13.2">
      <c r="A479" s="24"/>
      <c r="B479" s="23"/>
      <c r="C479" s="23"/>
      <c r="D479" s="23"/>
      <c r="E479" s="23"/>
    </row>
    <row r="480" spans="1:5" ht="13.2">
      <c r="A480" s="24"/>
      <c r="B480" s="23"/>
      <c r="C480" s="23"/>
      <c r="D480" s="23"/>
      <c r="E480" s="23"/>
    </row>
    <row r="481" spans="1:5" ht="13.2">
      <c r="A481" s="24"/>
      <c r="B481" s="23"/>
      <c r="C481" s="23"/>
      <c r="D481" s="23"/>
      <c r="E481" s="23"/>
    </row>
    <row r="482" spans="1:5" ht="13.2">
      <c r="A482" s="24"/>
      <c r="B482" s="23"/>
      <c r="C482" s="23"/>
      <c r="D482" s="23"/>
      <c r="E482" s="23"/>
    </row>
    <row r="483" spans="1:5" ht="13.2">
      <c r="A483" s="24"/>
      <c r="B483" s="23"/>
      <c r="C483" s="23"/>
      <c r="D483" s="23"/>
      <c r="E483" s="23"/>
    </row>
    <row r="484" spans="1:5" ht="13.2">
      <c r="A484" s="24"/>
      <c r="B484" s="23"/>
      <c r="C484" s="23"/>
      <c r="D484" s="23"/>
      <c r="E484" s="23"/>
    </row>
    <row r="485" spans="1:5" ht="13.2">
      <c r="A485" s="24"/>
      <c r="B485" s="23"/>
      <c r="C485" s="23"/>
      <c r="D485" s="23"/>
      <c r="E485" s="23"/>
    </row>
    <row r="486" spans="1:5" ht="13.2">
      <c r="A486" s="24"/>
      <c r="B486" s="23"/>
      <c r="C486" s="23"/>
      <c r="D486" s="23"/>
      <c r="E486" s="23"/>
    </row>
    <row r="487" spans="1:5" ht="13.2">
      <c r="A487" s="24"/>
      <c r="B487" s="23"/>
      <c r="C487" s="23"/>
      <c r="D487" s="23"/>
      <c r="E487" s="23"/>
    </row>
    <row r="488" spans="1:5" ht="13.2">
      <c r="A488" s="24"/>
      <c r="B488" s="23"/>
      <c r="C488" s="23"/>
      <c r="D488" s="23"/>
      <c r="E488" s="23"/>
    </row>
    <row r="489" spans="1:5" ht="13.2">
      <c r="A489" s="24"/>
      <c r="B489" s="23"/>
      <c r="C489" s="23"/>
      <c r="D489" s="23"/>
      <c r="E489" s="23"/>
    </row>
    <row r="490" spans="1:5" ht="13.2">
      <c r="A490" s="24"/>
      <c r="B490" s="23"/>
      <c r="C490" s="23"/>
      <c r="D490" s="23"/>
      <c r="E490" s="23"/>
    </row>
    <row r="491" spans="1:5" ht="13.2">
      <c r="A491" s="24"/>
      <c r="B491" s="23"/>
      <c r="C491" s="23"/>
      <c r="D491" s="23"/>
      <c r="E491" s="23"/>
    </row>
    <row r="492" spans="1:5" ht="13.2">
      <c r="A492" s="24"/>
      <c r="B492" s="23"/>
      <c r="C492" s="23"/>
      <c r="D492" s="23"/>
      <c r="E492" s="23"/>
    </row>
    <row r="493" spans="1:5" ht="13.2">
      <c r="A493" s="24"/>
      <c r="B493" s="23"/>
      <c r="C493" s="23"/>
      <c r="D493" s="23"/>
      <c r="E493" s="23"/>
    </row>
    <row r="494" spans="1:5" ht="13.2">
      <c r="A494" s="24"/>
      <c r="B494" s="23"/>
      <c r="C494" s="23"/>
      <c r="D494" s="23"/>
      <c r="E494" s="23"/>
    </row>
    <row r="495" spans="1:5" ht="13.2">
      <c r="A495" s="24"/>
      <c r="B495" s="23"/>
      <c r="C495" s="23"/>
      <c r="D495" s="23"/>
      <c r="E495" s="23"/>
    </row>
    <row r="496" spans="1:5" ht="13.2">
      <c r="A496" s="24"/>
      <c r="B496" s="23"/>
      <c r="C496" s="23"/>
      <c r="D496" s="23"/>
      <c r="E496" s="23"/>
    </row>
    <row r="497" spans="1:5" ht="13.2">
      <c r="A497" s="24"/>
      <c r="B497" s="23"/>
      <c r="C497" s="23"/>
      <c r="D497" s="23"/>
      <c r="E497" s="23"/>
    </row>
    <row r="498" spans="1:5" ht="13.2">
      <c r="A498" s="24"/>
      <c r="B498" s="23"/>
      <c r="C498" s="23"/>
      <c r="D498" s="23"/>
      <c r="E498" s="23"/>
    </row>
    <row r="499" spans="1:5" ht="13.2">
      <c r="A499" s="24"/>
      <c r="B499" s="23"/>
      <c r="C499" s="23"/>
      <c r="D499" s="23"/>
      <c r="E499" s="23"/>
    </row>
    <row r="500" spans="1:5" ht="13.2">
      <c r="A500" s="24"/>
      <c r="B500" s="23"/>
      <c r="C500" s="23"/>
      <c r="D500" s="23"/>
      <c r="E500" s="23"/>
    </row>
    <row r="501" spans="1:5" ht="13.2">
      <c r="A501" s="24"/>
      <c r="B501" s="23"/>
      <c r="C501" s="23"/>
      <c r="D501" s="23"/>
      <c r="E501" s="23"/>
    </row>
    <row r="502" spans="1:5" ht="13.2">
      <c r="A502" s="24"/>
      <c r="B502" s="23"/>
      <c r="C502" s="23"/>
      <c r="D502" s="23"/>
      <c r="E502" s="23"/>
    </row>
    <row r="503" spans="1:5" ht="13.2">
      <c r="A503" s="24"/>
      <c r="B503" s="23"/>
      <c r="C503" s="23"/>
      <c r="D503" s="23"/>
      <c r="E503" s="23"/>
    </row>
    <row r="504" spans="1:5" ht="13.2">
      <c r="A504" s="24"/>
      <c r="B504" s="23"/>
      <c r="C504" s="23"/>
      <c r="D504" s="23"/>
      <c r="E504" s="23"/>
    </row>
    <row r="505" spans="1:5" ht="13.2">
      <c r="A505" s="24"/>
      <c r="B505" s="23"/>
      <c r="C505" s="23"/>
      <c r="D505" s="23"/>
      <c r="E505" s="23"/>
    </row>
    <row r="506" spans="1:5" ht="13.2">
      <c r="A506" s="24"/>
      <c r="B506" s="23"/>
      <c r="C506" s="23"/>
      <c r="D506" s="23"/>
      <c r="E506" s="23"/>
    </row>
    <row r="507" spans="1:5" ht="13.2">
      <c r="A507" s="24"/>
      <c r="B507" s="23"/>
      <c r="C507" s="23"/>
      <c r="D507" s="23"/>
      <c r="E507" s="23"/>
    </row>
    <row r="508" spans="1:5" ht="13.2">
      <c r="A508" s="24"/>
      <c r="B508" s="23"/>
      <c r="C508" s="23"/>
      <c r="D508" s="23"/>
      <c r="E508" s="23"/>
    </row>
    <row r="509" spans="1:5" ht="13.2">
      <c r="A509" s="24"/>
      <c r="B509" s="23"/>
      <c r="C509" s="23"/>
      <c r="D509" s="23"/>
      <c r="E509" s="23"/>
    </row>
    <row r="510" spans="1:5" ht="13.2">
      <c r="A510" s="24"/>
      <c r="B510" s="23"/>
      <c r="C510" s="23"/>
      <c r="D510" s="23"/>
      <c r="E510" s="23"/>
    </row>
    <row r="511" spans="1:5" ht="13.2">
      <c r="A511" s="24"/>
      <c r="B511" s="23"/>
      <c r="C511" s="23"/>
      <c r="D511" s="23"/>
      <c r="E511" s="23"/>
    </row>
    <row r="512" spans="1:5" ht="13.2">
      <c r="A512" s="24"/>
      <c r="B512" s="23"/>
      <c r="C512" s="23"/>
      <c r="D512" s="23"/>
      <c r="E512" s="23"/>
    </row>
    <row r="513" spans="1:5" ht="13.2">
      <c r="A513" s="24"/>
      <c r="B513" s="23"/>
      <c r="C513" s="23"/>
      <c r="D513" s="23"/>
      <c r="E513" s="23"/>
    </row>
    <row r="514" spans="1:5" ht="13.2">
      <c r="A514" s="24"/>
      <c r="B514" s="23"/>
      <c r="C514" s="23"/>
      <c r="D514" s="23"/>
      <c r="E514" s="23"/>
    </row>
    <row r="515" spans="1:5" ht="13.2">
      <c r="A515" s="24"/>
      <c r="B515" s="23"/>
      <c r="C515" s="23"/>
      <c r="D515" s="23"/>
      <c r="E515" s="23"/>
    </row>
    <row r="516" spans="1:5" ht="13.2">
      <c r="A516" s="24"/>
      <c r="B516" s="23"/>
      <c r="C516" s="23"/>
      <c r="D516" s="23"/>
      <c r="E516" s="23"/>
    </row>
    <row r="517" spans="1:5" ht="13.2">
      <c r="A517" s="24"/>
      <c r="B517" s="23"/>
      <c r="C517" s="23"/>
      <c r="D517" s="23"/>
      <c r="E517" s="23"/>
    </row>
    <row r="518" spans="1:5" ht="13.2">
      <c r="A518" s="24"/>
      <c r="B518" s="23"/>
      <c r="C518" s="23"/>
      <c r="D518" s="23"/>
      <c r="E518" s="23"/>
    </row>
    <row r="519" spans="1:5" ht="13.2">
      <c r="A519" s="24"/>
      <c r="B519" s="23"/>
      <c r="C519" s="23"/>
      <c r="D519" s="23"/>
      <c r="E519" s="23"/>
    </row>
    <row r="520" spans="1:5" ht="13.2">
      <c r="A520" s="24"/>
      <c r="B520" s="23"/>
      <c r="C520" s="23"/>
      <c r="D520" s="23"/>
      <c r="E520" s="23"/>
    </row>
    <row r="521" spans="1:5" ht="13.2">
      <c r="A521" s="24"/>
      <c r="B521" s="23"/>
      <c r="C521" s="23"/>
      <c r="D521" s="23"/>
      <c r="E521" s="23"/>
    </row>
    <row r="522" spans="1:5" ht="13.2">
      <c r="A522" s="24"/>
      <c r="B522" s="23"/>
      <c r="C522" s="23"/>
      <c r="D522" s="23"/>
      <c r="E522" s="23"/>
    </row>
    <row r="523" spans="1:5" ht="13.2">
      <c r="A523" s="24"/>
      <c r="B523" s="23"/>
      <c r="C523" s="23"/>
      <c r="D523" s="23"/>
      <c r="E523" s="23"/>
    </row>
    <row r="524" spans="1:5" ht="13.2">
      <c r="A524" s="24"/>
      <c r="B524" s="23"/>
      <c r="C524" s="23"/>
      <c r="D524" s="23"/>
      <c r="E524" s="23"/>
    </row>
    <row r="525" spans="1:5" ht="13.2">
      <c r="A525" s="24"/>
      <c r="B525" s="23"/>
      <c r="C525" s="23"/>
      <c r="D525" s="23"/>
      <c r="E525" s="23"/>
    </row>
    <row r="526" spans="1:5" ht="13.2">
      <c r="A526" s="24"/>
      <c r="B526" s="23"/>
      <c r="C526" s="23"/>
      <c r="D526" s="23"/>
      <c r="E526" s="23"/>
    </row>
    <row r="527" spans="1:5" ht="13.2">
      <c r="A527" s="24"/>
      <c r="B527" s="23"/>
      <c r="C527" s="23"/>
      <c r="D527" s="23"/>
      <c r="E527" s="23"/>
    </row>
    <row r="528" spans="1:5" ht="13.2">
      <c r="A528" s="24"/>
      <c r="B528" s="23"/>
      <c r="C528" s="23"/>
      <c r="D528" s="23"/>
      <c r="E528" s="23"/>
    </row>
    <row r="529" spans="1:5" ht="13.2">
      <c r="A529" s="24"/>
      <c r="B529" s="23"/>
      <c r="C529" s="23"/>
      <c r="D529" s="23"/>
      <c r="E529" s="23"/>
    </row>
    <row r="530" spans="1:5" ht="13.2">
      <c r="A530" s="24"/>
      <c r="B530" s="23"/>
      <c r="C530" s="23"/>
      <c r="D530" s="23"/>
      <c r="E530" s="23"/>
    </row>
    <row r="531" spans="1:5" ht="13.2">
      <c r="A531" s="24"/>
      <c r="B531" s="23"/>
      <c r="C531" s="23"/>
      <c r="D531" s="23"/>
      <c r="E531" s="23"/>
    </row>
    <row r="532" spans="1:5" ht="13.2">
      <c r="A532" s="24"/>
      <c r="B532" s="23"/>
      <c r="C532" s="23"/>
      <c r="D532" s="23"/>
      <c r="E532" s="23"/>
    </row>
    <row r="533" spans="1:5" ht="13.2">
      <c r="A533" s="24"/>
      <c r="B533" s="23"/>
      <c r="C533" s="23"/>
      <c r="D533" s="23"/>
      <c r="E533" s="23"/>
    </row>
    <row r="534" spans="1:5" ht="13.2">
      <c r="A534" s="24"/>
      <c r="B534" s="23"/>
      <c r="C534" s="23"/>
      <c r="D534" s="23"/>
      <c r="E534" s="23"/>
    </row>
    <row r="535" spans="1:5" ht="13.2">
      <c r="A535" s="24"/>
      <c r="B535" s="23"/>
      <c r="C535" s="23"/>
      <c r="D535" s="23"/>
      <c r="E535" s="23"/>
    </row>
    <row r="536" spans="1:5" ht="13.2">
      <c r="A536" s="24"/>
      <c r="B536" s="23"/>
      <c r="C536" s="23"/>
      <c r="D536" s="23"/>
      <c r="E536" s="23"/>
    </row>
    <row r="537" spans="1:5" ht="13.2">
      <c r="A537" s="24"/>
      <c r="B537" s="23"/>
      <c r="C537" s="23"/>
      <c r="D537" s="23"/>
      <c r="E537" s="23"/>
    </row>
    <row r="538" spans="1:5" ht="13.2">
      <c r="A538" s="24"/>
      <c r="B538" s="23"/>
      <c r="C538" s="23"/>
      <c r="D538" s="23"/>
      <c r="E538" s="23"/>
    </row>
    <row r="539" spans="1:5" ht="13.2">
      <c r="A539" s="24"/>
      <c r="B539" s="23"/>
      <c r="C539" s="23"/>
      <c r="D539" s="23"/>
      <c r="E539" s="23"/>
    </row>
    <row r="540" spans="1:5" ht="13.2">
      <c r="A540" s="24"/>
      <c r="B540" s="23"/>
      <c r="C540" s="23"/>
      <c r="D540" s="23"/>
      <c r="E540" s="23"/>
    </row>
    <row r="541" spans="1:5" ht="13.2">
      <c r="A541" s="24"/>
      <c r="B541" s="23"/>
      <c r="C541" s="23"/>
      <c r="D541" s="23"/>
      <c r="E541" s="23"/>
    </row>
    <row r="542" spans="1:5" ht="13.2">
      <c r="A542" s="24"/>
      <c r="B542" s="23"/>
      <c r="C542" s="23"/>
      <c r="D542" s="23"/>
      <c r="E542" s="23"/>
    </row>
    <row r="543" spans="1:5" ht="13.2">
      <c r="A543" s="24"/>
      <c r="B543" s="23"/>
      <c r="C543" s="23"/>
      <c r="D543" s="23"/>
      <c r="E543" s="23"/>
    </row>
    <row r="544" spans="1:5" ht="13.2">
      <c r="A544" s="24"/>
      <c r="B544" s="23"/>
      <c r="C544" s="23"/>
      <c r="D544" s="23"/>
      <c r="E544" s="23"/>
    </row>
    <row r="545" spans="1:5" ht="13.2">
      <c r="A545" s="24"/>
      <c r="B545" s="23"/>
      <c r="C545" s="23"/>
      <c r="D545" s="23"/>
      <c r="E545" s="23"/>
    </row>
    <row r="546" spans="1:5" ht="13.2">
      <c r="A546" s="24"/>
      <c r="B546" s="23"/>
      <c r="C546" s="23"/>
      <c r="D546" s="23"/>
      <c r="E546" s="23"/>
    </row>
    <row r="547" spans="1:5" ht="13.2">
      <c r="A547" s="24"/>
      <c r="B547" s="23"/>
      <c r="C547" s="23"/>
      <c r="D547" s="23"/>
      <c r="E547" s="23"/>
    </row>
    <row r="548" spans="1:5" ht="13.2">
      <c r="A548" s="24"/>
      <c r="B548" s="23"/>
      <c r="C548" s="23"/>
      <c r="D548" s="23"/>
      <c r="E548" s="23"/>
    </row>
    <row r="549" spans="1:5" ht="13.2">
      <c r="A549" s="24"/>
      <c r="B549" s="23"/>
      <c r="C549" s="23"/>
      <c r="D549" s="23"/>
      <c r="E549" s="23"/>
    </row>
    <row r="550" spans="1:5" ht="13.2">
      <c r="A550" s="24"/>
      <c r="B550" s="23"/>
      <c r="C550" s="23"/>
      <c r="D550" s="23"/>
      <c r="E550" s="23"/>
    </row>
    <row r="551" spans="1:5" ht="13.2">
      <c r="A551" s="24"/>
      <c r="B551" s="23"/>
      <c r="C551" s="23"/>
      <c r="D551" s="23"/>
      <c r="E551" s="23"/>
    </row>
    <row r="552" spans="1:5" ht="13.2">
      <c r="A552" s="24"/>
      <c r="B552" s="23"/>
      <c r="C552" s="23"/>
      <c r="D552" s="23"/>
      <c r="E552" s="23"/>
    </row>
    <row r="553" spans="1:5" ht="13.2">
      <c r="A553" s="24"/>
      <c r="B553" s="23"/>
      <c r="C553" s="23"/>
      <c r="D553" s="23"/>
      <c r="E553" s="23"/>
    </row>
    <row r="554" spans="1:5" ht="13.2">
      <c r="A554" s="24"/>
      <c r="B554" s="23"/>
      <c r="C554" s="23"/>
      <c r="D554" s="23"/>
      <c r="E554" s="23"/>
    </row>
    <row r="555" spans="1:5" ht="13.2">
      <c r="A555" s="24"/>
      <c r="B555" s="23"/>
      <c r="C555" s="23"/>
      <c r="D555" s="23"/>
      <c r="E555" s="23"/>
    </row>
    <row r="556" spans="1:5" ht="13.2">
      <c r="A556" s="24"/>
      <c r="B556" s="23"/>
      <c r="C556" s="23"/>
      <c r="D556" s="23"/>
      <c r="E556" s="23"/>
    </row>
    <row r="557" spans="1:5" ht="13.2">
      <c r="A557" s="24"/>
      <c r="B557" s="23"/>
      <c r="C557" s="23"/>
      <c r="D557" s="23"/>
      <c r="E557" s="23"/>
    </row>
    <row r="558" spans="1:5" ht="13.2">
      <c r="A558" s="24"/>
      <c r="B558" s="23"/>
      <c r="C558" s="23"/>
      <c r="D558" s="23"/>
      <c r="E558" s="23"/>
    </row>
    <row r="559" spans="1:5" ht="13.2">
      <c r="A559" s="24"/>
      <c r="B559" s="23"/>
      <c r="C559" s="23"/>
      <c r="D559" s="23"/>
      <c r="E559" s="23"/>
    </row>
    <row r="560" spans="1:5" ht="13.2">
      <c r="A560" s="24"/>
      <c r="B560" s="23"/>
      <c r="C560" s="23"/>
      <c r="D560" s="23"/>
      <c r="E560" s="23"/>
    </row>
    <row r="561" spans="1:5" ht="13.2">
      <c r="A561" s="24"/>
      <c r="B561" s="23"/>
      <c r="C561" s="23"/>
      <c r="D561" s="23"/>
      <c r="E561" s="23"/>
    </row>
    <row r="562" spans="1:5" ht="13.2">
      <c r="A562" s="24"/>
      <c r="B562" s="23"/>
      <c r="C562" s="23"/>
      <c r="D562" s="23"/>
      <c r="E562" s="23"/>
    </row>
    <row r="563" spans="1:5" ht="13.2">
      <c r="A563" s="24"/>
      <c r="B563" s="23"/>
      <c r="C563" s="23"/>
      <c r="D563" s="23"/>
      <c r="E563" s="23"/>
    </row>
    <row r="564" spans="1:5" ht="13.2">
      <c r="A564" s="24"/>
      <c r="B564" s="23"/>
      <c r="C564" s="23"/>
      <c r="D564" s="23"/>
      <c r="E564" s="23"/>
    </row>
    <row r="565" spans="1:5" ht="13.2">
      <c r="A565" s="24"/>
      <c r="B565" s="23"/>
      <c r="C565" s="23"/>
      <c r="D565" s="23"/>
      <c r="E565" s="23"/>
    </row>
    <row r="566" spans="1:5" ht="13.2">
      <c r="A566" s="24"/>
      <c r="B566" s="23"/>
      <c r="C566" s="23"/>
      <c r="D566" s="23"/>
      <c r="E566" s="23"/>
    </row>
    <row r="567" spans="1:5" ht="13.2">
      <c r="A567" s="24"/>
      <c r="B567" s="23"/>
      <c r="C567" s="23"/>
      <c r="D567" s="23"/>
      <c r="E567" s="23"/>
    </row>
    <row r="568" spans="1:5" ht="13.2">
      <c r="A568" s="24"/>
      <c r="B568" s="23"/>
      <c r="C568" s="23"/>
      <c r="D568" s="23"/>
      <c r="E568" s="23"/>
    </row>
    <row r="569" spans="1:5" ht="13.2">
      <c r="A569" s="24"/>
      <c r="B569" s="23"/>
      <c r="C569" s="23"/>
      <c r="D569" s="23"/>
      <c r="E569" s="23"/>
    </row>
    <row r="570" spans="1:5" ht="13.2">
      <c r="A570" s="24"/>
      <c r="B570" s="23"/>
      <c r="C570" s="23"/>
      <c r="D570" s="23"/>
      <c r="E570" s="23"/>
    </row>
    <row r="571" spans="1:5" ht="13.2">
      <c r="A571" s="24"/>
      <c r="B571" s="23"/>
      <c r="C571" s="23"/>
      <c r="D571" s="23"/>
      <c r="E571" s="23"/>
    </row>
    <row r="572" spans="1:5" ht="13.2">
      <c r="A572" s="24"/>
      <c r="B572" s="23"/>
      <c r="C572" s="23"/>
      <c r="D572" s="23"/>
      <c r="E572" s="23"/>
    </row>
    <row r="573" spans="1:5" ht="13.2">
      <c r="A573" s="24"/>
      <c r="B573" s="23"/>
      <c r="C573" s="23"/>
      <c r="D573" s="23"/>
      <c r="E573" s="23"/>
    </row>
    <row r="574" spans="1:5" ht="13.2">
      <c r="A574" s="24"/>
      <c r="B574" s="23"/>
      <c r="C574" s="23"/>
      <c r="D574" s="23"/>
      <c r="E574" s="23"/>
    </row>
    <row r="575" spans="1:5" ht="13.2">
      <c r="A575" s="24"/>
      <c r="B575" s="23"/>
      <c r="C575" s="23"/>
      <c r="D575" s="23"/>
      <c r="E575" s="23"/>
    </row>
    <row r="576" spans="1:5" ht="13.2">
      <c r="A576" s="24"/>
      <c r="B576" s="23"/>
      <c r="C576" s="23"/>
      <c r="D576" s="23"/>
      <c r="E576" s="23"/>
    </row>
    <row r="577" spans="1:5" ht="13.2">
      <c r="A577" s="24"/>
      <c r="B577" s="23"/>
      <c r="C577" s="23"/>
      <c r="D577" s="23"/>
      <c r="E577" s="23"/>
    </row>
    <row r="578" spans="1:5" ht="13.2">
      <c r="A578" s="24"/>
      <c r="B578" s="23"/>
      <c r="C578" s="23"/>
      <c r="D578" s="23"/>
      <c r="E578" s="23"/>
    </row>
    <row r="579" spans="1:5" ht="13.2">
      <c r="A579" s="24"/>
      <c r="B579" s="23"/>
      <c r="C579" s="23"/>
      <c r="D579" s="23"/>
      <c r="E579" s="23"/>
    </row>
    <row r="580" spans="1:5" ht="13.2">
      <c r="A580" s="24"/>
      <c r="B580" s="23"/>
      <c r="C580" s="23"/>
      <c r="D580" s="23"/>
      <c r="E580" s="23"/>
    </row>
    <row r="581" spans="1:5" ht="13.2">
      <c r="A581" s="24"/>
      <c r="B581" s="23"/>
      <c r="C581" s="23"/>
      <c r="D581" s="23"/>
      <c r="E581" s="23"/>
    </row>
    <row r="582" spans="1:5" ht="13.2">
      <c r="A582" s="24"/>
      <c r="B582" s="23"/>
      <c r="C582" s="23"/>
      <c r="D582" s="23"/>
      <c r="E582" s="23"/>
    </row>
    <row r="583" spans="1:5" ht="13.2">
      <c r="A583" s="24"/>
      <c r="B583" s="23"/>
      <c r="C583" s="23"/>
      <c r="D583" s="23"/>
      <c r="E583" s="23"/>
    </row>
    <row r="584" spans="1:5" ht="13.2">
      <c r="A584" s="24"/>
      <c r="B584" s="23"/>
      <c r="C584" s="23"/>
      <c r="D584" s="23"/>
      <c r="E584" s="23"/>
    </row>
    <row r="585" spans="1:5" ht="13.2">
      <c r="A585" s="24"/>
      <c r="B585" s="23"/>
      <c r="C585" s="23"/>
      <c r="D585" s="23"/>
      <c r="E585" s="23"/>
    </row>
    <row r="586" spans="1:5" ht="13.2">
      <c r="A586" s="24"/>
      <c r="B586" s="23"/>
      <c r="C586" s="23"/>
      <c r="D586" s="23"/>
      <c r="E586" s="23"/>
    </row>
    <row r="587" spans="1:5" ht="13.2">
      <c r="A587" s="24"/>
      <c r="B587" s="23"/>
      <c r="C587" s="23"/>
      <c r="D587" s="23"/>
      <c r="E587" s="23"/>
    </row>
    <row r="588" spans="1:5" ht="13.2">
      <c r="A588" s="24"/>
      <c r="B588" s="23"/>
      <c r="C588" s="23"/>
      <c r="D588" s="23"/>
      <c r="E588" s="23"/>
    </row>
    <row r="589" spans="1:5" ht="13.2">
      <c r="A589" s="24"/>
      <c r="B589" s="23"/>
      <c r="C589" s="23"/>
      <c r="D589" s="23"/>
      <c r="E589" s="23"/>
    </row>
    <row r="590" spans="1:5" ht="13.2">
      <c r="A590" s="24"/>
      <c r="B590" s="23"/>
      <c r="C590" s="23"/>
      <c r="D590" s="23"/>
      <c r="E590" s="23"/>
    </row>
    <row r="591" spans="1:5" ht="13.2">
      <c r="A591" s="24"/>
      <c r="B591" s="23"/>
      <c r="C591" s="23"/>
      <c r="D591" s="23"/>
      <c r="E591" s="23"/>
    </row>
    <row r="592" spans="1:5" ht="13.2">
      <c r="A592" s="24"/>
      <c r="B592" s="23"/>
      <c r="C592" s="23"/>
      <c r="D592" s="23"/>
      <c r="E592" s="23"/>
    </row>
    <row r="593" spans="1:5" ht="13.2">
      <c r="A593" s="24"/>
      <c r="B593" s="23"/>
      <c r="C593" s="23"/>
      <c r="D593" s="23"/>
      <c r="E593" s="23"/>
    </row>
    <row r="594" spans="1:5" ht="13.2">
      <c r="A594" s="24"/>
      <c r="B594" s="23"/>
      <c r="C594" s="23"/>
      <c r="D594" s="23"/>
      <c r="E594" s="23"/>
    </row>
    <row r="595" spans="1:5" ht="13.2">
      <c r="A595" s="24"/>
      <c r="B595" s="23"/>
      <c r="C595" s="23"/>
      <c r="D595" s="23"/>
      <c r="E595" s="23"/>
    </row>
    <row r="596" spans="1:5" ht="13.2">
      <c r="A596" s="24"/>
      <c r="B596" s="23"/>
      <c r="C596" s="23"/>
      <c r="D596" s="23"/>
      <c r="E596" s="23"/>
    </row>
    <row r="597" spans="1:5" ht="13.2">
      <c r="A597" s="24"/>
      <c r="B597" s="23"/>
      <c r="C597" s="23"/>
      <c r="D597" s="23"/>
      <c r="E597" s="23"/>
    </row>
    <row r="598" spans="1:5" ht="13.2">
      <c r="A598" s="24"/>
      <c r="B598" s="23"/>
      <c r="C598" s="23"/>
      <c r="D598" s="23"/>
      <c r="E598" s="23"/>
    </row>
    <row r="599" spans="1:5" ht="13.2">
      <c r="A599" s="24"/>
      <c r="B599" s="23"/>
      <c r="C599" s="23"/>
      <c r="D599" s="23"/>
      <c r="E599" s="23"/>
    </row>
    <row r="600" spans="1:5" ht="13.2">
      <c r="A600" s="24"/>
      <c r="B600" s="23"/>
      <c r="C600" s="23"/>
      <c r="D600" s="23"/>
      <c r="E600" s="23"/>
    </row>
    <row r="601" spans="1:5" ht="13.2">
      <c r="A601" s="24"/>
      <c r="B601" s="23"/>
      <c r="C601" s="23"/>
      <c r="D601" s="23"/>
      <c r="E601" s="23"/>
    </row>
    <row r="602" spans="1:5" ht="13.2">
      <c r="A602" s="24"/>
      <c r="B602" s="23"/>
      <c r="C602" s="23"/>
      <c r="D602" s="23"/>
      <c r="E602" s="23"/>
    </row>
    <row r="603" spans="1:5" ht="13.2">
      <c r="A603" s="24"/>
      <c r="B603" s="23"/>
      <c r="C603" s="23"/>
      <c r="D603" s="23"/>
      <c r="E603" s="23"/>
    </row>
    <row r="604" spans="1:5" ht="13.2">
      <c r="A604" s="24"/>
      <c r="B604" s="23"/>
      <c r="C604" s="23"/>
      <c r="D604" s="23"/>
      <c r="E604" s="23"/>
    </row>
    <row r="605" spans="1:5" ht="13.2">
      <c r="A605" s="24"/>
      <c r="B605" s="23"/>
      <c r="C605" s="23"/>
      <c r="D605" s="23"/>
      <c r="E605" s="23"/>
    </row>
    <row r="606" spans="1:5" ht="13.2">
      <c r="A606" s="24"/>
      <c r="B606" s="23"/>
      <c r="C606" s="23"/>
      <c r="D606" s="23"/>
      <c r="E606" s="23"/>
    </row>
    <row r="607" spans="1:5" ht="13.2">
      <c r="A607" s="24"/>
      <c r="B607" s="23"/>
      <c r="C607" s="23"/>
      <c r="D607" s="23"/>
      <c r="E607" s="23"/>
    </row>
    <row r="608" spans="1:5" ht="13.2">
      <c r="A608" s="24"/>
      <c r="B608" s="23"/>
      <c r="C608" s="23"/>
      <c r="D608" s="23"/>
      <c r="E608" s="23"/>
    </row>
    <row r="609" spans="1:5" ht="13.2">
      <c r="A609" s="24"/>
      <c r="B609" s="23"/>
      <c r="C609" s="23"/>
      <c r="D609" s="23"/>
      <c r="E609" s="23"/>
    </row>
    <row r="610" spans="1:5" ht="13.2">
      <c r="A610" s="24"/>
      <c r="B610" s="23"/>
      <c r="C610" s="23"/>
      <c r="D610" s="23"/>
      <c r="E610" s="23"/>
    </row>
    <row r="611" spans="1:5" ht="13.2">
      <c r="A611" s="24"/>
      <c r="B611" s="23"/>
      <c r="C611" s="23"/>
      <c r="D611" s="23"/>
      <c r="E611" s="23"/>
    </row>
    <row r="612" spans="1:5" ht="13.2">
      <c r="A612" s="24"/>
      <c r="B612" s="23"/>
      <c r="C612" s="23"/>
      <c r="D612" s="23"/>
      <c r="E612" s="23"/>
    </row>
    <row r="613" spans="1:5" ht="13.2">
      <c r="A613" s="24"/>
      <c r="B613" s="23"/>
      <c r="C613" s="23"/>
      <c r="D613" s="23"/>
      <c r="E613" s="23"/>
    </row>
    <row r="614" spans="1:5" ht="13.2">
      <c r="A614" s="24"/>
      <c r="B614" s="23"/>
      <c r="C614" s="23"/>
      <c r="D614" s="23"/>
      <c r="E614" s="23"/>
    </row>
    <row r="615" spans="1:5" ht="13.2">
      <c r="A615" s="24"/>
      <c r="B615" s="23"/>
      <c r="C615" s="23"/>
      <c r="D615" s="23"/>
      <c r="E615" s="23"/>
    </row>
    <row r="616" spans="1:5" ht="13.2">
      <c r="A616" s="24"/>
      <c r="B616" s="23"/>
      <c r="C616" s="23"/>
      <c r="D616" s="23"/>
      <c r="E616" s="23"/>
    </row>
    <row r="617" spans="1:5" ht="13.2">
      <c r="A617" s="24"/>
      <c r="B617" s="23"/>
      <c r="C617" s="23"/>
      <c r="D617" s="23"/>
      <c r="E617" s="23"/>
    </row>
    <row r="618" spans="1:5" ht="13.2">
      <c r="A618" s="24"/>
      <c r="B618" s="23"/>
      <c r="C618" s="23"/>
      <c r="D618" s="23"/>
      <c r="E618" s="23"/>
    </row>
    <row r="619" spans="1:5" ht="13.2">
      <c r="A619" s="24"/>
      <c r="B619" s="23"/>
      <c r="C619" s="23"/>
      <c r="D619" s="23"/>
      <c r="E619" s="23"/>
    </row>
    <row r="620" spans="1:5" ht="13.2">
      <c r="A620" s="24"/>
      <c r="B620" s="23"/>
      <c r="C620" s="23"/>
      <c r="D620" s="23"/>
      <c r="E620" s="23"/>
    </row>
    <row r="621" spans="1:5" ht="13.2">
      <c r="A621" s="24"/>
      <c r="B621" s="23"/>
      <c r="C621" s="23"/>
      <c r="D621" s="23"/>
      <c r="E621" s="23"/>
    </row>
    <row r="622" spans="1:5" ht="13.2">
      <c r="A622" s="24"/>
      <c r="B622" s="23"/>
      <c r="C622" s="23"/>
      <c r="D622" s="23"/>
      <c r="E622" s="23"/>
    </row>
    <row r="623" spans="1:5" ht="13.2">
      <c r="A623" s="24"/>
      <c r="B623" s="23"/>
      <c r="C623" s="23"/>
      <c r="D623" s="23"/>
      <c r="E623" s="23"/>
    </row>
    <row r="624" spans="1:5" ht="13.2">
      <c r="A624" s="24"/>
      <c r="B624" s="23"/>
      <c r="C624" s="23"/>
      <c r="D624" s="23"/>
      <c r="E624" s="23"/>
    </row>
    <row r="625" spans="1:5" ht="13.2">
      <c r="A625" s="24"/>
      <c r="B625" s="23"/>
      <c r="C625" s="23"/>
      <c r="D625" s="23"/>
      <c r="E625" s="23"/>
    </row>
    <row r="626" spans="1:5" ht="13.2">
      <c r="A626" s="24"/>
      <c r="B626" s="23"/>
      <c r="C626" s="23"/>
      <c r="D626" s="23"/>
      <c r="E626" s="23"/>
    </row>
    <row r="627" spans="1:5" ht="13.2">
      <c r="A627" s="24"/>
      <c r="B627" s="23"/>
      <c r="C627" s="23"/>
      <c r="D627" s="23"/>
      <c r="E627" s="23"/>
    </row>
    <row r="628" spans="1:5" ht="13.2">
      <c r="A628" s="24"/>
      <c r="B628" s="23"/>
      <c r="C628" s="23"/>
      <c r="D628" s="23"/>
      <c r="E628" s="23"/>
    </row>
    <row r="629" spans="1:5" ht="13.2">
      <c r="A629" s="24"/>
      <c r="B629" s="23"/>
      <c r="C629" s="23"/>
      <c r="D629" s="23"/>
      <c r="E629" s="23"/>
    </row>
    <row r="630" spans="1:5" ht="13.2">
      <c r="A630" s="24"/>
      <c r="B630" s="23"/>
      <c r="C630" s="23"/>
      <c r="D630" s="23"/>
      <c r="E630" s="23"/>
    </row>
    <row r="631" spans="1:5" ht="13.2">
      <c r="A631" s="24"/>
      <c r="B631" s="23"/>
      <c r="C631" s="23"/>
      <c r="D631" s="23"/>
      <c r="E631" s="23"/>
    </row>
    <row r="632" spans="1:5" ht="13.2">
      <c r="A632" s="24"/>
      <c r="B632" s="23"/>
      <c r="C632" s="23"/>
      <c r="D632" s="23"/>
      <c r="E632" s="23"/>
    </row>
    <row r="633" spans="1:5" ht="13.2">
      <c r="A633" s="24"/>
      <c r="B633" s="23"/>
      <c r="C633" s="23"/>
      <c r="D633" s="23"/>
      <c r="E633" s="23"/>
    </row>
    <row r="634" spans="1:5" ht="13.2">
      <c r="A634" s="24"/>
      <c r="B634" s="23"/>
      <c r="C634" s="23"/>
      <c r="D634" s="23"/>
      <c r="E634" s="23"/>
    </row>
    <row r="635" spans="1:5" ht="13.2">
      <c r="A635" s="24"/>
      <c r="B635" s="23"/>
      <c r="C635" s="23"/>
      <c r="D635" s="23"/>
      <c r="E635" s="23"/>
    </row>
    <row r="636" spans="1:5" ht="13.2">
      <c r="A636" s="24"/>
      <c r="B636" s="23"/>
      <c r="C636" s="23"/>
      <c r="D636" s="23"/>
      <c r="E636" s="23"/>
    </row>
    <row r="637" spans="1:5" ht="13.2">
      <c r="A637" s="24"/>
      <c r="B637" s="23"/>
      <c r="C637" s="23"/>
      <c r="D637" s="23"/>
      <c r="E637" s="23"/>
    </row>
    <row r="638" spans="1:5" ht="13.2">
      <c r="A638" s="24"/>
      <c r="B638" s="23"/>
      <c r="C638" s="23"/>
      <c r="D638" s="23"/>
      <c r="E638" s="23"/>
    </row>
    <row r="639" spans="1:5" ht="13.2">
      <c r="A639" s="24"/>
      <c r="B639" s="23"/>
      <c r="C639" s="23"/>
      <c r="D639" s="23"/>
      <c r="E639" s="23"/>
    </row>
    <row r="640" spans="1:5" ht="13.2">
      <c r="A640" s="24"/>
      <c r="B640" s="23"/>
      <c r="C640" s="23"/>
      <c r="D640" s="23"/>
      <c r="E640" s="23"/>
    </row>
    <row r="641" spans="1:5" ht="13.2">
      <c r="A641" s="24"/>
      <c r="B641" s="23"/>
      <c r="C641" s="23"/>
      <c r="D641" s="23"/>
      <c r="E641" s="23"/>
    </row>
    <row r="642" spans="1:5" ht="13.2">
      <c r="A642" s="24"/>
      <c r="B642" s="23"/>
      <c r="C642" s="23"/>
      <c r="D642" s="23"/>
      <c r="E642" s="23"/>
    </row>
    <row r="643" spans="1:5" ht="13.2">
      <c r="A643" s="24"/>
      <c r="B643" s="23"/>
      <c r="C643" s="23"/>
      <c r="D643" s="23"/>
      <c r="E643" s="23"/>
    </row>
    <row r="644" spans="1:5" ht="13.2">
      <c r="A644" s="24"/>
      <c r="B644" s="23"/>
      <c r="C644" s="23"/>
      <c r="D644" s="23"/>
      <c r="E644" s="23"/>
    </row>
    <row r="645" spans="1:5" ht="13.2">
      <c r="A645" s="24"/>
      <c r="B645" s="23"/>
      <c r="C645" s="23"/>
      <c r="D645" s="23"/>
      <c r="E645" s="23"/>
    </row>
    <row r="646" spans="1:5" ht="13.2">
      <c r="A646" s="24"/>
      <c r="B646" s="23"/>
      <c r="C646" s="23"/>
      <c r="D646" s="23"/>
      <c r="E646" s="23"/>
    </row>
    <row r="647" spans="1:5" ht="13.2">
      <c r="A647" s="24"/>
      <c r="B647" s="23"/>
      <c r="C647" s="23"/>
      <c r="D647" s="23"/>
      <c r="E647" s="23"/>
    </row>
    <row r="648" spans="1:5" ht="13.2">
      <c r="A648" s="24"/>
      <c r="B648" s="23"/>
      <c r="C648" s="23"/>
      <c r="D648" s="23"/>
      <c r="E648" s="23"/>
    </row>
    <row r="649" spans="1:5" ht="13.2">
      <c r="A649" s="24"/>
      <c r="B649" s="23"/>
      <c r="C649" s="23"/>
      <c r="D649" s="23"/>
      <c r="E649" s="23"/>
    </row>
    <row r="650" spans="1:5" ht="13.2">
      <c r="A650" s="24"/>
      <c r="B650" s="23"/>
      <c r="C650" s="23"/>
      <c r="D650" s="23"/>
      <c r="E650" s="23"/>
    </row>
    <row r="651" spans="1:5" ht="13.2">
      <c r="A651" s="24"/>
      <c r="B651" s="23"/>
      <c r="C651" s="23"/>
      <c r="D651" s="23"/>
      <c r="E651" s="23"/>
    </row>
    <row r="652" spans="1:5" ht="13.2">
      <c r="A652" s="24"/>
      <c r="B652" s="23"/>
      <c r="C652" s="23"/>
      <c r="D652" s="23"/>
      <c r="E652" s="23"/>
    </row>
    <row r="653" spans="1:5" ht="13.2">
      <c r="A653" s="24"/>
      <c r="B653" s="23"/>
      <c r="C653" s="23"/>
      <c r="D653" s="23"/>
      <c r="E653" s="23"/>
    </row>
    <row r="654" spans="1:5" ht="13.2">
      <c r="A654" s="24"/>
      <c r="B654" s="23"/>
      <c r="C654" s="23"/>
      <c r="D654" s="23"/>
      <c r="E654" s="23"/>
    </row>
    <row r="655" spans="1:5" ht="13.2">
      <c r="A655" s="24"/>
      <c r="B655" s="23"/>
      <c r="C655" s="23"/>
      <c r="D655" s="23"/>
      <c r="E655" s="23"/>
    </row>
    <row r="656" spans="1:5" ht="13.2">
      <c r="A656" s="24"/>
      <c r="B656" s="23"/>
      <c r="C656" s="23"/>
      <c r="D656" s="23"/>
      <c r="E656" s="23"/>
    </row>
    <row r="657" spans="1:5" ht="13.2">
      <c r="A657" s="24"/>
      <c r="B657" s="23"/>
      <c r="C657" s="23"/>
      <c r="D657" s="23"/>
      <c r="E657" s="23"/>
    </row>
    <row r="658" spans="1:5" ht="13.2">
      <c r="A658" s="24"/>
      <c r="B658" s="23"/>
      <c r="C658" s="23"/>
      <c r="D658" s="23"/>
      <c r="E658" s="23"/>
    </row>
    <row r="659" spans="1:5" ht="13.2">
      <c r="A659" s="24"/>
      <c r="B659" s="23"/>
      <c r="C659" s="23"/>
      <c r="D659" s="23"/>
      <c r="E659" s="23"/>
    </row>
    <row r="660" spans="1:5" ht="13.2">
      <c r="A660" s="24"/>
      <c r="B660" s="23"/>
      <c r="C660" s="23"/>
      <c r="D660" s="23"/>
      <c r="E660" s="23"/>
    </row>
    <row r="661" spans="1:5" ht="13.2">
      <c r="A661" s="24"/>
      <c r="B661" s="23"/>
      <c r="C661" s="23"/>
      <c r="D661" s="23"/>
      <c r="E661" s="23"/>
    </row>
    <row r="662" spans="1:5" ht="13.2">
      <c r="A662" s="24"/>
      <c r="B662" s="23"/>
      <c r="C662" s="23"/>
      <c r="D662" s="23"/>
      <c r="E662" s="23"/>
    </row>
    <row r="663" spans="1:5" ht="13.2">
      <c r="A663" s="24"/>
      <c r="B663" s="23"/>
      <c r="C663" s="23"/>
      <c r="D663" s="23"/>
      <c r="E663" s="23"/>
    </row>
    <row r="664" spans="1:5" ht="13.2">
      <c r="A664" s="24"/>
      <c r="B664" s="23"/>
      <c r="C664" s="23"/>
      <c r="D664" s="23"/>
      <c r="E664" s="23"/>
    </row>
    <row r="665" spans="1:5" ht="13.2">
      <c r="A665" s="24"/>
      <c r="B665" s="23"/>
      <c r="C665" s="23"/>
      <c r="D665" s="23"/>
      <c r="E665" s="23"/>
    </row>
    <row r="666" spans="1:5" ht="13.2">
      <c r="A666" s="24"/>
      <c r="B666" s="23"/>
      <c r="C666" s="23"/>
      <c r="D666" s="23"/>
      <c r="E666" s="23"/>
    </row>
    <row r="667" spans="1:5" ht="13.2">
      <c r="A667" s="24"/>
      <c r="B667" s="23"/>
      <c r="C667" s="23"/>
      <c r="D667" s="23"/>
      <c r="E667" s="23"/>
    </row>
    <row r="668" spans="1:5" ht="13.2">
      <c r="A668" s="24"/>
      <c r="B668" s="23"/>
      <c r="C668" s="23"/>
      <c r="D668" s="23"/>
      <c r="E668" s="23"/>
    </row>
    <row r="669" spans="1:5" ht="13.2">
      <c r="A669" s="24"/>
      <c r="B669" s="23"/>
      <c r="C669" s="23"/>
      <c r="D669" s="23"/>
      <c r="E669" s="23"/>
    </row>
    <row r="670" spans="1:5" ht="13.2">
      <c r="A670" s="24"/>
      <c r="B670" s="23"/>
      <c r="C670" s="23"/>
      <c r="D670" s="23"/>
      <c r="E670" s="23"/>
    </row>
    <row r="671" spans="1:5" ht="13.2">
      <c r="A671" s="24"/>
      <c r="B671" s="23"/>
      <c r="C671" s="23"/>
      <c r="D671" s="23"/>
      <c r="E671" s="23"/>
    </row>
    <row r="672" spans="1:5" ht="13.2">
      <c r="A672" s="24"/>
      <c r="B672" s="23"/>
      <c r="C672" s="23"/>
      <c r="D672" s="23"/>
      <c r="E672" s="23"/>
    </row>
    <row r="673" spans="1:5" ht="13.2">
      <c r="A673" s="24"/>
      <c r="B673" s="23"/>
      <c r="C673" s="23"/>
      <c r="D673" s="23"/>
      <c r="E673" s="23"/>
    </row>
    <row r="674" spans="1:5" ht="13.2">
      <c r="A674" s="24"/>
      <c r="B674" s="23"/>
      <c r="C674" s="23"/>
      <c r="D674" s="23"/>
      <c r="E674" s="23"/>
    </row>
    <row r="675" spans="1:5" ht="13.2">
      <c r="A675" s="24"/>
      <c r="B675" s="23"/>
      <c r="C675" s="23"/>
      <c r="D675" s="23"/>
      <c r="E675" s="23"/>
    </row>
    <row r="676" spans="1:5" ht="13.2">
      <c r="A676" s="24"/>
      <c r="B676" s="23"/>
      <c r="C676" s="23"/>
      <c r="D676" s="23"/>
      <c r="E676" s="23"/>
    </row>
    <row r="677" spans="1:5" ht="13.2">
      <c r="A677" s="24"/>
      <c r="B677" s="23"/>
      <c r="C677" s="23"/>
      <c r="D677" s="23"/>
      <c r="E677" s="23"/>
    </row>
    <row r="678" spans="1:5" ht="13.2">
      <c r="A678" s="24"/>
      <c r="B678" s="23"/>
      <c r="C678" s="23"/>
      <c r="D678" s="23"/>
      <c r="E678" s="23"/>
    </row>
    <row r="679" spans="1:5" ht="13.2">
      <c r="A679" s="24"/>
      <c r="B679" s="23"/>
      <c r="C679" s="23"/>
      <c r="D679" s="23"/>
      <c r="E679" s="23"/>
    </row>
    <row r="680" spans="1:5" ht="13.2">
      <c r="A680" s="24"/>
      <c r="B680" s="23"/>
      <c r="C680" s="23"/>
      <c r="D680" s="23"/>
      <c r="E680" s="23"/>
    </row>
    <row r="681" spans="1:5" ht="13.2">
      <c r="A681" s="24"/>
      <c r="B681" s="23"/>
      <c r="C681" s="23"/>
      <c r="D681" s="23"/>
      <c r="E681" s="23"/>
    </row>
    <row r="682" spans="1:5" ht="13.2">
      <c r="A682" s="24"/>
      <c r="B682" s="23"/>
      <c r="C682" s="23"/>
      <c r="D682" s="23"/>
      <c r="E682" s="23"/>
    </row>
    <row r="683" spans="1:5" ht="13.2">
      <c r="A683" s="24"/>
      <c r="B683" s="23"/>
      <c r="C683" s="23"/>
      <c r="D683" s="23"/>
      <c r="E683" s="23"/>
    </row>
    <row r="684" spans="1:5" ht="13.2">
      <c r="A684" s="24"/>
      <c r="B684" s="23"/>
      <c r="C684" s="23"/>
      <c r="D684" s="23"/>
      <c r="E684" s="23"/>
    </row>
    <row r="685" spans="1:5" ht="13.2">
      <c r="A685" s="24"/>
      <c r="B685" s="23"/>
      <c r="C685" s="23"/>
      <c r="D685" s="23"/>
      <c r="E685" s="23"/>
    </row>
    <row r="686" spans="1:5" ht="13.2">
      <c r="A686" s="24"/>
      <c r="B686" s="23"/>
      <c r="C686" s="23"/>
      <c r="D686" s="23"/>
      <c r="E686" s="23"/>
    </row>
    <row r="687" spans="1:5" ht="13.2">
      <c r="A687" s="24"/>
      <c r="B687" s="23"/>
      <c r="C687" s="23"/>
      <c r="D687" s="23"/>
      <c r="E687" s="23"/>
    </row>
    <row r="688" spans="1:5" ht="13.2">
      <c r="A688" s="24"/>
      <c r="B688" s="23"/>
      <c r="C688" s="23"/>
      <c r="D688" s="23"/>
      <c r="E688" s="23"/>
    </row>
    <row r="689" spans="1:5" ht="13.2">
      <c r="A689" s="24"/>
      <c r="B689" s="23"/>
      <c r="C689" s="23"/>
      <c r="D689" s="23"/>
      <c r="E689" s="23"/>
    </row>
    <row r="690" spans="1:5" ht="13.2">
      <c r="A690" s="24"/>
      <c r="B690" s="23"/>
      <c r="C690" s="23"/>
      <c r="D690" s="23"/>
      <c r="E690" s="23"/>
    </row>
    <row r="691" spans="1:5" ht="13.2">
      <c r="A691" s="24"/>
      <c r="B691" s="23"/>
      <c r="C691" s="23"/>
      <c r="D691" s="23"/>
      <c r="E691" s="23"/>
    </row>
    <row r="692" spans="1:5" ht="13.2">
      <c r="A692" s="24"/>
      <c r="B692" s="23"/>
      <c r="C692" s="23"/>
      <c r="D692" s="23"/>
      <c r="E692" s="23"/>
    </row>
    <row r="693" spans="1:5" ht="13.2">
      <c r="A693" s="24"/>
      <c r="B693" s="23"/>
      <c r="C693" s="23"/>
      <c r="D693" s="23"/>
      <c r="E693" s="23"/>
    </row>
    <row r="694" spans="1:5" ht="13.2">
      <c r="A694" s="24"/>
      <c r="B694" s="23"/>
      <c r="C694" s="23"/>
      <c r="D694" s="23"/>
      <c r="E694" s="23"/>
    </row>
    <row r="695" spans="1:5" ht="13.2">
      <c r="A695" s="24"/>
      <c r="B695" s="23"/>
      <c r="C695" s="23"/>
      <c r="D695" s="23"/>
      <c r="E695" s="23"/>
    </row>
    <row r="696" spans="1:5" ht="13.2">
      <c r="A696" s="24"/>
      <c r="B696" s="23"/>
      <c r="C696" s="23"/>
      <c r="D696" s="23"/>
      <c r="E696" s="23"/>
    </row>
    <row r="697" spans="1:5" ht="13.2">
      <c r="A697" s="24"/>
      <c r="B697" s="23"/>
      <c r="C697" s="23"/>
      <c r="D697" s="23"/>
      <c r="E697" s="23"/>
    </row>
    <row r="698" spans="1:5" ht="13.2">
      <c r="A698" s="24"/>
      <c r="B698" s="23"/>
      <c r="C698" s="23"/>
      <c r="D698" s="23"/>
      <c r="E698" s="23"/>
    </row>
    <row r="699" spans="1:5" ht="13.2">
      <c r="A699" s="24"/>
      <c r="B699" s="23"/>
      <c r="C699" s="23"/>
      <c r="D699" s="23"/>
      <c r="E699" s="23"/>
    </row>
    <row r="700" spans="1:5" ht="13.2">
      <c r="A700" s="24"/>
      <c r="B700" s="23"/>
      <c r="C700" s="23"/>
      <c r="D700" s="23"/>
      <c r="E700" s="23"/>
    </row>
    <row r="701" spans="1:5" ht="13.2">
      <c r="A701" s="24"/>
      <c r="B701" s="23"/>
      <c r="C701" s="23"/>
      <c r="D701" s="23"/>
      <c r="E701" s="23"/>
    </row>
    <row r="702" spans="1:5" ht="13.2">
      <c r="A702" s="24"/>
      <c r="B702" s="23"/>
      <c r="C702" s="23"/>
      <c r="D702" s="23"/>
      <c r="E702" s="23"/>
    </row>
    <row r="703" spans="1:5" ht="13.2">
      <c r="A703" s="24"/>
      <c r="B703" s="23"/>
      <c r="C703" s="23"/>
      <c r="D703" s="23"/>
      <c r="E703" s="23"/>
    </row>
    <row r="704" spans="1:5" ht="13.2">
      <c r="A704" s="24"/>
      <c r="B704" s="23"/>
      <c r="C704" s="23"/>
      <c r="D704" s="23"/>
      <c r="E704" s="23"/>
    </row>
    <row r="705" spans="1:5" ht="13.2">
      <c r="A705" s="24"/>
      <c r="B705" s="23"/>
      <c r="C705" s="23"/>
      <c r="D705" s="23"/>
      <c r="E705" s="23"/>
    </row>
    <row r="706" spans="1:5" ht="13.2">
      <c r="A706" s="24"/>
      <c r="B706" s="23"/>
      <c r="C706" s="23"/>
      <c r="D706" s="23"/>
      <c r="E706" s="23"/>
    </row>
    <row r="707" spans="1:5" ht="13.2">
      <c r="A707" s="24"/>
      <c r="B707" s="23"/>
      <c r="C707" s="23"/>
      <c r="D707" s="23"/>
      <c r="E707" s="23"/>
    </row>
    <row r="708" spans="1:5" ht="13.2">
      <c r="A708" s="24"/>
      <c r="B708" s="23"/>
      <c r="C708" s="23"/>
      <c r="D708" s="23"/>
      <c r="E708" s="23"/>
    </row>
    <row r="709" spans="1:5" ht="13.2">
      <c r="A709" s="24"/>
      <c r="B709" s="23"/>
      <c r="C709" s="23"/>
      <c r="D709" s="23"/>
      <c r="E709" s="23"/>
    </row>
    <row r="710" spans="1:5" ht="13.2">
      <c r="A710" s="24"/>
      <c r="B710" s="23"/>
      <c r="C710" s="23"/>
      <c r="D710" s="23"/>
      <c r="E710" s="23"/>
    </row>
    <row r="711" spans="1:5" ht="13.2">
      <c r="A711" s="24"/>
      <c r="B711" s="23"/>
      <c r="C711" s="23"/>
      <c r="D711" s="23"/>
      <c r="E711" s="23"/>
    </row>
    <row r="712" spans="1:5" ht="13.2">
      <c r="A712" s="24"/>
      <c r="B712" s="23"/>
      <c r="C712" s="23"/>
      <c r="D712" s="23"/>
      <c r="E712" s="23"/>
    </row>
    <row r="713" spans="1:5" ht="13.2">
      <c r="A713" s="24"/>
      <c r="B713" s="23"/>
      <c r="C713" s="23"/>
      <c r="D713" s="23"/>
      <c r="E713" s="23"/>
    </row>
    <row r="714" spans="1:5" ht="13.2">
      <c r="A714" s="24"/>
      <c r="B714" s="23"/>
      <c r="C714" s="23"/>
      <c r="D714" s="23"/>
      <c r="E714" s="23"/>
    </row>
    <row r="715" spans="1:5" ht="13.2">
      <c r="A715" s="24"/>
      <c r="B715" s="23"/>
      <c r="C715" s="23"/>
      <c r="D715" s="23"/>
      <c r="E715" s="23"/>
    </row>
    <row r="716" spans="1:5" ht="13.2">
      <c r="A716" s="24"/>
      <c r="B716" s="23"/>
      <c r="C716" s="23"/>
      <c r="D716" s="23"/>
      <c r="E716" s="23"/>
    </row>
    <row r="717" spans="1:5" ht="13.2">
      <c r="A717" s="24"/>
      <c r="B717" s="23"/>
      <c r="C717" s="23"/>
      <c r="D717" s="23"/>
      <c r="E717" s="23"/>
    </row>
    <row r="718" spans="1:5" ht="13.2">
      <c r="A718" s="24"/>
      <c r="B718" s="23"/>
      <c r="C718" s="23"/>
      <c r="D718" s="23"/>
      <c r="E718" s="23"/>
    </row>
    <row r="719" spans="1:5" ht="13.2">
      <c r="A719" s="24"/>
      <c r="B719" s="23"/>
      <c r="C719" s="23"/>
      <c r="D719" s="23"/>
      <c r="E719" s="23"/>
    </row>
    <row r="720" spans="1:5" ht="13.2">
      <c r="A720" s="24"/>
      <c r="B720" s="23"/>
      <c r="C720" s="23"/>
      <c r="D720" s="23"/>
      <c r="E720" s="23"/>
    </row>
    <row r="721" spans="1:5" ht="13.2">
      <c r="A721" s="24"/>
      <c r="B721" s="23"/>
      <c r="C721" s="23"/>
      <c r="D721" s="23"/>
      <c r="E721" s="23"/>
    </row>
    <row r="722" spans="1:5" ht="13.2">
      <c r="A722" s="24"/>
      <c r="B722" s="23"/>
      <c r="C722" s="23"/>
      <c r="D722" s="23"/>
      <c r="E722" s="23"/>
    </row>
    <row r="723" spans="1:5" ht="13.2">
      <c r="A723" s="24"/>
      <c r="B723" s="23"/>
      <c r="C723" s="23"/>
      <c r="D723" s="23"/>
      <c r="E723" s="23"/>
    </row>
    <row r="724" spans="1:5" ht="13.2">
      <c r="A724" s="24"/>
      <c r="B724" s="23"/>
      <c r="C724" s="23"/>
      <c r="D724" s="23"/>
      <c r="E724" s="23"/>
    </row>
    <row r="725" spans="1:5" ht="13.2">
      <c r="A725" s="24"/>
      <c r="B725" s="23"/>
      <c r="C725" s="23"/>
      <c r="D725" s="23"/>
      <c r="E725" s="23"/>
    </row>
    <row r="726" spans="1:5" ht="13.2">
      <c r="A726" s="24"/>
      <c r="B726" s="23"/>
      <c r="C726" s="23"/>
      <c r="D726" s="23"/>
      <c r="E726" s="23"/>
    </row>
    <row r="727" spans="1:5" ht="13.2">
      <c r="A727" s="24"/>
      <c r="B727" s="23"/>
      <c r="C727" s="23"/>
      <c r="D727" s="23"/>
      <c r="E727" s="23"/>
    </row>
    <row r="728" spans="1:5" ht="13.2">
      <c r="A728" s="24"/>
      <c r="B728" s="23"/>
      <c r="C728" s="23"/>
      <c r="D728" s="23"/>
      <c r="E728" s="23"/>
    </row>
    <row r="729" spans="1:5" ht="13.2">
      <c r="A729" s="24"/>
      <c r="B729" s="23"/>
      <c r="C729" s="23"/>
      <c r="D729" s="23"/>
      <c r="E729" s="23"/>
    </row>
    <row r="730" spans="1:5" ht="13.2">
      <c r="A730" s="24"/>
      <c r="B730" s="23"/>
      <c r="C730" s="23"/>
      <c r="D730" s="23"/>
      <c r="E730" s="23"/>
    </row>
    <row r="731" spans="1:5" ht="13.2">
      <c r="A731" s="24"/>
      <c r="B731" s="23"/>
      <c r="C731" s="23"/>
      <c r="D731" s="23"/>
      <c r="E731" s="23"/>
    </row>
    <row r="732" spans="1:5" ht="13.2">
      <c r="A732" s="24"/>
      <c r="B732" s="23"/>
      <c r="C732" s="23"/>
      <c r="D732" s="23"/>
      <c r="E732" s="23"/>
    </row>
    <row r="733" spans="1:5" ht="13.2">
      <c r="A733" s="24"/>
      <c r="B733" s="23"/>
      <c r="C733" s="23"/>
      <c r="D733" s="23"/>
      <c r="E733" s="23"/>
    </row>
    <row r="734" spans="1:5" ht="13.2">
      <c r="A734" s="24"/>
      <c r="B734" s="23"/>
      <c r="C734" s="23"/>
      <c r="D734" s="23"/>
      <c r="E734" s="23"/>
    </row>
    <row r="735" spans="1:5" ht="13.2">
      <c r="A735" s="24"/>
      <c r="B735" s="23"/>
      <c r="C735" s="23"/>
      <c r="D735" s="23"/>
      <c r="E735" s="23"/>
    </row>
    <row r="736" spans="1:5" ht="13.2">
      <c r="A736" s="24"/>
      <c r="B736" s="23"/>
      <c r="C736" s="23"/>
      <c r="D736" s="23"/>
      <c r="E736" s="23"/>
    </row>
    <row r="737" spans="1:5" ht="13.2">
      <c r="A737" s="24"/>
      <c r="B737" s="23"/>
      <c r="C737" s="23"/>
      <c r="D737" s="23"/>
      <c r="E737" s="23"/>
    </row>
    <row r="738" spans="1:5" ht="13.2">
      <c r="A738" s="24"/>
      <c r="B738" s="23"/>
      <c r="C738" s="23"/>
      <c r="D738" s="23"/>
      <c r="E738" s="23"/>
    </row>
    <row r="739" spans="1:5" ht="13.2">
      <c r="A739" s="24"/>
      <c r="B739" s="23"/>
      <c r="C739" s="23"/>
      <c r="D739" s="23"/>
      <c r="E739" s="23"/>
    </row>
    <row r="740" spans="1:5" ht="13.2">
      <c r="A740" s="24"/>
      <c r="B740" s="23"/>
      <c r="C740" s="23"/>
      <c r="D740" s="23"/>
      <c r="E740" s="23"/>
    </row>
    <row r="741" spans="1:5" ht="13.2">
      <c r="A741" s="24"/>
      <c r="B741" s="23"/>
      <c r="C741" s="23"/>
      <c r="D741" s="23"/>
      <c r="E741" s="23"/>
    </row>
    <row r="742" spans="1:5" ht="13.2">
      <c r="A742" s="24"/>
      <c r="B742" s="23"/>
      <c r="C742" s="23"/>
      <c r="D742" s="23"/>
      <c r="E742" s="23"/>
    </row>
    <row r="743" spans="1:5" ht="13.2">
      <c r="A743" s="24"/>
      <c r="B743" s="23"/>
      <c r="C743" s="23"/>
      <c r="D743" s="23"/>
      <c r="E743" s="23"/>
    </row>
    <row r="744" spans="1:5" ht="13.2">
      <c r="A744" s="24"/>
      <c r="B744" s="23"/>
      <c r="C744" s="23"/>
      <c r="D744" s="23"/>
      <c r="E744" s="23"/>
    </row>
    <row r="745" spans="1:5" ht="13.2">
      <c r="A745" s="24"/>
      <c r="B745" s="23"/>
      <c r="C745" s="23"/>
      <c r="D745" s="23"/>
      <c r="E745" s="23"/>
    </row>
    <row r="746" spans="1:5" ht="13.2">
      <c r="A746" s="24"/>
      <c r="B746" s="23"/>
      <c r="C746" s="23"/>
      <c r="D746" s="23"/>
      <c r="E746" s="23"/>
    </row>
    <row r="747" spans="1:5" ht="13.2">
      <c r="A747" s="24"/>
      <c r="B747" s="23"/>
      <c r="C747" s="23"/>
      <c r="D747" s="23"/>
      <c r="E747" s="23"/>
    </row>
    <row r="748" spans="1:5" ht="13.2">
      <c r="A748" s="24"/>
      <c r="B748" s="23"/>
      <c r="C748" s="23"/>
      <c r="D748" s="23"/>
      <c r="E748" s="23"/>
    </row>
    <row r="749" spans="1:5" ht="13.2">
      <c r="A749" s="24"/>
      <c r="B749" s="23"/>
      <c r="C749" s="23"/>
      <c r="D749" s="23"/>
      <c r="E749" s="23"/>
    </row>
    <row r="750" spans="1:5" ht="13.2">
      <c r="A750" s="24"/>
      <c r="B750" s="23"/>
      <c r="C750" s="23"/>
      <c r="D750" s="23"/>
      <c r="E750" s="23"/>
    </row>
    <row r="751" spans="1:5" ht="13.2">
      <c r="A751" s="24"/>
      <c r="B751" s="23"/>
      <c r="C751" s="23"/>
      <c r="D751" s="23"/>
      <c r="E751" s="23"/>
    </row>
    <row r="752" spans="1:5" ht="13.2">
      <c r="A752" s="24"/>
      <c r="B752" s="23"/>
      <c r="C752" s="23"/>
      <c r="D752" s="23"/>
      <c r="E752" s="23"/>
    </row>
    <row r="753" spans="1:5" ht="13.2">
      <c r="A753" s="24"/>
      <c r="B753" s="23"/>
      <c r="C753" s="23"/>
      <c r="D753" s="23"/>
      <c r="E753" s="23"/>
    </row>
    <row r="754" spans="1:5" ht="13.2">
      <c r="A754" s="24"/>
      <c r="B754" s="23"/>
      <c r="C754" s="23"/>
      <c r="D754" s="23"/>
      <c r="E754" s="23"/>
    </row>
    <row r="755" spans="1:5" ht="13.2">
      <c r="A755" s="24"/>
      <c r="B755" s="23"/>
      <c r="C755" s="23"/>
      <c r="D755" s="23"/>
      <c r="E755" s="23"/>
    </row>
    <row r="756" spans="1:5" ht="13.2">
      <c r="A756" s="24"/>
      <c r="B756" s="23"/>
      <c r="C756" s="23"/>
      <c r="D756" s="23"/>
      <c r="E756" s="23"/>
    </row>
    <row r="757" spans="1:5" ht="13.2">
      <c r="A757" s="24"/>
      <c r="B757" s="23"/>
      <c r="C757" s="23"/>
      <c r="D757" s="23"/>
      <c r="E757" s="23"/>
    </row>
    <row r="758" spans="1:5" ht="13.2">
      <c r="A758" s="24"/>
      <c r="B758" s="23"/>
      <c r="C758" s="23"/>
      <c r="D758" s="23"/>
      <c r="E758" s="23"/>
    </row>
    <row r="759" spans="1:5" ht="13.2">
      <c r="A759" s="24"/>
      <c r="B759" s="23"/>
      <c r="C759" s="23"/>
      <c r="D759" s="23"/>
      <c r="E759" s="23"/>
    </row>
    <row r="760" spans="1:5" ht="13.2">
      <c r="A760" s="24"/>
      <c r="B760" s="23"/>
      <c r="C760" s="23"/>
      <c r="D760" s="23"/>
      <c r="E760" s="23"/>
    </row>
    <row r="761" spans="1:5" ht="13.2">
      <c r="A761" s="24"/>
      <c r="B761" s="23"/>
      <c r="C761" s="23"/>
      <c r="D761" s="23"/>
      <c r="E761" s="23"/>
    </row>
    <row r="762" spans="1:5" ht="13.2">
      <c r="A762" s="24"/>
      <c r="B762" s="23"/>
      <c r="C762" s="23"/>
      <c r="D762" s="23"/>
      <c r="E762" s="23"/>
    </row>
    <row r="763" spans="1:5" ht="13.2">
      <c r="A763" s="24"/>
      <c r="B763" s="23"/>
      <c r="C763" s="23"/>
      <c r="D763" s="23"/>
      <c r="E763" s="23"/>
    </row>
    <row r="764" spans="1:5" ht="13.2">
      <c r="A764" s="24"/>
      <c r="B764" s="23"/>
      <c r="C764" s="23"/>
      <c r="D764" s="23"/>
      <c r="E764" s="23"/>
    </row>
    <row r="765" spans="1:5" ht="13.2">
      <c r="A765" s="24"/>
      <c r="B765" s="23"/>
      <c r="C765" s="23"/>
      <c r="D765" s="23"/>
      <c r="E765" s="23"/>
    </row>
    <row r="766" spans="1:5" ht="13.2">
      <c r="A766" s="24"/>
      <c r="B766" s="23"/>
      <c r="C766" s="23"/>
      <c r="D766" s="23"/>
      <c r="E766" s="23"/>
    </row>
    <row r="767" spans="1:5" ht="13.2">
      <c r="A767" s="24"/>
      <c r="B767" s="23"/>
      <c r="C767" s="23"/>
      <c r="D767" s="23"/>
      <c r="E767" s="23"/>
    </row>
    <row r="768" spans="1:5" ht="13.2">
      <c r="A768" s="24"/>
      <c r="B768" s="23"/>
      <c r="C768" s="23"/>
      <c r="D768" s="23"/>
      <c r="E768" s="23"/>
    </row>
    <row r="769" spans="1:5" ht="13.2">
      <c r="A769" s="24"/>
      <c r="B769" s="23"/>
      <c r="C769" s="23"/>
      <c r="D769" s="23"/>
      <c r="E769" s="23"/>
    </row>
    <row r="770" spans="1:5" ht="13.2">
      <c r="A770" s="24"/>
      <c r="B770" s="23"/>
      <c r="C770" s="23"/>
      <c r="D770" s="23"/>
      <c r="E770" s="23"/>
    </row>
    <row r="771" spans="1:5" ht="13.2">
      <c r="A771" s="24"/>
      <c r="B771" s="23"/>
      <c r="C771" s="23"/>
      <c r="D771" s="23"/>
      <c r="E771" s="23"/>
    </row>
    <row r="772" spans="1:5" ht="13.2">
      <c r="A772" s="24"/>
      <c r="B772" s="23"/>
      <c r="C772" s="23"/>
      <c r="D772" s="23"/>
      <c r="E772" s="23"/>
    </row>
    <row r="773" spans="1:5" ht="13.2">
      <c r="A773" s="24"/>
      <c r="B773" s="23"/>
      <c r="C773" s="23"/>
      <c r="D773" s="23"/>
      <c r="E773" s="23"/>
    </row>
    <row r="774" spans="1:5" ht="13.2">
      <c r="A774" s="24"/>
      <c r="B774" s="23"/>
      <c r="C774" s="23"/>
      <c r="D774" s="23"/>
      <c r="E774" s="23"/>
    </row>
    <row r="775" spans="1:5" ht="13.2">
      <c r="A775" s="24"/>
      <c r="B775" s="23"/>
      <c r="C775" s="23"/>
      <c r="D775" s="23"/>
      <c r="E775" s="23"/>
    </row>
    <row r="776" spans="1:5" ht="13.2">
      <c r="A776" s="24"/>
      <c r="B776" s="23"/>
      <c r="C776" s="23"/>
      <c r="D776" s="23"/>
      <c r="E776" s="23"/>
    </row>
    <row r="777" spans="1:5" ht="13.2">
      <c r="A777" s="24"/>
      <c r="B777" s="23"/>
      <c r="C777" s="23"/>
      <c r="D777" s="23"/>
      <c r="E777" s="23"/>
    </row>
    <row r="778" spans="1:5" ht="13.2">
      <c r="A778" s="24"/>
      <c r="B778" s="23"/>
      <c r="C778" s="23"/>
      <c r="D778" s="23"/>
      <c r="E778" s="23"/>
    </row>
    <row r="779" spans="1:5" ht="13.2">
      <c r="A779" s="24"/>
      <c r="B779" s="23"/>
      <c r="C779" s="23"/>
      <c r="D779" s="23"/>
      <c r="E779" s="23"/>
    </row>
    <row r="780" spans="1:5" ht="13.2">
      <c r="A780" s="24"/>
      <c r="B780" s="23"/>
      <c r="C780" s="23"/>
      <c r="D780" s="23"/>
      <c r="E780" s="23"/>
    </row>
    <row r="781" spans="1:5" ht="13.2">
      <c r="A781" s="24"/>
      <c r="B781" s="23"/>
      <c r="C781" s="23"/>
      <c r="D781" s="23"/>
      <c r="E781" s="23"/>
    </row>
    <row r="782" spans="1:5" ht="13.2">
      <c r="A782" s="24"/>
      <c r="B782" s="23"/>
      <c r="C782" s="23"/>
      <c r="D782" s="23"/>
      <c r="E782" s="23"/>
    </row>
    <row r="783" spans="1:5" ht="13.2">
      <c r="A783" s="24"/>
      <c r="B783" s="23"/>
      <c r="C783" s="23"/>
      <c r="D783" s="23"/>
      <c r="E783" s="23"/>
    </row>
    <row r="784" spans="1:5" ht="13.2">
      <c r="A784" s="24"/>
      <c r="B784" s="23"/>
      <c r="C784" s="23"/>
      <c r="D784" s="23"/>
      <c r="E784" s="23"/>
    </row>
    <row r="785" spans="1:5" ht="13.2">
      <c r="A785" s="24"/>
      <c r="B785" s="23"/>
      <c r="C785" s="23"/>
      <c r="D785" s="23"/>
      <c r="E785" s="23"/>
    </row>
    <row r="786" spans="1:5" ht="13.2">
      <c r="A786" s="24"/>
      <c r="B786" s="23"/>
      <c r="C786" s="23"/>
      <c r="D786" s="23"/>
      <c r="E786" s="23"/>
    </row>
    <row r="787" spans="1:5" ht="13.2">
      <c r="A787" s="24"/>
      <c r="B787" s="23"/>
      <c r="C787" s="23"/>
      <c r="D787" s="23"/>
      <c r="E787" s="23"/>
    </row>
    <row r="788" spans="1:5" ht="13.2">
      <c r="A788" s="24"/>
      <c r="B788" s="23"/>
      <c r="C788" s="23"/>
      <c r="D788" s="23"/>
      <c r="E788" s="23"/>
    </row>
    <row r="789" spans="1:5" ht="13.2">
      <c r="A789" s="24"/>
      <c r="B789" s="23"/>
      <c r="C789" s="23"/>
      <c r="D789" s="23"/>
      <c r="E789" s="23"/>
    </row>
    <row r="790" spans="1:5" ht="13.2">
      <c r="A790" s="24"/>
      <c r="B790" s="23"/>
      <c r="C790" s="23"/>
      <c r="D790" s="23"/>
      <c r="E790" s="23"/>
    </row>
    <row r="791" spans="1:5" ht="13.2">
      <c r="A791" s="24"/>
      <c r="B791" s="23"/>
      <c r="C791" s="23"/>
      <c r="D791" s="23"/>
      <c r="E791" s="23"/>
    </row>
    <row r="792" spans="1:5" ht="13.2">
      <c r="A792" s="24"/>
      <c r="B792" s="23"/>
      <c r="C792" s="23"/>
      <c r="D792" s="23"/>
      <c r="E792" s="23"/>
    </row>
    <row r="793" spans="1:5" ht="13.2">
      <c r="A793" s="24"/>
      <c r="B793" s="23"/>
      <c r="C793" s="23"/>
      <c r="D793" s="23"/>
      <c r="E793" s="23"/>
    </row>
    <row r="794" spans="1:5" ht="13.2">
      <c r="A794" s="24"/>
      <c r="B794" s="23"/>
      <c r="C794" s="23"/>
      <c r="D794" s="23"/>
      <c r="E794" s="23"/>
    </row>
    <row r="795" spans="1:5" ht="13.2">
      <c r="A795" s="24"/>
      <c r="B795" s="23"/>
      <c r="C795" s="23"/>
      <c r="D795" s="23"/>
      <c r="E795" s="23"/>
    </row>
    <row r="796" spans="1:5" ht="13.2">
      <c r="A796" s="24"/>
      <c r="B796" s="23"/>
      <c r="C796" s="23"/>
      <c r="D796" s="23"/>
      <c r="E796" s="23"/>
    </row>
    <row r="797" spans="1:5" ht="13.2">
      <c r="A797" s="24"/>
      <c r="B797" s="23"/>
      <c r="C797" s="23"/>
      <c r="D797" s="23"/>
      <c r="E797" s="23"/>
    </row>
    <row r="798" spans="1:5" ht="13.2">
      <c r="A798" s="24"/>
      <c r="B798" s="23"/>
      <c r="C798" s="23"/>
      <c r="D798" s="23"/>
      <c r="E798" s="23"/>
    </row>
    <row r="799" spans="1:5" ht="13.2">
      <c r="A799" s="24"/>
      <c r="B799" s="23"/>
      <c r="C799" s="23"/>
      <c r="D799" s="23"/>
      <c r="E799" s="23"/>
    </row>
    <row r="800" spans="1:5" ht="13.2">
      <c r="A800" s="24"/>
      <c r="B800" s="23"/>
      <c r="C800" s="23"/>
      <c r="D800" s="23"/>
      <c r="E800" s="23"/>
    </row>
    <row r="801" spans="1:5" ht="13.2">
      <c r="A801" s="24"/>
      <c r="B801" s="23"/>
      <c r="C801" s="23"/>
      <c r="D801" s="23"/>
      <c r="E801" s="23"/>
    </row>
    <row r="802" spans="1:5" ht="13.2">
      <c r="A802" s="24"/>
      <c r="B802" s="23"/>
      <c r="C802" s="23"/>
      <c r="D802" s="23"/>
      <c r="E802" s="23"/>
    </row>
    <row r="803" spans="1:5" ht="13.2">
      <c r="A803" s="24"/>
      <c r="B803" s="23"/>
      <c r="C803" s="23"/>
      <c r="D803" s="23"/>
      <c r="E803" s="23"/>
    </row>
    <row r="804" spans="1:5" ht="13.2">
      <c r="A804" s="24"/>
      <c r="B804" s="23"/>
      <c r="C804" s="23"/>
      <c r="D804" s="23"/>
      <c r="E804" s="23"/>
    </row>
    <row r="805" spans="1:5" ht="13.2">
      <c r="A805" s="24"/>
      <c r="B805" s="23"/>
      <c r="C805" s="23"/>
      <c r="D805" s="23"/>
      <c r="E805" s="23"/>
    </row>
    <row r="806" spans="1:5" ht="13.2">
      <c r="A806" s="24"/>
      <c r="B806" s="23"/>
      <c r="C806" s="23"/>
      <c r="D806" s="23"/>
      <c r="E806" s="23"/>
    </row>
    <row r="807" spans="1:5" ht="13.2">
      <c r="A807" s="24"/>
      <c r="B807" s="23"/>
      <c r="C807" s="23"/>
      <c r="D807" s="23"/>
      <c r="E807" s="23"/>
    </row>
    <row r="808" spans="1:5" ht="13.2">
      <c r="A808" s="24"/>
      <c r="B808" s="23"/>
      <c r="C808" s="23"/>
      <c r="D808" s="23"/>
      <c r="E808" s="23"/>
    </row>
    <row r="809" spans="1:5" ht="13.2">
      <c r="A809" s="24"/>
      <c r="B809" s="23"/>
      <c r="C809" s="23"/>
      <c r="D809" s="23"/>
      <c r="E809" s="23"/>
    </row>
    <row r="810" spans="1:5" ht="13.2">
      <c r="A810" s="24"/>
      <c r="B810" s="23"/>
      <c r="C810" s="23"/>
      <c r="D810" s="23"/>
      <c r="E810" s="23"/>
    </row>
    <row r="811" spans="1:5" ht="13.2">
      <c r="A811" s="24"/>
      <c r="B811" s="23"/>
      <c r="C811" s="23"/>
      <c r="D811" s="23"/>
      <c r="E811" s="23"/>
    </row>
    <row r="812" spans="1:5" ht="13.2">
      <c r="A812" s="24"/>
      <c r="B812" s="23"/>
      <c r="C812" s="23"/>
      <c r="D812" s="23"/>
      <c r="E812" s="23"/>
    </row>
    <row r="813" spans="1:5" ht="13.2">
      <c r="A813" s="24"/>
      <c r="B813" s="23"/>
      <c r="C813" s="23"/>
      <c r="D813" s="23"/>
      <c r="E813" s="23"/>
    </row>
    <row r="814" spans="1:5" ht="13.2">
      <c r="A814" s="24"/>
      <c r="B814" s="23"/>
      <c r="C814" s="23"/>
      <c r="D814" s="23"/>
      <c r="E814" s="23"/>
    </row>
    <row r="815" spans="1:5" ht="13.2">
      <c r="A815" s="24"/>
      <c r="B815" s="23"/>
      <c r="C815" s="23"/>
      <c r="D815" s="23"/>
      <c r="E815" s="23"/>
    </row>
    <row r="816" spans="1:5" ht="13.2">
      <c r="A816" s="24"/>
      <c r="B816" s="23"/>
      <c r="C816" s="23"/>
      <c r="D816" s="23"/>
      <c r="E816" s="23"/>
    </row>
    <row r="817" spans="1:5" ht="13.2">
      <c r="A817" s="24"/>
      <c r="B817" s="23"/>
      <c r="C817" s="23"/>
      <c r="D817" s="23"/>
      <c r="E817" s="23"/>
    </row>
    <row r="818" spans="1:5" ht="13.2">
      <c r="A818" s="24"/>
      <c r="B818" s="23"/>
      <c r="C818" s="23"/>
      <c r="D818" s="23"/>
      <c r="E818" s="23"/>
    </row>
    <row r="819" spans="1:5" ht="13.2">
      <c r="A819" s="24"/>
      <c r="B819" s="23"/>
      <c r="C819" s="23"/>
      <c r="D819" s="23"/>
      <c r="E819" s="23"/>
    </row>
    <row r="820" spans="1:5" ht="13.2">
      <c r="A820" s="24"/>
      <c r="B820" s="23"/>
      <c r="C820" s="23"/>
      <c r="D820" s="23"/>
      <c r="E820" s="23"/>
    </row>
    <row r="821" spans="1:5" ht="13.2">
      <c r="A821" s="24"/>
      <c r="B821" s="23"/>
      <c r="C821" s="23"/>
      <c r="D821" s="23"/>
      <c r="E821" s="23"/>
    </row>
    <row r="822" spans="1:5" ht="13.2">
      <c r="A822" s="24"/>
      <c r="B822" s="23"/>
      <c r="C822" s="23"/>
      <c r="D822" s="23"/>
      <c r="E822" s="23"/>
    </row>
    <row r="823" spans="1:5" ht="13.2">
      <c r="A823" s="24"/>
      <c r="B823" s="23"/>
      <c r="C823" s="23"/>
      <c r="D823" s="23"/>
      <c r="E823" s="23"/>
    </row>
    <row r="824" spans="1:5" ht="13.2">
      <c r="A824" s="24"/>
      <c r="B824" s="23"/>
      <c r="C824" s="23"/>
      <c r="D824" s="23"/>
      <c r="E824" s="23"/>
    </row>
    <row r="825" spans="1:5" ht="13.2">
      <c r="A825" s="24"/>
      <c r="B825" s="23"/>
      <c r="C825" s="23"/>
      <c r="D825" s="23"/>
      <c r="E825" s="23"/>
    </row>
    <row r="826" spans="1:5" ht="13.2">
      <c r="A826" s="24"/>
      <c r="B826" s="23"/>
      <c r="C826" s="23"/>
      <c r="D826" s="23"/>
      <c r="E826" s="23"/>
    </row>
    <row r="827" spans="1:5" ht="13.2">
      <c r="A827" s="24"/>
      <c r="B827" s="23"/>
      <c r="C827" s="23"/>
      <c r="D827" s="23"/>
      <c r="E827" s="23"/>
    </row>
    <row r="828" spans="1:5" ht="13.2">
      <c r="A828" s="24"/>
      <c r="B828" s="23"/>
      <c r="C828" s="23"/>
      <c r="D828" s="23"/>
      <c r="E828" s="23"/>
    </row>
    <row r="829" spans="1:5" ht="13.2">
      <c r="A829" s="24"/>
      <c r="B829" s="23"/>
      <c r="C829" s="23"/>
      <c r="D829" s="23"/>
      <c r="E829" s="23"/>
    </row>
    <row r="830" spans="1:5" ht="13.2">
      <c r="A830" s="24"/>
      <c r="B830" s="23"/>
      <c r="C830" s="23"/>
      <c r="D830" s="23"/>
      <c r="E830" s="23"/>
    </row>
    <row r="831" spans="1:5" ht="13.2">
      <c r="A831" s="24"/>
      <c r="B831" s="23"/>
      <c r="C831" s="23"/>
      <c r="D831" s="23"/>
      <c r="E831" s="23"/>
    </row>
    <row r="832" spans="1:5" ht="13.2">
      <c r="A832" s="24"/>
      <c r="B832" s="23"/>
      <c r="C832" s="23"/>
      <c r="D832" s="23"/>
      <c r="E832" s="23"/>
    </row>
    <row r="833" spans="1:5" ht="13.2">
      <c r="A833" s="24"/>
      <c r="B833" s="23"/>
      <c r="C833" s="23"/>
      <c r="D833" s="23"/>
      <c r="E833" s="23"/>
    </row>
    <row r="834" spans="1:5" ht="13.2">
      <c r="A834" s="24"/>
      <c r="B834" s="23"/>
      <c r="C834" s="23"/>
      <c r="D834" s="23"/>
      <c r="E834" s="23"/>
    </row>
    <row r="835" spans="1:5" ht="13.2">
      <c r="A835" s="24"/>
      <c r="B835" s="23"/>
      <c r="C835" s="23"/>
      <c r="D835" s="23"/>
      <c r="E835" s="23"/>
    </row>
    <row r="836" spans="1:5" ht="13.2">
      <c r="A836" s="24"/>
      <c r="B836" s="23"/>
      <c r="C836" s="23"/>
      <c r="D836" s="23"/>
      <c r="E836" s="23"/>
    </row>
    <row r="837" spans="1:5" ht="13.2">
      <c r="A837" s="24"/>
      <c r="B837" s="23"/>
      <c r="C837" s="23"/>
      <c r="D837" s="23"/>
      <c r="E837" s="23"/>
    </row>
    <row r="838" spans="1:5" ht="13.2">
      <c r="A838" s="24"/>
      <c r="B838" s="23"/>
      <c r="C838" s="23"/>
      <c r="D838" s="23"/>
      <c r="E838" s="23"/>
    </row>
    <row r="839" spans="1:5" ht="13.2">
      <c r="A839" s="24"/>
      <c r="B839" s="23"/>
      <c r="C839" s="23"/>
      <c r="D839" s="23"/>
      <c r="E839" s="23"/>
    </row>
    <row r="840" spans="1:5" ht="13.2">
      <c r="A840" s="24"/>
      <c r="B840" s="23"/>
      <c r="C840" s="23"/>
      <c r="D840" s="23"/>
      <c r="E840" s="23"/>
    </row>
    <row r="841" spans="1:5" ht="13.2">
      <c r="A841" s="24"/>
      <c r="B841" s="23"/>
      <c r="C841" s="23"/>
      <c r="D841" s="23"/>
      <c r="E841" s="23"/>
    </row>
    <row r="842" spans="1:5" ht="13.2">
      <c r="A842" s="24"/>
      <c r="B842" s="23"/>
      <c r="C842" s="23"/>
      <c r="D842" s="23"/>
      <c r="E842" s="23"/>
    </row>
    <row r="843" spans="1:5" ht="13.2">
      <c r="A843" s="24"/>
      <c r="B843" s="23"/>
      <c r="C843" s="23"/>
      <c r="D843" s="23"/>
      <c r="E843" s="23"/>
    </row>
    <row r="844" spans="1:5" ht="13.2">
      <c r="A844" s="24"/>
      <c r="B844" s="23"/>
      <c r="C844" s="23"/>
      <c r="D844" s="23"/>
      <c r="E844" s="23"/>
    </row>
    <row r="845" spans="1:5" ht="13.2">
      <c r="A845" s="24"/>
      <c r="B845" s="23"/>
      <c r="C845" s="23"/>
      <c r="D845" s="23"/>
      <c r="E845" s="23"/>
    </row>
    <row r="846" spans="1:5" ht="13.2">
      <c r="A846" s="24"/>
      <c r="B846" s="23"/>
      <c r="C846" s="23"/>
      <c r="D846" s="23"/>
      <c r="E846" s="23"/>
    </row>
    <row r="847" spans="1:5" ht="13.2">
      <c r="A847" s="24"/>
      <c r="B847" s="23"/>
      <c r="C847" s="23"/>
      <c r="D847" s="23"/>
      <c r="E847" s="23"/>
    </row>
    <row r="848" spans="1:5" ht="13.2">
      <c r="A848" s="24"/>
      <c r="B848" s="23"/>
      <c r="C848" s="23"/>
      <c r="D848" s="23"/>
      <c r="E848" s="23"/>
    </row>
    <row r="849" spans="1:5" ht="13.2">
      <c r="A849" s="24"/>
      <c r="B849" s="23"/>
      <c r="C849" s="23"/>
      <c r="D849" s="23"/>
      <c r="E849" s="23"/>
    </row>
    <row r="850" spans="1:5" ht="13.2">
      <c r="A850" s="24"/>
      <c r="B850" s="23"/>
      <c r="C850" s="23"/>
      <c r="D850" s="23"/>
      <c r="E850" s="23"/>
    </row>
    <row r="851" spans="1:5" ht="13.2">
      <c r="A851" s="24"/>
      <c r="B851" s="23"/>
      <c r="C851" s="23"/>
      <c r="D851" s="23"/>
      <c r="E851" s="23"/>
    </row>
    <row r="852" spans="1:5" ht="13.2">
      <c r="A852" s="24"/>
      <c r="B852" s="23"/>
      <c r="C852" s="23"/>
      <c r="D852" s="23"/>
      <c r="E852" s="23"/>
    </row>
    <row r="853" spans="1:5" ht="13.2">
      <c r="A853" s="24"/>
      <c r="B853" s="23"/>
      <c r="C853" s="23"/>
      <c r="D853" s="23"/>
      <c r="E853" s="23"/>
    </row>
    <row r="854" spans="1:5" ht="13.2">
      <c r="A854" s="24"/>
      <c r="B854" s="23"/>
      <c r="C854" s="23"/>
      <c r="D854" s="23"/>
      <c r="E854" s="23"/>
    </row>
    <row r="855" spans="1:5" ht="13.2">
      <c r="A855" s="24"/>
      <c r="B855" s="23"/>
      <c r="C855" s="23"/>
      <c r="D855" s="23"/>
      <c r="E855" s="23"/>
    </row>
    <row r="856" spans="1:5" ht="13.2">
      <c r="A856" s="24"/>
      <c r="B856" s="23"/>
      <c r="C856" s="23"/>
      <c r="D856" s="23"/>
      <c r="E856" s="23"/>
    </row>
    <row r="857" spans="1:5" ht="13.2">
      <c r="A857" s="24"/>
      <c r="B857" s="23"/>
      <c r="C857" s="23"/>
      <c r="D857" s="23"/>
      <c r="E857" s="23"/>
    </row>
    <row r="858" spans="1:5" ht="13.2">
      <c r="A858" s="24"/>
      <c r="B858" s="23"/>
      <c r="C858" s="23"/>
      <c r="D858" s="23"/>
      <c r="E858" s="23"/>
    </row>
    <row r="859" spans="1:5" ht="13.2">
      <c r="A859" s="24"/>
      <c r="B859" s="23"/>
      <c r="C859" s="23"/>
      <c r="D859" s="23"/>
      <c r="E859" s="23"/>
    </row>
    <row r="860" spans="1:5" ht="13.2">
      <c r="A860" s="24"/>
      <c r="B860" s="23"/>
      <c r="C860" s="23"/>
      <c r="D860" s="23"/>
      <c r="E860" s="23"/>
    </row>
    <row r="861" spans="1:5" ht="13.2">
      <c r="A861" s="24"/>
      <c r="B861" s="23"/>
      <c r="C861" s="23"/>
      <c r="D861" s="23"/>
      <c r="E861" s="23"/>
    </row>
    <row r="862" spans="1:5" ht="13.2">
      <c r="A862" s="24"/>
      <c r="B862" s="23"/>
      <c r="C862" s="23"/>
      <c r="D862" s="23"/>
      <c r="E862" s="23"/>
    </row>
    <row r="863" spans="1:5" ht="13.2">
      <c r="A863" s="24"/>
      <c r="B863" s="23"/>
      <c r="C863" s="23"/>
      <c r="D863" s="23"/>
      <c r="E863" s="23"/>
    </row>
    <row r="864" spans="1:5" ht="13.2">
      <c r="A864" s="24"/>
      <c r="B864" s="23"/>
      <c r="C864" s="23"/>
      <c r="D864" s="23"/>
      <c r="E864" s="23"/>
    </row>
    <row r="865" spans="1:5" ht="13.2">
      <c r="A865" s="24"/>
      <c r="B865" s="23"/>
      <c r="C865" s="23"/>
      <c r="D865" s="23"/>
      <c r="E865" s="23"/>
    </row>
    <row r="866" spans="1:5" ht="13.2">
      <c r="A866" s="24"/>
      <c r="B866" s="23"/>
      <c r="C866" s="23"/>
      <c r="D866" s="23"/>
      <c r="E866" s="23"/>
    </row>
    <row r="867" spans="1:5" ht="13.2">
      <c r="A867" s="24"/>
      <c r="B867" s="23"/>
      <c r="C867" s="23"/>
      <c r="D867" s="23"/>
      <c r="E867" s="23"/>
    </row>
    <row r="868" spans="1:5" ht="13.2">
      <c r="A868" s="24"/>
      <c r="B868" s="23"/>
      <c r="C868" s="23"/>
      <c r="D868" s="23"/>
      <c r="E868" s="23"/>
    </row>
    <row r="869" spans="1:5" ht="13.2">
      <c r="A869" s="24"/>
      <c r="B869" s="23"/>
      <c r="C869" s="23"/>
      <c r="D869" s="23"/>
      <c r="E869" s="23"/>
    </row>
    <row r="870" spans="1:5" ht="13.2">
      <c r="A870" s="24"/>
      <c r="B870" s="23"/>
      <c r="C870" s="23"/>
      <c r="D870" s="23"/>
      <c r="E870" s="23"/>
    </row>
    <row r="871" spans="1:5" ht="13.2">
      <c r="A871" s="24"/>
      <c r="B871" s="23"/>
      <c r="C871" s="23"/>
      <c r="D871" s="23"/>
      <c r="E871" s="23"/>
    </row>
    <row r="872" spans="1:5" ht="13.2">
      <c r="A872" s="24"/>
      <c r="B872" s="23"/>
      <c r="C872" s="23"/>
      <c r="D872" s="23"/>
      <c r="E872" s="23"/>
    </row>
    <row r="873" spans="1:5" ht="13.2">
      <c r="A873" s="24"/>
      <c r="B873" s="23"/>
      <c r="C873" s="23"/>
      <c r="D873" s="23"/>
      <c r="E873" s="23"/>
    </row>
    <row r="874" spans="1:5" ht="13.2">
      <c r="A874" s="24"/>
      <c r="B874" s="23"/>
      <c r="C874" s="23"/>
      <c r="D874" s="23"/>
      <c r="E874" s="23"/>
    </row>
    <row r="875" spans="1:5" ht="13.2">
      <c r="A875" s="24"/>
      <c r="B875" s="23"/>
      <c r="C875" s="23"/>
      <c r="D875" s="23"/>
      <c r="E875" s="23"/>
    </row>
    <row r="876" spans="1:5" ht="13.2">
      <c r="A876" s="24"/>
      <c r="B876" s="23"/>
      <c r="C876" s="23"/>
      <c r="D876" s="23"/>
      <c r="E876" s="23"/>
    </row>
    <row r="877" spans="1:5" ht="13.2">
      <c r="A877" s="24"/>
      <c r="B877" s="23"/>
      <c r="C877" s="23"/>
      <c r="D877" s="23"/>
      <c r="E877" s="23"/>
    </row>
    <row r="878" spans="1:5" ht="13.2">
      <c r="A878" s="24"/>
      <c r="B878" s="23"/>
      <c r="C878" s="23"/>
      <c r="D878" s="23"/>
      <c r="E878" s="23"/>
    </row>
    <row r="879" spans="1:5" ht="13.2">
      <c r="A879" s="24"/>
      <c r="B879" s="23"/>
      <c r="C879" s="23"/>
      <c r="D879" s="23"/>
      <c r="E879" s="23"/>
    </row>
    <row r="880" spans="1:5" ht="13.2">
      <c r="A880" s="24"/>
      <c r="B880" s="23"/>
      <c r="C880" s="23"/>
      <c r="D880" s="23"/>
      <c r="E880" s="23"/>
    </row>
    <row r="881" spans="1:5" ht="13.2">
      <c r="A881" s="24"/>
      <c r="B881" s="23"/>
      <c r="C881" s="23"/>
      <c r="D881" s="23"/>
      <c r="E881" s="23"/>
    </row>
    <row r="882" spans="1:5" ht="13.2">
      <c r="A882" s="24"/>
      <c r="B882" s="23"/>
      <c r="C882" s="23"/>
      <c r="D882" s="23"/>
      <c r="E882" s="23"/>
    </row>
    <row r="883" spans="1:5" ht="13.2">
      <c r="A883" s="24"/>
      <c r="B883" s="23"/>
      <c r="C883" s="23"/>
      <c r="D883" s="23"/>
      <c r="E883" s="23"/>
    </row>
    <row r="884" spans="1:5" ht="13.2">
      <c r="A884" s="24"/>
      <c r="B884" s="23"/>
      <c r="C884" s="23"/>
      <c r="D884" s="23"/>
      <c r="E884" s="23"/>
    </row>
    <row r="885" spans="1:5" ht="13.2">
      <c r="A885" s="24"/>
      <c r="B885" s="23"/>
      <c r="C885" s="23"/>
      <c r="D885" s="23"/>
      <c r="E885" s="23"/>
    </row>
    <row r="886" spans="1:5" ht="13.2">
      <c r="A886" s="24"/>
      <c r="B886" s="23"/>
      <c r="C886" s="23"/>
      <c r="D886" s="23"/>
      <c r="E886" s="23"/>
    </row>
    <row r="887" spans="1:5" ht="13.2">
      <c r="A887" s="24"/>
      <c r="B887" s="23"/>
      <c r="C887" s="23"/>
      <c r="D887" s="23"/>
      <c r="E887" s="23"/>
    </row>
    <row r="888" spans="1:5" ht="13.2">
      <c r="A888" s="24"/>
      <c r="B888" s="23"/>
      <c r="C888" s="23"/>
      <c r="D888" s="23"/>
      <c r="E888" s="23"/>
    </row>
    <row r="889" spans="1:5" ht="13.2">
      <c r="A889" s="24"/>
      <c r="B889" s="23"/>
      <c r="C889" s="23"/>
      <c r="D889" s="23"/>
      <c r="E889" s="23"/>
    </row>
    <row r="890" spans="1:5" ht="13.2">
      <c r="A890" s="24"/>
      <c r="B890" s="23"/>
      <c r="C890" s="23"/>
      <c r="D890" s="23"/>
      <c r="E890" s="23"/>
    </row>
    <row r="891" spans="1:5" ht="13.2">
      <c r="A891" s="24"/>
      <c r="B891" s="23"/>
      <c r="C891" s="23"/>
      <c r="D891" s="23"/>
      <c r="E891" s="23"/>
    </row>
    <row r="892" spans="1:5" ht="13.2">
      <c r="A892" s="24"/>
      <c r="B892" s="23"/>
      <c r="C892" s="23"/>
      <c r="D892" s="23"/>
      <c r="E892" s="23"/>
    </row>
    <row r="893" spans="1:5" ht="13.2">
      <c r="A893" s="24"/>
      <c r="B893" s="23"/>
      <c r="C893" s="23"/>
      <c r="D893" s="23"/>
      <c r="E893" s="23"/>
    </row>
    <row r="894" spans="1:5" ht="13.2">
      <c r="A894" s="24"/>
      <c r="B894" s="23"/>
      <c r="C894" s="23"/>
      <c r="D894" s="23"/>
      <c r="E894" s="23"/>
    </row>
    <row r="895" spans="1:5" ht="13.2">
      <c r="A895" s="24"/>
      <c r="B895" s="23"/>
      <c r="C895" s="23"/>
      <c r="D895" s="23"/>
      <c r="E895" s="23"/>
    </row>
    <row r="896" spans="1:5" ht="13.2">
      <c r="A896" s="24"/>
      <c r="B896" s="23"/>
      <c r="C896" s="23"/>
      <c r="D896" s="23"/>
      <c r="E896" s="23"/>
    </row>
    <row r="897" spans="1:5" ht="13.2">
      <c r="A897" s="24"/>
      <c r="B897" s="23"/>
      <c r="C897" s="23"/>
      <c r="D897" s="23"/>
      <c r="E897" s="23"/>
    </row>
    <row r="898" spans="1:5" ht="13.2">
      <c r="A898" s="24"/>
      <c r="B898" s="23"/>
      <c r="C898" s="23"/>
      <c r="D898" s="23"/>
      <c r="E898" s="23"/>
    </row>
    <row r="899" spans="1:5" ht="13.2">
      <c r="A899" s="24"/>
      <c r="B899" s="23"/>
      <c r="C899" s="23"/>
      <c r="D899" s="23"/>
      <c r="E899" s="23"/>
    </row>
    <row r="900" spans="1:5" ht="13.2">
      <c r="A900" s="24"/>
      <c r="B900" s="23"/>
      <c r="C900" s="23"/>
      <c r="D900" s="23"/>
      <c r="E900" s="23"/>
    </row>
    <row r="901" spans="1:5" ht="13.2">
      <c r="A901" s="24"/>
      <c r="B901" s="23"/>
      <c r="C901" s="23"/>
      <c r="D901" s="23"/>
      <c r="E901" s="23"/>
    </row>
    <row r="902" spans="1:5" ht="13.2">
      <c r="A902" s="24"/>
      <c r="B902" s="23"/>
      <c r="C902" s="23"/>
      <c r="D902" s="23"/>
      <c r="E902" s="23"/>
    </row>
    <row r="903" spans="1:5" ht="13.2">
      <c r="A903" s="24"/>
      <c r="B903" s="23"/>
      <c r="C903" s="23"/>
      <c r="D903" s="23"/>
      <c r="E903" s="23"/>
    </row>
    <row r="904" spans="1:5" ht="13.2">
      <c r="A904" s="24"/>
      <c r="B904" s="23"/>
      <c r="C904" s="23"/>
      <c r="D904" s="23"/>
      <c r="E904" s="23"/>
    </row>
    <row r="905" spans="1:5" ht="13.2">
      <c r="A905" s="24"/>
      <c r="B905" s="23"/>
      <c r="C905" s="23"/>
      <c r="D905" s="23"/>
      <c r="E905" s="23"/>
    </row>
    <row r="906" spans="1:5" ht="13.2">
      <c r="A906" s="24"/>
      <c r="B906" s="23"/>
      <c r="C906" s="23"/>
      <c r="D906" s="23"/>
      <c r="E906" s="23"/>
    </row>
    <row r="907" spans="1:5" ht="13.2">
      <c r="A907" s="24"/>
      <c r="B907" s="23"/>
      <c r="C907" s="23"/>
      <c r="D907" s="23"/>
      <c r="E907" s="23"/>
    </row>
    <row r="908" spans="1:5" ht="13.2">
      <c r="A908" s="24"/>
      <c r="B908" s="23"/>
      <c r="C908" s="23"/>
      <c r="D908" s="23"/>
      <c r="E908" s="23"/>
    </row>
    <row r="909" spans="1:5" ht="13.2">
      <c r="A909" s="24"/>
      <c r="B909" s="23"/>
      <c r="C909" s="23"/>
      <c r="D909" s="23"/>
      <c r="E909" s="23"/>
    </row>
    <row r="910" spans="1:5" ht="13.2">
      <c r="A910" s="24"/>
      <c r="B910" s="23"/>
      <c r="C910" s="23"/>
      <c r="D910" s="23"/>
      <c r="E910" s="23"/>
    </row>
    <row r="911" spans="1:5" ht="13.2">
      <c r="A911" s="24"/>
      <c r="B911" s="23"/>
      <c r="C911" s="23"/>
      <c r="D911" s="23"/>
      <c r="E911" s="23"/>
    </row>
    <row r="912" spans="1:5" ht="13.2">
      <c r="A912" s="24"/>
      <c r="B912" s="23"/>
      <c r="C912" s="23"/>
      <c r="D912" s="23"/>
      <c r="E912" s="23"/>
    </row>
    <row r="913" spans="1:5" ht="13.2">
      <c r="A913" s="24"/>
      <c r="B913" s="23"/>
      <c r="C913" s="23"/>
      <c r="D913" s="23"/>
      <c r="E913" s="23"/>
    </row>
    <row r="914" spans="1:5" ht="13.2">
      <c r="A914" s="24"/>
      <c r="B914" s="23"/>
      <c r="C914" s="23"/>
      <c r="D914" s="23"/>
      <c r="E914" s="23"/>
    </row>
    <row r="915" spans="1:5" ht="13.2">
      <c r="A915" s="24"/>
      <c r="B915" s="23"/>
      <c r="C915" s="23"/>
      <c r="D915" s="23"/>
      <c r="E915" s="23"/>
    </row>
    <row r="916" spans="1:5" ht="13.2">
      <c r="A916" s="24"/>
      <c r="B916" s="23"/>
      <c r="C916" s="23"/>
      <c r="D916" s="23"/>
      <c r="E916" s="23"/>
    </row>
    <row r="917" spans="1:5" ht="13.2">
      <c r="A917" s="24"/>
      <c r="B917" s="23"/>
      <c r="C917" s="23"/>
      <c r="D917" s="23"/>
      <c r="E917" s="23"/>
    </row>
    <row r="918" spans="1:5" ht="13.2">
      <c r="A918" s="24"/>
      <c r="B918" s="23"/>
      <c r="C918" s="23"/>
      <c r="D918" s="23"/>
      <c r="E918" s="23"/>
    </row>
    <row r="919" spans="1:5" ht="13.2">
      <c r="A919" s="24"/>
      <c r="B919" s="23"/>
      <c r="C919" s="23"/>
      <c r="D919" s="23"/>
      <c r="E919" s="23"/>
    </row>
    <row r="920" spans="1:5" ht="13.2">
      <c r="A920" s="24"/>
      <c r="B920" s="23"/>
      <c r="C920" s="23"/>
      <c r="D920" s="23"/>
      <c r="E920" s="23"/>
    </row>
    <row r="921" spans="1:5" ht="13.2">
      <c r="A921" s="24"/>
      <c r="B921" s="23"/>
      <c r="C921" s="23"/>
      <c r="D921" s="23"/>
      <c r="E921" s="23"/>
    </row>
    <row r="922" spans="1:5" ht="13.2">
      <c r="A922" s="24"/>
      <c r="B922" s="23"/>
      <c r="C922" s="23"/>
      <c r="D922" s="23"/>
      <c r="E922" s="23"/>
    </row>
    <row r="923" spans="1:5" ht="13.2">
      <c r="A923" s="24"/>
      <c r="B923" s="23"/>
      <c r="C923" s="23"/>
      <c r="D923" s="23"/>
      <c r="E923" s="23"/>
    </row>
    <row r="924" spans="1:5" ht="13.2">
      <c r="A924" s="24"/>
      <c r="B924" s="23"/>
      <c r="C924" s="23"/>
      <c r="D924" s="23"/>
      <c r="E924" s="23"/>
    </row>
    <row r="925" spans="1:5" ht="13.2">
      <c r="A925" s="24"/>
      <c r="B925" s="23"/>
      <c r="C925" s="23"/>
      <c r="D925" s="23"/>
      <c r="E925" s="23"/>
    </row>
    <row r="926" spans="1:5" ht="13.2">
      <c r="A926" s="24"/>
      <c r="B926" s="23"/>
      <c r="C926" s="23"/>
      <c r="D926" s="23"/>
      <c r="E926" s="23"/>
    </row>
    <row r="927" spans="1:5" ht="13.2">
      <c r="A927" s="24"/>
      <c r="B927" s="23"/>
      <c r="C927" s="23"/>
      <c r="D927" s="23"/>
      <c r="E927" s="23"/>
    </row>
    <row r="928" spans="1:5" ht="13.2">
      <c r="A928" s="24"/>
      <c r="B928" s="23"/>
      <c r="C928" s="23"/>
      <c r="D928" s="23"/>
      <c r="E928" s="23"/>
    </row>
    <row r="929" spans="1:5" ht="13.2">
      <c r="A929" s="24"/>
      <c r="B929" s="23"/>
      <c r="C929" s="23"/>
      <c r="D929" s="23"/>
      <c r="E929" s="23"/>
    </row>
    <row r="930" spans="1:5" ht="13.2">
      <c r="A930" s="24"/>
      <c r="B930" s="23"/>
      <c r="C930" s="23"/>
      <c r="D930" s="23"/>
      <c r="E930" s="23"/>
    </row>
    <row r="931" spans="1:5" ht="13.2">
      <c r="A931" s="24"/>
      <c r="B931" s="23"/>
      <c r="C931" s="23"/>
      <c r="D931" s="23"/>
      <c r="E931" s="23"/>
    </row>
    <row r="932" spans="1:5" ht="13.2">
      <c r="A932" s="24"/>
      <c r="B932" s="23"/>
      <c r="C932" s="23"/>
      <c r="D932" s="23"/>
      <c r="E932" s="23"/>
    </row>
    <row r="933" spans="1:5" ht="13.2">
      <c r="A933" s="24"/>
      <c r="B933" s="23"/>
      <c r="C933" s="23"/>
      <c r="D933" s="23"/>
      <c r="E933" s="23"/>
    </row>
    <row r="934" spans="1:5" ht="13.2">
      <c r="A934" s="24"/>
      <c r="B934" s="23"/>
      <c r="C934" s="23"/>
      <c r="D934" s="23"/>
      <c r="E934" s="23"/>
    </row>
    <row r="935" spans="1:5" ht="13.2">
      <c r="A935" s="24"/>
      <c r="B935" s="23"/>
      <c r="C935" s="23"/>
      <c r="D935" s="23"/>
      <c r="E935" s="23"/>
    </row>
    <row r="936" spans="1:5" ht="13.2">
      <c r="A936" s="24"/>
      <c r="B936" s="23"/>
      <c r="C936" s="23"/>
      <c r="D936" s="23"/>
      <c r="E936" s="23"/>
    </row>
    <row r="937" spans="1:5" ht="13.2">
      <c r="A937" s="24"/>
      <c r="B937" s="23"/>
      <c r="C937" s="23"/>
      <c r="D937" s="23"/>
      <c r="E937" s="23"/>
    </row>
    <row r="938" spans="1:5" ht="13.2">
      <c r="A938" s="24"/>
      <c r="B938" s="23"/>
      <c r="C938" s="23"/>
      <c r="D938" s="23"/>
      <c r="E938" s="23"/>
    </row>
    <row r="939" spans="1:5" ht="13.2">
      <c r="A939" s="24"/>
      <c r="B939" s="23"/>
      <c r="C939" s="23"/>
      <c r="D939" s="23"/>
      <c r="E939" s="23"/>
    </row>
    <row r="940" spans="1:5" ht="13.2">
      <c r="A940" s="24"/>
      <c r="B940" s="23"/>
      <c r="C940" s="23"/>
      <c r="D940" s="23"/>
      <c r="E940" s="23"/>
    </row>
    <row r="941" spans="1:5" ht="13.2">
      <c r="A941" s="24"/>
      <c r="B941" s="23"/>
      <c r="C941" s="23"/>
      <c r="D941" s="23"/>
      <c r="E941" s="23"/>
    </row>
    <row r="942" spans="1:5" ht="13.2">
      <c r="A942" s="24"/>
      <c r="B942" s="23"/>
      <c r="C942" s="23"/>
      <c r="D942" s="23"/>
      <c r="E942" s="23"/>
    </row>
    <row r="943" spans="1:5" ht="13.2">
      <c r="A943" s="24"/>
      <c r="B943" s="23"/>
      <c r="C943" s="23"/>
      <c r="D943" s="23"/>
      <c r="E943" s="23"/>
    </row>
    <row r="944" spans="1:5" ht="13.2">
      <c r="A944" s="24"/>
      <c r="B944" s="23"/>
      <c r="C944" s="23"/>
      <c r="D944" s="23"/>
      <c r="E944" s="23"/>
    </row>
    <row r="945" spans="1:5" ht="13.2">
      <c r="A945" s="24"/>
      <c r="B945" s="23"/>
      <c r="C945" s="23"/>
      <c r="D945" s="23"/>
      <c r="E945" s="23"/>
    </row>
    <row r="946" spans="1:5" ht="13.2">
      <c r="A946" s="24"/>
      <c r="B946" s="23"/>
      <c r="C946" s="23"/>
      <c r="D946" s="23"/>
      <c r="E946" s="23"/>
    </row>
    <row r="947" spans="1:5" ht="13.2">
      <c r="A947" s="24"/>
      <c r="B947" s="23"/>
      <c r="C947" s="23"/>
      <c r="D947" s="23"/>
      <c r="E947" s="23"/>
    </row>
    <row r="948" spans="1:5" ht="13.2">
      <c r="A948" s="24"/>
      <c r="B948" s="23"/>
      <c r="C948" s="23"/>
      <c r="D948" s="23"/>
      <c r="E948" s="23"/>
    </row>
    <row r="949" spans="1:5" ht="13.2">
      <c r="A949" s="24"/>
      <c r="B949" s="23"/>
      <c r="C949" s="23"/>
      <c r="D949" s="23"/>
      <c r="E949" s="23"/>
    </row>
    <row r="950" spans="1:5" ht="13.2">
      <c r="A950" s="24"/>
      <c r="B950" s="23"/>
      <c r="C950" s="23"/>
      <c r="D950" s="23"/>
      <c r="E950" s="23"/>
    </row>
    <row r="951" spans="1:5" ht="13.2">
      <c r="A951" s="24"/>
      <c r="B951" s="23"/>
      <c r="C951" s="23"/>
      <c r="D951" s="23"/>
      <c r="E951" s="23"/>
    </row>
    <row r="952" spans="1:5" ht="13.2">
      <c r="A952" s="24"/>
      <c r="B952" s="23"/>
      <c r="C952" s="23"/>
      <c r="D952" s="23"/>
      <c r="E952" s="23"/>
    </row>
    <row r="953" spans="1:5" ht="13.2">
      <c r="A953" s="24"/>
      <c r="B953" s="23"/>
      <c r="C953" s="23"/>
      <c r="D953" s="23"/>
      <c r="E953" s="23"/>
    </row>
    <row r="954" spans="1:5" ht="13.2">
      <c r="A954" s="24"/>
      <c r="B954" s="23"/>
      <c r="C954" s="23"/>
      <c r="D954" s="23"/>
      <c r="E954" s="23"/>
    </row>
    <row r="955" spans="1:5" ht="13.2">
      <c r="A955" s="24"/>
      <c r="B955" s="23"/>
      <c r="C955" s="23"/>
      <c r="D955" s="23"/>
      <c r="E955" s="23"/>
    </row>
    <row r="956" spans="1:5" ht="13.2">
      <c r="A956" s="24"/>
      <c r="B956" s="23"/>
      <c r="C956" s="23"/>
      <c r="D956" s="23"/>
      <c r="E956" s="23"/>
    </row>
    <row r="957" spans="1:5" ht="13.2">
      <c r="A957" s="24"/>
      <c r="B957" s="23"/>
      <c r="C957" s="23"/>
      <c r="D957" s="23"/>
      <c r="E957" s="23"/>
    </row>
    <row r="958" spans="1:5" ht="13.2">
      <c r="A958" s="24"/>
      <c r="B958" s="23"/>
      <c r="C958" s="23"/>
      <c r="D958" s="23"/>
      <c r="E958" s="23"/>
    </row>
    <row r="959" spans="1:5" ht="13.2">
      <c r="A959" s="24"/>
      <c r="B959" s="23"/>
      <c r="C959" s="23"/>
      <c r="D959" s="23"/>
      <c r="E959" s="23"/>
    </row>
    <row r="960" spans="1:5" ht="13.2">
      <c r="A960" s="24"/>
      <c r="B960" s="23"/>
      <c r="C960" s="23"/>
      <c r="D960" s="23"/>
      <c r="E960" s="23"/>
    </row>
    <row r="961" spans="1:5" ht="13.2">
      <c r="A961" s="24"/>
      <c r="B961" s="23"/>
      <c r="C961" s="23"/>
      <c r="D961" s="23"/>
      <c r="E961" s="23"/>
    </row>
    <row r="962" spans="1:5" ht="13.2">
      <c r="A962" s="24"/>
      <c r="B962" s="23"/>
      <c r="C962" s="23"/>
      <c r="D962" s="23"/>
      <c r="E962" s="23"/>
    </row>
    <row r="963" spans="1:5" ht="13.2">
      <c r="A963" s="24"/>
      <c r="B963" s="23"/>
      <c r="C963" s="23"/>
      <c r="D963" s="23"/>
      <c r="E963" s="23"/>
    </row>
    <row r="964" spans="1:5" ht="13.2">
      <c r="A964" s="24"/>
      <c r="B964" s="23"/>
      <c r="C964" s="23"/>
      <c r="D964" s="23"/>
      <c r="E964" s="23"/>
    </row>
    <row r="965" spans="1:5" ht="13.2">
      <c r="A965" s="24"/>
      <c r="B965" s="23"/>
      <c r="C965" s="23"/>
      <c r="D965" s="23"/>
      <c r="E965" s="23"/>
    </row>
    <row r="966" spans="1:5" ht="13.2">
      <c r="A966" s="24"/>
      <c r="B966" s="23"/>
      <c r="C966" s="23"/>
      <c r="D966" s="23"/>
      <c r="E966" s="23"/>
    </row>
    <row r="967" spans="1:5" ht="13.2">
      <c r="A967" s="24"/>
      <c r="B967" s="23"/>
      <c r="C967" s="23"/>
      <c r="D967" s="23"/>
      <c r="E967" s="23"/>
    </row>
    <row r="968" spans="1:5" ht="13.2">
      <c r="A968" s="24"/>
      <c r="B968" s="23"/>
      <c r="C968" s="23"/>
      <c r="D968" s="23"/>
      <c r="E968" s="23"/>
    </row>
    <row r="969" spans="1:5" ht="13.2">
      <c r="A969" s="24"/>
      <c r="B969" s="23"/>
      <c r="C969" s="23"/>
      <c r="D969" s="23"/>
      <c r="E969" s="23"/>
    </row>
    <row r="970" spans="1:5" ht="13.2">
      <c r="A970" s="24"/>
      <c r="B970" s="23"/>
      <c r="C970" s="23"/>
      <c r="D970" s="23"/>
      <c r="E970" s="23"/>
    </row>
    <row r="971" spans="1:5" ht="13.2">
      <c r="A971" s="24"/>
      <c r="B971" s="23"/>
      <c r="C971" s="23"/>
      <c r="D971" s="23"/>
      <c r="E971" s="23"/>
    </row>
    <row r="972" spans="1:5" ht="13.2">
      <c r="A972" s="24"/>
      <c r="B972" s="23"/>
      <c r="C972" s="23"/>
      <c r="D972" s="23"/>
      <c r="E972" s="23"/>
    </row>
    <row r="973" spans="1:5" ht="13.2">
      <c r="A973" s="24"/>
      <c r="B973" s="23"/>
      <c r="C973" s="23"/>
      <c r="D973" s="23"/>
      <c r="E973" s="23"/>
    </row>
    <row r="974" spans="1:5" ht="13.2">
      <c r="A974" s="24"/>
      <c r="B974" s="23"/>
      <c r="C974" s="23"/>
      <c r="D974" s="23"/>
      <c r="E974" s="23"/>
    </row>
    <row r="975" spans="1:5" ht="13.2">
      <c r="A975" s="24"/>
      <c r="B975" s="23"/>
      <c r="C975" s="23"/>
      <c r="D975" s="23"/>
      <c r="E975" s="23"/>
    </row>
    <row r="976" spans="1:5" ht="13.2">
      <c r="A976" s="24"/>
      <c r="B976" s="23"/>
      <c r="C976" s="23"/>
      <c r="D976" s="23"/>
      <c r="E976" s="23"/>
    </row>
    <row r="977" spans="1:5" ht="13.2">
      <c r="A977" s="24"/>
      <c r="B977" s="23"/>
      <c r="C977" s="23"/>
      <c r="D977" s="23"/>
      <c r="E977" s="23"/>
    </row>
    <row r="978" spans="1:5" ht="13.2">
      <c r="A978" s="24"/>
      <c r="B978" s="23"/>
      <c r="C978" s="23"/>
      <c r="D978" s="23"/>
      <c r="E978" s="23"/>
    </row>
    <row r="979" spans="1:5" ht="13.2">
      <c r="A979" s="24"/>
      <c r="B979" s="23"/>
      <c r="C979" s="23"/>
      <c r="D979" s="23"/>
      <c r="E979" s="23"/>
    </row>
    <row r="980" spans="1:5" ht="13.2">
      <c r="A980" s="24"/>
      <c r="B980" s="23"/>
      <c r="C980" s="23"/>
      <c r="D980" s="23"/>
      <c r="E980" s="23"/>
    </row>
    <row r="981" spans="1:5" ht="13.2">
      <c r="A981" s="24"/>
      <c r="B981" s="23"/>
      <c r="C981" s="23"/>
      <c r="D981" s="23"/>
      <c r="E981" s="23"/>
    </row>
    <row r="982" spans="1:5" ht="13.2">
      <c r="A982" s="24"/>
      <c r="B982" s="23"/>
      <c r="C982" s="23"/>
      <c r="D982" s="23"/>
      <c r="E982" s="23"/>
    </row>
    <row r="983" spans="1:5" ht="13.2">
      <c r="A983" s="24"/>
      <c r="B983" s="23"/>
      <c r="C983" s="23"/>
      <c r="D983" s="23"/>
      <c r="E983" s="23"/>
    </row>
    <row r="984" spans="1:5" ht="13.2">
      <c r="A984" s="24"/>
      <c r="B984" s="23"/>
      <c r="C984" s="23"/>
      <c r="D984" s="23"/>
      <c r="E984" s="23"/>
    </row>
    <row r="985" spans="1:5" ht="13.2">
      <c r="A985" s="24"/>
      <c r="B985" s="23"/>
      <c r="C985" s="23"/>
      <c r="D985" s="23"/>
      <c r="E985" s="23"/>
    </row>
    <row r="986" spans="1:5" ht="13.2">
      <c r="A986" s="24"/>
      <c r="B986" s="23"/>
      <c r="C986" s="23"/>
      <c r="D986" s="23"/>
      <c r="E986" s="23"/>
    </row>
    <row r="987" spans="1:5" ht="13.2">
      <c r="A987" s="24"/>
      <c r="B987" s="23"/>
      <c r="C987" s="23"/>
      <c r="D987" s="23"/>
      <c r="E987" s="23"/>
    </row>
    <row r="988" spans="1:5" ht="13.2">
      <c r="A988" s="24"/>
      <c r="B988" s="23"/>
      <c r="C988" s="23"/>
      <c r="D988" s="23"/>
      <c r="E988" s="23"/>
    </row>
    <row r="989" spans="1:5" ht="13.2">
      <c r="A989" s="24"/>
      <c r="B989" s="23"/>
      <c r="C989" s="23"/>
      <c r="D989" s="23"/>
      <c r="E989" s="23"/>
    </row>
    <row r="990" spans="1:5" ht="13.2">
      <c r="A990" s="24"/>
      <c r="B990" s="23"/>
      <c r="C990" s="23"/>
      <c r="D990" s="23"/>
      <c r="E990" s="23"/>
    </row>
    <row r="991" spans="1:5" ht="13.2">
      <c r="A991" s="24"/>
      <c r="B991" s="23"/>
      <c r="C991" s="23"/>
      <c r="D991" s="23"/>
      <c r="E991" s="23"/>
    </row>
    <row r="992" spans="1:5" ht="13.2">
      <c r="A992" s="24"/>
      <c r="B992" s="23"/>
      <c r="C992" s="23"/>
      <c r="D992" s="23"/>
      <c r="E992" s="23"/>
    </row>
    <row r="993" spans="1:5" ht="13.2">
      <c r="A993" s="24"/>
      <c r="B993" s="23"/>
      <c r="C993" s="23"/>
      <c r="D993" s="23"/>
      <c r="E993" s="23"/>
    </row>
    <row r="994" spans="1:5" ht="13.2">
      <c r="A994" s="24"/>
      <c r="B994" s="23"/>
      <c r="C994" s="23"/>
      <c r="D994" s="23"/>
      <c r="E994" s="23"/>
    </row>
    <row r="995" spans="1:5" ht="13.2">
      <c r="A995" s="24"/>
      <c r="B995" s="23"/>
      <c r="C995" s="23"/>
      <c r="D995" s="23"/>
      <c r="E995" s="23"/>
    </row>
    <row r="996" spans="1:5" ht="13.2">
      <c r="A996" s="24"/>
      <c r="B996" s="23"/>
      <c r="C996" s="23"/>
      <c r="D996" s="23"/>
      <c r="E996" s="23"/>
    </row>
    <row r="997" spans="1:5" ht="13.2">
      <c r="A997" s="24"/>
      <c r="B997" s="23"/>
      <c r="C997" s="23"/>
      <c r="D997" s="23"/>
      <c r="E997" s="23"/>
    </row>
    <row r="998" spans="1:5" ht="13.2">
      <c r="A998" s="24"/>
      <c r="B998" s="23"/>
      <c r="C998" s="23"/>
      <c r="D998" s="23"/>
      <c r="E998" s="23"/>
    </row>
    <row r="999" spans="1:5" ht="13.2">
      <c r="A999" s="24"/>
      <c r="B999" s="23"/>
      <c r="C999" s="23"/>
      <c r="D999" s="23"/>
      <c r="E999" s="23"/>
    </row>
    <row r="1000" spans="1:5" ht="13.2">
      <c r="A1000" s="24"/>
      <c r="B1000" s="23"/>
      <c r="C1000" s="23"/>
      <c r="D1000" s="23"/>
      <c r="E1000" 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00AAAA"/>
    <outlinePr summaryBelow="0" summaryRight="0"/>
  </sheetPr>
  <dimension ref="A1:U309"/>
  <sheetViews>
    <sheetView tabSelected="1" workbookViewId="0">
      <pane ySplit="5" topLeftCell="A6" activePane="bottomLeft" state="frozen"/>
      <selection pane="bottomLeft" activeCell="A109" sqref="A109:XFD109"/>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3" customHeight="1">
      <c r="A1" s="25" t="s">
        <v>121</v>
      </c>
      <c r="B1" s="7"/>
      <c r="C1" s="8"/>
      <c r="D1" s="26">
        <v>44383</v>
      </c>
      <c r="E1" s="9"/>
      <c r="F1" s="27" t="s">
        <v>128</v>
      </c>
      <c r="G1" s="10"/>
      <c r="H1" s="9"/>
      <c r="I1" s="11"/>
      <c r="J1" s="11"/>
      <c r="K1" s="11"/>
      <c r="L1" s="11"/>
      <c r="M1" s="11"/>
      <c r="N1" s="11"/>
      <c r="O1" s="11"/>
      <c r="P1" s="11"/>
      <c r="Q1" s="28" t="s">
        <v>0</v>
      </c>
      <c r="R1" s="255">
        <v>1</v>
      </c>
      <c r="S1" s="227"/>
      <c r="T1" s="227"/>
      <c r="U1" s="12"/>
    </row>
    <row r="2" spans="1:21" ht="17.399999999999999">
      <c r="B2" s="256" t="s">
        <v>129</v>
      </c>
      <c r="C2" s="226"/>
      <c r="D2" s="13" t="s">
        <v>130</v>
      </c>
      <c r="E2" s="10"/>
      <c r="F2" s="225" t="s">
        <v>1</v>
      </c>
      <c r="G2" s="226"/>
      <c r="H2" s="226"/>
      <c r="I2" s="257" t="s">
        <v>131</v>
      </c>
      <c r="J2" s="226"/>
      <c r="K2" s="226"/>
      <c r="L2" s="9"/>
      <c r="M2" s="9"/>
      <c r="N2" s="9"/>
      <c r="O2" s="9"/>
      <c r="P2" s="13" t="s">
        <v>132</v>
      </c>
      <c r="Q2" s="10"/>
      <c r="R2" s="225" t="s">
        <v>1</v>
      </c>
      <c r="S2" s="226"/>
      <c r="T2" s="226"/>
      <c r="U2" s="10" t="s">
        <v>121</v>
      </c>
    </row>
    <row r="3" spans="1:21" ht="15.6">
      <c r="A3" s="29">
        <v>1</v>
      </c>
      <c r="B3" s="30">
        <v>1</v>
      </c>
      <c r="C3" s="9"/>
      <c r="D3" s="258" t="s">
        <v>133</v>
      </c>
      <c r="E3" s="228"/>
      <c r="F3" s="259">
        <v>28</v>
      </c>
      <c r="G3" s="227"/>
      <c r="H3" s="228"/>
      <c r="I3" s="31">
        <v>0</v>
      </c>
      <c r="J3" s="9"/>
      <c r="K3" s="32"/>
      <c r="L3" s="32" t="s">
        <v>3</v>
      </c>
      <c r="M3" s="9"/>
      <c r="N3" s="9"/>
      <c r="O3" s="9"/>
      <c r="P3" s="260" t="s">
        <v>134</v>
      </c>
      <c r="Q3" s="227"/>
      <c r="R3" s="261">
        <v>44</v>
      </c>
      <c r="S3" s="227"/>
      <c r="T3" s="228"/>
      <c r="U3" s="31">
        <v>0</v>
      </c>
    </row>
    <row r="4" spans="1:21" ht="15.6">
      <c r="A4" s="29">
        <v>2</v>
      </c>
      <c r="B4" s="30">
        <v>2</v>
      </c>
      <c r="C4" s="16"/>
      <c r="D4" s="258" t="s">
        <v>135</v>
      </c>
      <c r="E4" s="228"/>
      <c r="F4" s="259">
        <v>46</v>
      </c>
      <c r="G4" s="227"/>
      <c r="H4" s="227"/>
      <c r="I4" s="31">
        <v>1</v>
      </c>
      <c r="J4" s="14"/>
      <c r="K4" s="32"/>
      <c r="L4" s="32" t="s">
        <v>3</v>
      </c>
      <c r="M4" s="14"/>
      <c r="N4" s="14"/>
      <c r="O4" s="15"/>
      <c r="P4" s="260" t="s">
        <v>136</v>
      </c>
      <c r="Q4" s="227"/>
      <c r="R4" s="261">
        <v>25</v>
      </c>
      <c r="S4" s="227"/>
      <c r="T4" s="227"/>
      <c r="U4" s="31">
        <v>0</v>
      </c>
    </row>
    <row r="5" spans="1:21" ht="15.6">
      <c r="A5" s="29">
        <v>3</v>
      </c>
      <c r="B5" s="30">
        <v>3</v>
      </c>
      <c r="C5" s="16"/>
      <c r="D5" s="264" t="s">
        <v>137</v>
      </c>
      <c r="E5" s="236"/>
      <c r="F5" s="259">
        <v>39</v>
      </c>
      <c r="G5" s="227"/>
      <c r="H5" s="228"/>
      <c r="I5" s="31">
        <v>0</v>
      </c>
      <c r="J5" s="14"/>
      <c r="K5" s="32"/>
      <c r="L5" s="32" t="s">
        <v>3</v>
      </c>
      <c r="M5" s="14"/>
      <c r="N5" s="14"/>
      <c r="O5" s="15"/>
      <c r="P5" s="262" t="s">
        <v>138</v>
      </c>
      <c r="Q5" s="235"/>
      <c r="R5" s="263">
        <v>32</v>
      </c>
      <c r="S5" s="235"/>
      <c r="T5" s="236"/>
      <c r="U5" s="31">
        <v>0</v>
      </c>
    </row>
    <row r="6" spans="1:21" ht="17.399999999999999">
      <c r="B6" s="33"/>
      <c r="C6" s="8"/>
      <c r="D6" s="34" t="s">
        <v>139</v>
      </c>
      <c r="E6" s="35">
        <v>1</v>
      </c>
      <c r="F6" s="10"/>
      <c r="G6" s="10"/>
      <c r="H6" s="10"/>
      <c r="I6" s="36"/>
      <c r="J6" s="36"/>
      <c r="K6" s="36"/>
      <c r="L6" s="36"/>
      <c r="M6" s="36"/>
      <c r="N6" s="36"/>
      <c r="O6" s="36"/>
      <c r="P6" s="34" t="s">
        <v>140</v>
      </c>
      <c r="Q6" s="267">
        <v>44383</v>
      </c>
      <c r="R6" s="226"/>
      <c r="S6" s="226"/>
      <c r="T6" s="226"/>
      <c r="U6" s="37"/>
    </row>
    <row r="7" spans="1:21" ht="15.6">
      <c r="B7" s="38"/>
      <c r="C7" s="7"/>
      <c r="D7" s="39" t="s">
        <v>141</v>
      </c>
      <c r="E7" s="11"/>
      <c r="F7" s="9"/>
      <c r="G7" s="9"/>
      <c r="H7" s="9"/>
      <c r="I7" s="9"/>
      <c r="J7" s="9"/>
      <c r="K7" s="9"/>
      <c r="L7" s="9"/>
      <c r="M7" s="9"/>
      <c r="N7" s="9"/>
      <c r="O7" s="9"/>
      <c r="P7" s="40" t="s">
        <v>2</v>
      </c>
      <c r="Q7" s="268" t="s">
        <v>142</v>
      </c>
      <c r="R7" s="226"/>
      <c r="S7" s="226"/>
      <c r="T7" s="226"/>
      <c r="U7" s="9"/>
    </row>
    <row r="8" spans="1:21">
      <c r="B8" s="41"/>
      <c r="C8" s="42"/>
      <c r="D8" s="11"/>
      <c r="E8" s="11"/>
      <c r="F8" s="9"/>
      <c r="G8" s="9"/>
      <c r="H8" s="9"/>
      <c r="I8" s="9"/>
      <c r="J8" s="9"/>
      <c r="K8" s="9"/>
      <c r="L8" s="9"/>
      <c r="M8" s="9"/>
      <c r="N8" s="9"/>
      <c r="O8" s="9"/>
      <c r="P8" s="11"/>
      <c r="Q8" s="11"/>
      <c r="R8" s="11"/>
      <c r="S8" s="9"/>
      <c r="T8" s="9"/>
      <c r="U8" s="9"/>
    </row>
    <row r="9" spans="1:21" ht="48" customHeight="1">
      <c r="B9" s="43"/>
      <c r="C9" s="251" t="s">
        <v>130</v>
      </c>
      <c r="D9" s="227"/>
      <c r="E9" s="265" t="s">
        <v>133</v>
      </c>
      <c r="F9" s="227"/>
      <c r="G9" s="228"/>
      <c r="H9" s="44" t="s">
        <v>143</v>
      </c>
      <c r="I9" s="45"/>
      <c r="J9" s="46"/>
      <c r="K9" s="46"/>
      <c r="L9" s="46"/>
      <c r="M9" s="46"/>
      <c r="N9" s="47"/>
      <c r="O9" s="244" t="s">
        <v>132</v>
      </c>
      <c r="P9" s="227"/>
      <c r="Q9" s="269" t="s">
        <v>134</v>
      </c>
      <c r="R9" s="227"/>
      <c r="S9" s="228"/>
      <c r="T9" s="49" t="s">
        <v>144</v>
      </c>
      <c r="U9" s="50"/>
    </row>
    <row r="10" spans="1:21">
      <c r="B10" s="51"/>
      <c r="C10" s="272" t="s">
        <v>1</v>
      </c>
      <c r="D10" s="228"/>
      <c r="E10" s="266">
        <v>28</v>
      </c>
      <c r="F10" s="227"/>
      <c r="G10" s="227"/>
      <c r="H10" s="52"/>
      <c r="I10" s="45"/>
      <c r="J10" s="53"/>
      <c r="K10" s="53"/>
      <c r="L10" s="53"/>
      <c r="M10" s="53"/>
      <c r="N10" s="47"/>
      <c r="O10" s="270" t="s">
        <v>1</v>
      </c>
      <c r="P10" s="228"/>
      <c r="Q10" s="271">
        <v>44</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55"/>
      <c r="C12" s="57"/>
      <c r="D12" s="58"/>
      <c r="E12" s="57"/>
      <c r="F12" s="57"/>
      <c r="G12" s="59" t="s">
        <v>145</v>
      </c>
      <c r="H12" s="60" t="s">
        <v>146</v>
      </c>
      <c r="I12" s="55"/>
      <c r="J12" s="55"/>
      <c r="K12" s="55"/>
      <c r="L12" s="55"/>
      <c r="M12" s="61"/>
      <c r="N12" s="55"/>
      <c r="O12" s="57"/>
      <c r="P12" s="58"/>
      <c r="Q12" s="57"/>
      <c r="R12" s="57"/>
      <c r="S12" s="59" t="s">
        <v>145</v>
      </c>
      <c r="T12" s="60" t="s">
        <v>146</v>
      </c>
      <c r="U12" s="55"/>
    </row>
    <row r="13" spans="1:21" ht="15.75" customHeight="1">
      <c r="A13" s="56"/>
      <c r="B13" s="55"/>
      <c r="C13" s="62" t="s">
        <v>147</v>
      </c>
      <c r="D13" s="63" t="s">
        <v>148</v>
      </c>
      <c r="E13" s="57"/>
      <c r="F13" s="57"/>
      <c r="G13" s="64">
        <v>1</v>
      </c>
      <c r="H13" s="65">
        <v>8</v>
      </c>
      <c r="I13" s="55"/>
      <c r="J13" s="55"/>
      <c r="K13" s="55"/>
      <c r="L13" s="55"/>
      <c r="M13" s="61"/>
      <c r="N13" s="55"/>
      <c r="O13" s="62" t="s">
        <v>149</v>
      </c>
      <c r="P13" s="63" t="s">
        <v>150</v>
      </c>
      <c r="Q13" s="57"/>
      <c r="R13" s="57"/>
      <c r="S13" s="64">
        <v>4</v>
      </c>
      <c r="T13" s="65">
        <v>5</v>
      </c>
      <c r="U13" s="55"/>
    </row>
    <row r="14" spans="1:21" ht="15.75" customHeight="1">
      <c r="A14" s="56"/>
      <c r="B14" s="55"/>
      <c r="C14" s="62" t="s">
        <v>151</v>
      </c>
      <c r="D14" s="63" t="s">
        <v>152</v>
      </c>
      <c r="E14" s="57"/>
      <c r="F14" s="57"/>
      <c r="G14" s="64">
        <v>0</v>
      </c>
      <c r="H14" s="65">
        <v>9</v>
      </c>
      <c r="I14" s="55"/>
      <c r="J14" s="55"/>
      <c r="K14" s="55"/>
      <c r="L14" s="55"/>
      <c r="M14" s="61"/>
      <c r="N14" s="55"/>
      <c r="O14" s="62" t="s">
        <v>153</v>
      </c>
      <c r="P14" s="63" t="s">
        <v>154</v>
      </c>
      <c r="Q14" s="57"/>
      <c r="R14" s="57"/>
      <c r="S14" s="64">
        <v>3</v>
      </c>
      <c r="T14" s="65">
        <v>6</v>
      </c>
      <c r="U14" s="55"/>
    </row>
    <row r="15" spans="1:21" ht="15.75" customHeight="1">
      <c r="A15" s="56"/>
      <c r="B15" s="55"/>
      <c r="C15" s="62" t="s">
        <v>155</v>
      </c>
      <c r="D15" s="63" t="s">
        <v>156</v>
      </c>
      <c r="E15" s="57"/>
      <c r="F15" s="57"/>
      <c r="G15" s="64">
        <v>5</v>
      </c>
      <c r="H15" s="65">
        <v>4</v>
      </c>
      <c r="I15" s="55"/>
      <c r="J15" s="55"/>
      <c r="K15" s="55"/>
      <c r="L15" s="55"/>
      <c r="M15" s="61"/>
      <c r="N15" s="55"/>
      <c r="O15" s="62" t="s">
        <v>157</v>
      </c>
      <c r="P15" s="63" t="s">
        <v>158</v>
      </c>
      <c r="Q15" s="57"/>
      <c r="R15" s="57"/>
      <c r="S15" s="64">
        <v>8</v>
      </c>
      <c r="T15" s="65">
        <v>1</v>
      </c>
      <c r="U15" s="55"/>
    </row>
    <row r="16" spans="1:21" ht="15.75" customHeight="1">
      <c r="A16" s="56"/>
      <c r="B16" s="55"/>
      <c r="C16" s="62" t="s">
        <v>159</v>
      </c>
      <c r="D16" s="63" t="s">
        <v>160</v>
      </c>
      <c r="E16" s="57"/>
      <c r="F16" s="57"/>
      <c r="G16" s="64">
        <v>1</v>
      </c>
      <c r="H16" s="65">
        <v>8</v>
      </c>
      <c r="I16" s="55"/>
      <c r="J16" s="55"/>
      <c r="K16" s="55"/>
      <c r="L16" s="55"/>
      <c r="M16" s="61"/>
      <c r="N16" s="55"/>
      <c r="O16" s="62" t="s">
        <v>161</v>
      </c>
      <c r="P16" s="63" t="s">
        <v>162</v>
      </c>
      <c r="Q16" s="57"/>
      <c r="R16" s="57"/>
      <c r="S16" s="64">
        <v>6</v>
      </c>
      <c r="T16" s="65">
        <v>3</v>
      </c>
      <c r="U16" s="55"/>
    </row>
    <row r="17" spans="1:21" ht="15.75" customHeight="1">
      <c r="A17" s="56"/>
      <c r="B17" s="55"/>
      <c r="C17" s="66"/>
      <c r="D17" s="67" t="s">
        <v>163</v>
      </c>
      <c r="E17" s="68"/>
      <c r="F17" s="68"/>
      <c r="G17" s="69">
        <v>7</v>
      </c>
      <c r="H17" s="70">
        <v>29</v>
      </c>
      <c r="I17" s="55"/>
      <c r="J17" s="55"/>
      <c r="K17" s="55"/>
      <c r="L17" s="55"/>
      <c r="M17" s="61"/>
      <c r="N17" s="55"/>
      <c r="O17" s="66"/>
      <c r="P17" s="67" t="s">
        <v>163</v>
      </c>
      <c r="Q17" s="68"/>
      <c r="R17" s="68"/>
      <c r="S17" s="69">
        <v>21</v>
      </c>
      <c r="T17" s="70">
        <v>15</v>
      </c>
      <c r="U17" s="55"/>
    </row>
    <row r="18" spans="1:21" ht="15.75" customHeight="1">
      <c r="A18" s="56"/>
      <c r="B18" s="55"/>
      <c r="C18" s="4"/>
      <c r="D18" s="4"/>
      <c r="E18" s="4"/>
      <c r="F18" s="4"/>
      <c r="G18" s="4"/>
      <c r="H18" s="4"/>
      <c r="I18" s="55"/>
      <c r="J18" s="55"/>
      <c r="K18" s="55"/>
      <c r="L18" s="55"/>
      <c r="M18" s="61"/>
      <c r="N18" s="55"/>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t="s">
        <v>149</v>
      </c>
      <c r="N21" s="77"/>
      <c r="O21" s="74" t="s">
        <v>164</v>
      </c>
      <c r="P21" s="75" t="s">
        <v>150</v>
      </c>
      <c r="Q21" s="76" t="s">
        <v>1</v>
      </c>
      <c r="R21" s="76" t="s">
        <v>165</v>
      </c>
      <c r="S21" s="76" t="s">
        <v>145</v>
      </c>
      <c r="T21" s="76" t="s">
        <v>146</v>
      </c>
      <c r="U21" s="77"/>
    </row>
    <row r="22" spans="1:21" ht="15.75" customHeight="1">
      <c r="A22" s="56" t="s">
        <v>147</v>
      </c>
      <c r="B22" s="80"/>
      <c r="C22" s="81">
        <v>1</v>
      </c>
      <c r="D22" s="82" t="s">
        <v>166</v>
      </c>
      <c r="E22" s="83">
        <v>67.05</v>
      </c>
      <c r="F22" s="81" t="s">
        <v>144</v>
      </c>
      <c r="G22" s="81" t="s">
        <v>121</v>
      </c>
      <c r="H22" s="81">
        <v>5</v>
      </c>
      <c r="I22" s="84" t="s">
        <v>121</v>
      </c>
      <c r="J22" s="85"/>
      <c r="K22" s="85"/>
      <c r="L22" s="85"/>
      <c r="M22" s="86" t="s">
        <v>149</v>
      </c>
      <c r="N22" s="80"/>
      <c r="O22" s="81">
        <v>1</v>
      </c>
      <c r="P22" s="82" t="s">
        <v>167</v>
      </c>
      <c r="Q22" s="83">
        <v>81.150000000000006</v>
      </c>
      <c r="R22" s="81" t="s">
        <v>144</v>
      </c>
      <c r="S22" s="81" t="s">
        <v>121</v>
      </c>
      <c r="T22" s="81">
        <v>5</v>
      </c>
      <c r="U22" s="84" t="s">
        <v>121</v>
      </c>
    </row>
    <row r="23" spans="1:21" ht="15.75" customHeight="1">
      <c r="A23" s="56" t="s">
        <v>147</v>
      </c>
      <c r="B23" s="80"/>
      <c r="C23" s="81">
        <v>2</v>
      </c>
      <c r="D23" s="82" t="s">
        <v>168</v>
      </c>
      <c r="E23" s="87">
        <v>56.5</v>
      </c>
      <c r="F23" s="81" t="s">
        <v>144</v>
      </c>
      <c r="G23" s="81" t="s">
        <v>121</v>
      </c>
      <c r="H23" s="81">
        <v>3</v>
      </c>
      <c r="I23" s="84" t="s">
        <v>121</v>
      </c>
      <c r="J23" s="85"/>
      <c r="K23" s="85"/>
      <c r="L23" s="85"/>
      <c r="M23" s="86" t="s">
        <v>149</v>
      </c>
      <c r="N23" s="80"/>
      <c r="O23" s="81">
        <v>2</v>
      </c>
      <c r="P23" s="82" t="s">
        <v>169</v>
      </c>
      <c r="Q23" s="87">
        <v>57.2</v>
      </c>
      <c r="R23" s="81" t="s">
        <v>143</v>
      </c>
      <c r="S23" s="81">
        <v>3</v>
      </c>
      <c r="T23" s="81" t="s">
        <v>121</v>
      </c>
      <c r="U23" s="84" t="s">
        <v>121</v>
      </c>
    </row>
    <row r="24" spans="1:21" ht="15.75" customHeight="1">
      <c r="A24" s="56" t="s">
        <v>147</v>
      </c>
      <c r="B24" s="80"/>
      <c r="C24" s="81">
        <v>3</v>
      </c>
      <c r="D24" s="82" t="s">
        <v>170</v>
      </c>
      <c r="E24" s="87">
        <v>48.9</v>
      </c>
      <c r="F24" s="81" t="s">
        <v>143</v>
      </c>
      <c r="G24" s="81">
        <v>1</v>
      </c>
      <c r="H24" s="81" t="s">
        <v>121</v>
      </c>
      <c r="I24" s="84" t="s">
        <v>121</v>
      </c>
      <c r="J24" s="85"/>
      <c r="K24" s="85"/>
      <c r="L24" s="85"/>
      <c r="M24" s="86" t="s">
        <v>149</v>
      </c>
      <c r="N24" s="80"/>
      <c r="O24" s="81">
        <v>3</v>
      </c>
      <c r="P24" s="82" t="s">
        <v>171</v>
      </c>
      <c r="Q24" s="87">
        <v>55.1</v>
      </c>
      <c r="R24" s="81" t="s">
        <v>143</v>
      </c>
      <c r="S24" s="81">
        <v>1</v>
      </c>
      <c r="T24" s="81" t="s">
        <v>121</v>
      </c>
      <c r="U24" s="84" t="s">
        <v>121</v>
      </c>
    </row>
    <row r="25" spans="1:21" ht="15.75" customHeight="1">
      <c r="A25" s="56" t="s">
        <v>147</v>
      </c>
      <c r="B25" s="80"/>
      <c r="C25" s="81">
        <v>4</v>
      </c>
      <c r="D25" s="82" t="s">
        <v>172</v>
      </c>
      <c r="E25" s="87">
        <v>47.5</v>
      </c>
      <c r="F25" s="81" t="s">
        <v>143</v>
      </c>
      <c r="G25" s="81" t="s">
        <v>121</v>
      </c>
      <c r="H25" s="81" t="s">
        <v>121</v>
      </c>
      <c r="I25" s="84" t="s">
        <v>121</v>
      </c>
      <c r="J25" s="85"/>
      <c r="K25" s="85"/>
      <c r="L25" s="85"/>
      <c r="M25" s="86" t="s">
        <v>149</v>
      </c>
      <c r="N25" s="80"/>
      <c r="O25" s="81">
        <v>4</v>
      </c>
      <c r="P25" s="82" t="s">
        <v>173</v>
      </c>
      <c r="Q25" s="87">
        <v>41.65</v>
      </c>
      <c r="R25" s="81" t="s">
        <v>143</v>
      </c>
      <c r="S25" s="81" t="s">
        <v>121</v>
      </c>
      <c r="T25" s="81" t="s">
        <v>121</v>
      </c>
      <c r="U25" s="84" t="s">
        <v>121</v>
      </c>
    </row>
    <row r="26" spans="1:21" ht="15.75" customHeight="1">
      <c r="A26" s="56" t="s">
        <v>147</v>
      </c>
      <c r="B26" s="80"/>
      <c r="C26" s="81">
        <v>5</v>
      </c>
      <c r="D26" s="82" t="s">
        <v>174</v>
      </c>
      <c r="E26" s="87">
        <v>39.799999999999997</v>
      </c>
      <c r="F26" s="81" t="s">
        <v>143</v>
      </c>
      <c r="G26" s="81" t="s">
        <v>121</v>
      </c>
      <c r="H26" s="81" t="s">
        <v>121</v>
      </c>
      <c r="I26" s="84" t="s">
        <v>121</v>
      </c>
      <c r="J26" s="85"/>
      <c r="K26" s="85"/>
      <c r="L26" s="85"/>
      <c r="M26" s="86" t="s">
        <v>149</v>
      </c>
      <c r="N26" s="80"/>
      <c r="O26" s="81">
        <v>5</v>
      </c>
      <c r="P26" s="82" t="s">
        <v>175</v>
      </c>
      <c r="Q26" s="87">
        <v>38.700000000000003</v>
      </c>
      <c r="R26" s="81" t="s">
        <v>143</v>
      </c>
      <c r="S26" s="81" t="s">
        <v>121</v>
      </c>
      <c r="T26" s="81" t="s">
        <v>121</v>
      </c>
      <c r="U26" s="84" t="s">
        <v>121</v>
      </c>
    </row>
    <row r="27" spans="1:21" ht="15.75" customHeight="1">
      <c r="A27" s="56" t="s">
        <v>147</v>
      </c>
      <c r="B27" s="80"/>
      <c r="C27" s="81">
        <v>6</v>
      </c>
      <c r="D27" s="82" t="s">
        <v>176</v>
      </c>
      <c r="E27" s="87">
        <v>33.549999999999997</v>
      </c>
      <c r="F27" s="81" t="s">
        <v>144</v>
      </c>
      <c r="G27" s="81" t="s">
        <v>121</v>
      </c>
      <c r="H27" s="81" t="s">
        <v>121</v>
      </c>
      <c r="I27" s="84" t="s">
        <v>121</v>
      </c>
      <c r="J27" s="85"/>
      <c r="K27" s="85"/>
      <c r="L27" s="85"/>
      <c r="M27" s="86" t="s">
        <v>149</v>
      </c>
      <c r="N27" s="80"/>
      <c r="O27" s="81">
        <v>6</v>
      </c>
      <c r="P27" s="82" t="s">
        <v>177</v>
      </c>
      <c r="Q27" s="87">
        <v>34</v>
      </c>
      <c r="R27" s="81" t="s">
        <v>144</v>
      </c>
      <c r="S27" s="81" t="s">
        <v>121</v>
      </c>
      <c r="T27" s="81" t="s">
        <v>121</v>
      </c>
      <c r="U27" s="84" t="s">
        <v>121</v>
      </c>
    </row>
    <row r="28" spans="1:21" ht="15.75" customHeight="1">
      <c r="A28" s="56" t="s">
        <v>147</v>
      </c>
      <c r="B28" s="80"/>
      <c r="C28" s="81">
        <v>7</v>
      </c>
      <c r="D28" s="82" t="s">
        <v>178</v>
      </c>
      <c r="E28" s="87">
        <v>31.95</v>
      </c>
      <c r="F28" s="81" t="s">
        <v>144</v>
      </c>
      <c r="G28" s="81" t="s">
        <v>121</v>
      </c>
      <c r="H28" s="81" t="s">
        <v>121</v>
      </c>
      <c r="I28" s="84" t="s">
        <v>121</v>
      </c>
      <c r="J28" s="85"/>
      <c r="K28" s="85"/>
      <c r="L28" s="85"/>
      <c r="M28" s="86" t="s">
        <v>149</v>
      </c>
      <c r="N28" s="80"/>
      <c r="O28" s="81">
        <v>7</v>
      </c>
      <c r="P28" s="82" t="s">
        <v>179</v>
      </c>
      <c r="Q28" s="87">
        <v>33.450000000000003</v>
      </c>
      <c r="R28" s="81" t="s">
        <v>144</v>
      </c>
      <c r="S28" s="81" t="s">
        <v>121</v>
      </c>
      <c r="T28" s="81" t="s">
        <v>121</v>
      </c>
      <c r="U28" s="84" t="s">
        <v>121</v>
      </c>
    </row>
    <row r="29" spans="1:21" ht="15.75" customHeight="1">
      <c r="A29" s="56" t="s">
        <v>147</v>
      </c>
      <c r="B29" s="80"/>
      <c r="C29" s="81">
        <v>8</v>
      </c>
      <c r="D29" s="88" t="s">
        <v>180</v>
      </c>
      <c r="E29" s="87">
        <v>31.8</v>
      </c>
      <c r="F29" s="81" t="s">
        <v>144</v>
      </c>
      <c r="G29" s="81" t="s">
        <v>121</v>
      </c>
      <c r="H29" s="81" t="s">
        <v>121</v>
      </c>
      <c r="I29" s="84" t="s">
        <v>121</v>
      </c>
      <c r="J29" s="85"/>
      <c r="K29" s="85"/>
      <c r="L29" s="85"/>
      <c r="M29" s="86" t="s">
        <v>149</v>
      </c>
      <c r="N29" s="80"/>
      <c r="O29" s="81">
        <v>8</v>
      </c>
      <c r="P29" s="82" t="s">
        <v>181</v>
      </c>
      <c r="Q29" s="87">
        <v>33.049999999999997</v>
      </c>
      <c r="R29" s="81" t="s">
        <v>144</v>
      </c>
      <c r="S29" s="81" t="s">
        <v>121</v>
      </c>
      <c r="T29" s="81" t="s">
        <v>121</v>
      </c>
      <c r="U29" s="84" t="s">
        <v>121</v>
      </c>
    </row>
    <row r="30" spans="1:21" ht="15.75" customHeight="1">
      <c r="A30" s="56" t="s">
        <v>147</v>
      </c>
      <c r="B30" s="80"/>
      <c r="C30" s="81">
        <v>9</v>
      </c>
      <c r="D30" s="88" t="s">
        <v>182</v>
      </c>
      <c r="E30" s="87">
        <v>30.65</v>
      </c>
      <c r="F30" s="81" t="s">
        <v>144</v>
      </c>
      <c r="G30" s="81" t="s">
        <v>121</v>
      </c>
      <c r="H30" s="81" t="s">
        <v>121</v>
      </c>
      <c r="I30" s="84" t="s">
        <v>121</v>
      </c>
      <c r="J30" s="85"/>
      <c r="K30" s="85"/>
      <c r="L30" s="85"/>
      <c r="M30" s="86" t="s">
        <v>121</v>
      </c>
      <c r="N30" s="80"/>
      <c r="O30" s="81" t="s">
        <v>121</v>
      </c>
      <c r="P30" s="82"/>
      <c r="Q30" s="87" t="s">
        <v>121</v>
      </c>
      <c r="R30" s="81"/>
      <c r="S30" s="81" t="s">
        <v>121</v>
      </c>
      <c r="T30" s="81" t="s">
        <v>121</v>
      </c>
      <c r="U30" s="84" t="s">
        <v>121</v>
      </c>
    </row>
    <row r="31" spans="1:21" ht="15.75" customHeight="1">
      <c r="A31" s="56" t="s">
        <v>147</v>
      </c>
      <c r="B31" s="80"/>
      <c r="C31" s="81">
        <v>10</v>
      </c>
      <c r="D31" s="88" t="s">
        <v>183</v>
      </c>
      <c r="E31" s="87">
        <v>27.25</v>
      </c>
      <c r="F31" s="81" t="s">
        <v>144</v>
      </c>
      <c r="G31" s="81" t="s">
        <v>121</v>
      </c>
      <c r="H31" s="81" t="s">
        <v>121</v>
      </c>
      <c r="I31" s="84" t="s">
        <v>121</v>
      </c>
      <c r="J31" s="85"/>
      <c r="K31" s="85"/>
      <c r="L31" s="85"/>
      <c r="M31" s="86" t="s">
        <v>121</v>
      </c>
      <c r="N31" s="80"/>
      <c r="O31" s="81" t="s">
        <v>121</v>
      </c>
      <c r="P31" s="82"/>
      <c r="Q31" s="87" t="s">
        <v>121</v>
      </c>
      <c r="R31" s="81"/>
      <c r="S31" s="81" t="s">
        <v>121</v>
      </c>
      <c r="T31" s="81" t="s">
        <v>121</v>
      </c>
      <c r="U31" s="84" t="s">
        <v>121</v>
      </c>
    </row>
    <row r="32" spans="1:21" ht="15.75" customHeight="1">
      <c r="A32" s="56" t="s">
        <v>121</v>
      </c>
      <c r="B32" s="80"/>
      <c r="C32" s="81" t="s">
        <v>121</v>
      </c>
      <c r="D32" s="88"/>
      <c r="E32" s="87" t="s">
        <v>121</v>
      </c>
      <c r="F32" s="81"/>
      <c r="G32" s="81" t="s">
        <v>121</v>
      </c>
      <c r="H32" s="81" t="s">
        <v>121</v>
      </c>
      <c r="I32" s="84" t="s">
        <v>121</v>
      </c>
      <c r="J32" s="85"/>
      <c r="K32" s="85"/>
      <c r="L32" s="85"/>
      <c r="M32" s="86" t="s">
        <v>121</v>
      </c>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t="s">
        <v>121</v>
      </c>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t="s">
        <v>121</v>
      </c>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t="s">
        <v>121</v>
      </c>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t="s">
        <v>121</v>
      </c>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t="s">
        <v>121</v>
      </c>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t="s">
        <v>121</v>
      </c>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t="s">
        <v>121</v>
      </c>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t="s">
        <v>121</v>
      </c>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t="s">
        <v>121</v>
      </c>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t="s">
        <v>121</v>
      </c>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t="s">
        <v>121</v>
      </c>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t="s">
        <v>121</v>
      </c>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t="s">
        <v>121</v>
      </c>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t="s">
        <v>121</v>
      </c>
      <c r="N46" s="80"/>
      <c r="O46" s="89" t="s">
        <v>121</v>
      </c>
      <c r="P46" s="88"/>
      <c r="Q46" s="87" t="s">
        <v>121</v>
      </c>
      <c r="R46" s="89"/>
      <c r="S46" s="81" t="s">
        <v>121</v>
      </c>
      <c r="T46" s="81" t="s">
        <v>121</v>
      </c>
      <c r="U46" s="84" t="s">
        <v>121</v>
      </c>
    </row>
    <row r="47" spans="1:21" ht="13.2">
      <c r="A47" s="56" t="s">
        <v>121</v>
      </c>
      <c r="B47" s="80"/>
      <c r="C47" s="230" t="s">
        <v>184</v>
      </c>
      <c r="D47" s="227"/>
      <c r="E47" s="227"/>
      <c r="F47" s="227"/>
      <c r="G47" s="90">
        <v>1</v>
      </c>
      <c r="H47" s="90">
        <v>8</v>
      </c>
      <c r="I47" s="84" t="s">
        <v>121</v>
      </c>
      <c r="J47" s="85"/>
      <c r="K47" s="85"/>
      <c r="L47" s="85"/>
      <c r="M47" s="86" t="s">
        <v>121</v>
      </c>
      <c r="N47" s="80"/>
      <c r="O47" s="230" t="s">
        <v>185</v>
      </c>
      <c r="P47" s="227"/>
      <c r="Q47" s="227"/>
      <c r="R47" s="227"/>
      <c r="S47" s="90">
        <v>4</v>
      </c>
      <c r="T47" s="90">
        <v>5</v>
      </c>
      <c r="U47" s="84" t="s">
        <v>121</v>
      </c>
    </row>
    <row r="48" spans="1:21" ht="13.2">
      <c r="A48" s="56" t="s">
        <v>121</v>
      </c>
      <c r="B48" s="85"/>
      <c r="C48" s="85"/>
      <c r="D48" s="85"/>
      <c r="E48" s="85"/>
      <c r="F48" s="85"/>
      <c r="G48" s="85"/>
      <c r="H48" s="85"/>
      <c r="I48" s="85" t="s">
        <v>121</v>
      </c>
      <c r="J48" s="85"/>
      <c r="K48" s="85"/>
      <c r="L48" s="85"/>
      <c r="M48" s="86" t="s">
        <v>121</v>
      </c>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t="s">
        <v>121</v>
      </c>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t="s">
        <v>153</v>
      </c>
      <c r="N50" s="97"/>
      <c r="O50" s="98" t="s">
        <v>164</v>
      </c>
      <c r="P50" s="94" t="s">
        <v>154</v>
      </c>
      <c r="Q50" s="95" t="s">
        <v>1</v>
      </c>
      <c r="R50" s="95" t="s">
        <v>165</v>
      </c>
      <c r="S50" s="95" t="s">
        <v>145</v>
      </c>
      <c r="T50" s="95" t="s">
        <v>146</v>
      </c>
      <c r="U50" s="96" t="s">
        <v>121</v>
      </c>
    </row>
    <row r="51" spans="1:21" ht="13.2">
      <c r="A51" s="56" t="s">
        <v>151</v>
      </c>
      <c r="B51" s="99"/>
      <c r="C51" s="81">
        <v>1</v>
      </c>
      <c r="D51" s="82" t="s">
        <v>186</v>
      </c>
      <c r="E51" s="83">
        <v>98.4</v>
      </c>
      <c r="F51" s="81" t="s">
        <v>144</v>
      </c>
      <c r="G51" s="81" t="s">
        <v>121</v>
      </c>
      <c r="H51" s="81">
        <v>5</v>
      </c>
      <c r="I51" s="100" t="s">
        <v>121</v>
      </c>
      <c r="J51" s="85"/>
      <c r="K51" s="85"/>
      <c r="L51" s="85"/>
      <c r="M51" s="86" t="s">
        <v>153</v>
      </c>
      <c r="N51" s="99"/>
      <c r="O51" s="81">
        <v>1</v>
      </c>
      <c r="P51" s="82" t="s">
        <v>187</v>
      </c>
      <c r="Q51" s="83">
        <v>132.69999999999999</v>
      </c>
      <c r="R51" s="81" t="s">
        <v>144</v>
      </c>
      <c r="S51" s="81" t="s">
        <v>121</v>
      </c>
      <c r="T51" s="81">
        <v>5</v>
      </c>
      <c r="U51" s="100" t="s">
        <v>121</v>
      </c>
    </row>
    <row r="52" spans="1:21" ht="26.4">
      <c r="A52" s="56" t="s">
        <v>151</v>
      </c>
      <c r="B52" s="99"/>
      <c r="C52" s="81">
        <v>2</v>
      </c>
      <c r="D52" s="82" t="s">
        <v>188</v>
      </c>
      <c r="E52" s="87">
        <v>89.3</v>
      </c>
      <c r="F52" s="81" t="s">
        <v>144</v>
      </c>
      <c r="G52" s="81" t="s">
        <v>121</v>
      </c>
      <c r="H52" s="81">
        <v>3</v>
      </c>
      <c r="I52" s="100" t="s">
        <v>121</v>
      </c>
      <c r="J52" s="85"/>
      <c r="K52" s="85"/>
      <c r="L52" s="85"/>
      <c r="M52" s="86" t="s">
        <v>153</v>
      </c>
      <c r="N52" s="99"/>
      <c r="O52" s="81">
        <v>2</v>
      </c>
      <c r="P52" s="82" t="s">
        <v>189</v>
      </c>
      <c r="Q52" s="87">
        <v>89.85</v>
      </c>
      <c r="R52" s="81" t="s">
        <v>143</v>
      </c>
      <c r="S52" s="81">
        <v>3</v>
      </c>
      <c r="T52" s="81" t="s">
        <v>121</v>
      </c>
      <c r="U52" s="100" t="s">
        <v>121</v>
      </c>
    </row>
    <row r="53" spans="1:21" ht="13.2">
      <c r="A53" s="56" t="s">
        <v>151</v>
      </c>
      <c r="B53" s="99"/>
      <c r="C53" s="81">
        <v>3</v>
      </c>
      <c r="D53" s="82" t="s">
        <v>190</v>
      </c>
      <c r="E53" s="87">
        <v>84.95</v>
      </c>
      <c r="F53" s="81" t="s">
        <v>144</v>
      </c>
      <c r="G53" s="81" t="s">
        <v>121</v>
      </c>
      <c r="H53" s="81">
        <v>1</v>
      </c>
      <c r="I53" s="100" t="s">
        <v>121</v>
      </c>
      <c r="J53" s="85"/>
      <c r="K53" s="85"/>
      <c r="L53" s="85"/>
      <c r="M53" s="86" t="s">
        <v>153</v>
      </c>
      <c r="N53" s="99"/>
      <c r="O53" s="81">
        <v>3</v>
      </c>
      <c r="P53" s="82" t="s">
        <v>191</v>
      </c>
      <c r="Q53" s="87">
        <v>88.3</v>
      </c>
      <c r="R53" s="81" t="s">
        <v>144</v>
      </c>
      <c r="S53" s="81" t="s">
        <v>121</v>
      </c>
      <c r="T53" s="81">
        <v>1</v>
      </c>
      <c r="U53" s="100" t="s">
        <v>121</v>
      </c>
    </row>
    <row r="54" spans="1:21" ht="13.2">
      <c r="A54" s="56" t="s">
        <v>151</v>
      </c>
      <c r="B54" s="99"/>
      <c r="C54" s="81">
        <v>4</v>
      </c>
      <c r="D54" s="82" t="s">
        <v>192</v>
      </c>
      <c r="E54" s="87">
        <v>84.4</v>
      </c>
      <c r="F54" s="81" t="s">
        <v>143</v>
      </c>
      <c r="G54" s="81" t="s">
        <v>121</v>
      </c>
      <c r="H54" s="81" t="s">
        <v>121</v>
      </c>
      <c r="I54" s="100" t="s">
        <v>121</v>
      </c>
      <c r="J54" s="85"/>
      <c r="K54" s="85"/>
      <c r="L54" s="85"/>
      <c r="M54" s="86" t="s">
        <v>153</v>
      </c>
      <c r="N54" s="99"/>
      <c r="O54" s="81">
        <v>4</v>
      </c>
      <c r="P54" s="82" t="s">
        <v>193</v>
      </c>
      <c r="Q54" s="87">
        <v>85.6</v>
      </c>
      <c r="R54" s="81" t="s">
        <v>143</v>
      </c>
      <c r="S54" s="81" t="s">
        <v>121</v>
      </c>
      <c r="T54" s="81" t="s">
        <v>121</v>
      </c>
      <c r="U54" s="100" t="s">
        <v>121</v>
      </c>
    </row>
    <row r="55" spans="1:21" ht="13.2">
      <c r="A55" s="56" t="s">
        <v>151</v>
      </c>
      <c r="B55" s="99"/>
      <c r="C55" s="81">
        <v>5</v>
      </c>
      <c r="D55" s="82" t="s">
        <v>194</v>
      </c>
      <c r="E55" s="87">
        <v>75.900000000000006</v>
      </c>
      <c r="F55" s="81" t="s">
        <v>143</v>
      </c>
      <c r="G55" s="81" t="s">
        <v>121</v>
      </c>
      <c r="H55" s="81" t="s">
        <v>121</v>
      </c>
      <c r="I55" s="100" t="s">
        <v>121</v>
      </c>
      <c r="J55" s="85"/>
      <c r="K55" s="85"/>
      <c r="L55" s="85"/>
      <c r="M55" s="86" t="s">
        <v>153</v>
      </c>
      <c r="N55" s="99"/>
      <c r="O55" s="81">
        <v>5</v>
      </c>
      <c r="P55" s="82" t="s">
        <v>195</v>
      </c>
      <c r="Q55" s="87">
        <v>81.650000000000006</v>
      </c>
      <c r="R55" s="81" t="s">
        <v>143</v>
      </c>
      <c r="S55" s="81" t="s">
        <v>121</v>
      </c>
      <c r="T55" s="81" t="s">
        <v>121</v>
      </c>
      <c r="U55" s="100" t="s">
        <v>121</v>
      </c>
    </row>
    <row r="56" spans="1:21" ht="13.2">
      <c r="A56" s="56" t="s">
        <v>151</v>
      </c>
      <c r="B56" s="99"/>
      <c r="C56" s="81">
        <v>6</v>
      </c>
      <c r="D56" s="82" t="s">
        <v>196</v>
      </c>
      <c r="E56" s="87">
        <v>68.05</v>
      </c>
      <c r="F56" s="81" t="s">
        <v>143</v>
      </c>
      <c r="G56" s="81" t="s">
        <v>121</v>
      </c>
      <c r="H56" s="81" t="s">
        <v>121</v>
      </c>
      <c r="I56" s="100" t="s">
        <v>121</v>
      </c>
      <c r="J56" s="85"/>
      <c r="K56" s="85"/>
      <c r="L56" s="85"/>
      <c r="M56" s="86" t="s">
        <v>153</v>
      </c>
      <c r="N56" s="99"/>
      <c r="O56" s="81">
        <v>6</v>
      </c>
      <c r="P56" s="82" t="s">
        <v>197</v>
      </c>
      <c r="Q56" s="87">
        <v>75.8</v>
      </c>
      <c r="R56" s="81" t="s">
        <v>144</v>
      </c>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t="s">
        <v>153</v>
      </c>
      <c r="N57" s="99"/>
      <c r="O57" s="81">
        <v>7</v>
      </c>
      <c r="P57" s="82" t="s">
        <v>198</v>
      </c>
      <c r="Q57" s="87">
        <v>71.75</v>
      </c>
      <c r="R57" s="81" t="s">
        <v>143</v>
      </c>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t="s">
        <v>121</v>
      </c>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t="s">
        <v>121</v>
      </c>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t="s">
        <v>121</v>
      </c>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t="s">
        <v>121</v>
      </c>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t="s">
        <v>121</v>
      </c>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t="s">
        <v>121</v>
      </c>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t="s">
        <v>121</v>
      </c>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t="s">
        <v>121</v>
      </c>
      <c r="N65" s="99"/>
      <c r="O65" s="81" t="s">
        <v>121</v>
      </c>
      <c r="P65" s="88"/>
      <c r="Q65" s="87" t="s">
        <v>121</v>
      </c>
      <c r="R65" s="81"/>
      <c r="S65" s="81" t="s">
        <v>121</v>
      </c>
      <c r="T65" s="81" t="s">
        <v>121</v>
      </c>
      <c r="U65" s="100" t="s">
        <v>121</v>
      </c>
    </row>
    <row r="66" spans="1:21" ht="13.2">
      <c r="A66" s="56" t="s">
        <v>121</v>
      </c>
      <c r="B66" s="99"/>
      <c r="C66" s="230" t="s">
        <v>199</v>
      </c>
      <c r="D66" s="227"/>
      <c r="E66" s="227"/>
      <c r="F66" s="228"/>
      <c r="G66" s="90">
        <v>0</v>
      </c>
      <c r="H66" s="90">
        <v>9</v>
      </c>
      <c r="I66" s="100" t="s">
        <v>121</v>
      </c>
      <c r="J66" s="85"/>
      <c r="K66" s="85"/>
      <c r="L66" s="85"/>
      <c r="M66" s="86" t="s">
        <v>121</v>
      </c>
      <c r="N66" s="99"/>
      <c r="O66" s="230" t="s">
        <v>200</v>
      </c>
      <c r="P66" s="227"/>
      <c r="Q66" s="227"/>
      <c r="R66" s="228"/>
      <c r="S66" s="90">
        <v>3</v>
      </c>
      <c r="T66" s="90">
        <v>6</v>
      </c>
      <c r="U66" s="100" t="s">
        <v>121</v>
      </c>
    </row>
    <row r="67" spans="1:21" ht="13.2">
      <c r="A67" s="56" t="s">
        <v>121</v>
      </c>
      <c r="B67" s="85"/>
      <c r="C67" s="85"/>
      <c r="D67" s="85"/>
      <c r="E67" s="85"/>
      <c r="F67" s="85"/>
      <c r="G67" s="85"/>
      <c r="H67" s="85"/>
      <c r="I67" s="85" t="s">
        <v>121</v>
      </c>
      <c r="J67" s="85"/>
      <c r="K67" s="85"/>
      <c r="L67" s="85"/>
      <c r="M67" s="86" t="s">
        <v>121</v>
      </c>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t="s">
        <v>121</v>
      </c>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t="s">
        <v>157</v>
      </c>
      <c r="N69" s="105"/>
      <c r="O69" s="102" t="s">
        <v>164</v>
      </c>
      <c r="P69" s="103" t="s">
        <v>158</v>
      </c>
      <c r="Q69" s="104" t="s">
        <v>1</v>
      </c>
      <c r="R69" s="104" t="s">
        <v>165</v>
      </c>
      <c r="S69" s="104" t="s">
        <v>145</v>
      </c>
      <c r="T69" s="104" t="s">
        <v>146</v>
      </c>
      <c r="U69" s="105" t="s">
        <v>121</v>
      </c>
    </row>
    <row r="70" spans="1:21" ht="13.2">
      <c r="A70" s="56" t="s">
        <v>155</v>
      </c>
      <c r="B70" s="80"/>
      <c r="C70" s="81">
        <v>1</v>
      </c>
      <c r="D70" s="82" t="s">
        <v>201</v>
      </c>
      <c r="E70" s="83">
        <v>184.7</v>
      </c>
      <c r="F70" s="81" t="s">
        <v>143</v>
      </c>
      <c r="G70" s="81">
        <v>5</v>
      </c>
      <c r="H70" s="81" t="s">
        <v>121</v>
      </c>
      <c r="I70" s="84" t="s">
        <v>121</v>
      </c>
      <c r="J70" s="85"/>
      <c r="K70" s="85"/>
      <c r="L70" s="85"/>
      <c r="M70" s="86" t="s">
        <v>157</v>
      </c>
      <c r="N70" s="80"/>
      <c r="O70" s="81">
        <v>1</v>
      </c>
      <c r="P70" s="82" t="s">
        <v>202</v>
      </c>
      <c r="Q70" s="83">
        <v>176.15</v>
      </c>
      <c r="R70" s="81" t="s">
        <v>143</v>
      </c>
      <c r="S70" s="81">
        <v>5</v>
      </c>
      <c r="T70" s="81" t="s">
        <v>121</v>
      </c>
      <c r="U70" s="84" t="s">
        <v>121</v>
      </c>
    </row>
    <row r="71" spans="1:21" ht="13.2">
      <c r="A71" s="56" t="s">
        <v>155</v>
      </c>
      <c r="B71" s="80"/>
      <c r="C71" s="81">
        <v>2</v>
      </c>
      <c r="D71" s="82" t="s">
        <v>203</v>
      </c>
      <c r="E71" s="87">
        <v>100.6</v>
      </c>
      <c r="F71" s="81" t="s">
        <v>144</v>
      </c>
      <c r="G71" s="81" t="s">
        <v>121</v>
      </c>
      <c r="H71" s="81">
        <v>3</v>
      </c>
      <c r="I71" s="84" t="s">
        <v>121</v>
      </c>
      <c r="J71" s="85"/>
      <c r="K71" s="85"/>
      <c r="L71" s="85"/>
      <c r="M71" s="86" t="s">
        <v>157</v>
      </c>
      <c r="N71" s="80"/>
      <c r="O71" s="81">
        <v>2</v>
      </c>
      <c r="P71" s="82" t="s">
        <v>204</v>
      </c>
      <c r="Q71" s="87">
        <v>139.94999999999999</v>
      </c>
      <c r="R71" s="81" t="s">
        <v>143</v>
      </c>
      <c r="S71" s="81">
        <v>3</v>
      </c>
      <c r="T71" s="81" t="s">
        <v>121</v>
      </c>
      <c r="U71" s="84" t="s">
        <v>121</v>
      </c>
    </row>
    <row r="72" spans="1:21" ht="13.2">
      <c r="A72" s="56" t="s">
        <v>155</v>
      </c>
      <c r="B72" s="80"/>
      <c r="C72" s="81">
        <v>3</v>
      </c>
      <c r="D72" s="82" t="s">
        <v>205</v>
      </c>
      <c r="E72" s="87">
        <v>100.4</v>
      </c>
      <c r="F72" s="81" t="s">
        <v>144</v>
      </c>
      <c r="G72" s="81" t="s">
        <v>121</v>
      </c>
      <c r="H72" s="81">
        <v>1</v>
      </c>
      <c r="I72" s="84" t="s">
        <v>121</v>
      </c>
      <c r="J72" s="85"/>
      <c r="K72" s="85"/>
      <c r="L72" s="85"/>
      <c r="M72" s="86" t="s">
        <v>157</v>
      </c>
      <c r="N72" s="80"/>
      <c r="O72" s="81">
        <v>3</v>
      </c>
      <c r="P72" s="82" t="s">
        <v>206</v>
      </c>
      <c r="Q72" s="87">
        <v>114.9</v>
      </c>
      <c r="R72" s="81" t="s">
        <v>144</v>
      </c>
      <c r="S72" s="81" t="s">
        <v>121</v>
      </c>
      <c r="T72" s="81">
        <v>1</v>
      </c>
      <c r="U72" s="84" t="s">
        <v>121</v>
      </c>
    </row>
    <row r="73" spans="1:21" ht="13.2">
      <c r="A73" s="56" t="s">
        <v>155</v>
      </c>
      <c r="B73" s="80"/>
      <c r="C73" s="81">
        <v>4</v>
      </c>
      <c r="D73" s="82" t="s">
        <v>207</v>
      </c>
      <c r="E73" s="87">
        <v>96.15</v>
      </c>
      <c r="F73" s="81" t="s">
        <v>143</v>
      </c>
      <c r="G73" s="81" t="s">
        <v>121</v>
      </c>
      <c r="H73" s="81" t="s">
        <v>121</v>
      </c>
      <c r="I73" s="84" t="s">
        <v>121</v>
      </c>
      <c r="J73" s="85"/>
      <c r="K73" s="85"/>
      <c r="L73" s="85"/>
      <c r="M73" s="86" t="s">
        <v>157</v>
      </c>
      <c r="N73" s="80"/>
      <c r="O73" s="81">
        <v>4</v>
      </c>
      <c r="P73" s="82" t="s">
        <v>208</v>
      </c>
      <c r="Q73" s="87">
        <v>113.05</v>
      </c>
      <c r="R73" s="81" t="s">
        <v>143</v>
      </c>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t="s">
        <v>157</v>
      </c>
      <c r="N74" s="80"/>
      <c r="O74" s="81">
        <v>5</v>
      </c>
      <c r="P74" s="82" t="s">
        <v>209</v>
      </c>
      <c r="Q74" s="87">
        <v>111.55</v>
      </c>
      <c r="R74" s="81" t="s">
        <v>144</v>
      </c>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t="s">
        <v>121</v>
      </c>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t="s">
        <v>121</v>
      </c>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t="s">
        <v>121</v>
      </c>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t="s">
        <v>121</v>
      </c>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t="s">
        <v>121</v>
      </c>
      <c r="N79" s="80"/>
      <c r="O79" s="81" t="s">
        <v>121</v>
      </c>
      <c r="P79" s="88"/>
      <c r="Q79" s="87" t="s">
        <v>121</v>
      </c>
      <c r="R79" s="81"/>
      <c r="S79" s="81" t="s">
        <v>121</v>
      </c>
      <c r="T79" s="81" t="s">
        <v>121</v>
      </c>
      <c r="U79" s="84" t="s">
        <v>121</v>
      </c>
    </row>
    <row r="80" spans="1:21" ht="13.2">
      <c r="A80" s="56" t="s">
        <v>121</v>
      </c>
      <c r="B80" s="80"/>
      <c r="C80" s="230" t="s">
        <v>210</v>
      </c>
      <c r="D80" s="227"/>
      <c r="E80" s="227"/>
      <c r="F80" s="227"/>
      <c r="G80" s="90">
        <v>5</v>
      </c>
      <c r="H80" s="90">
        <v>4</v>
      </c>
      <c r="I80" s="84" t="s">
        <v>121</v>
      </c>
      <c r="J80" s="85"/>
      <c r="K80" s="85"/>
      <c r="L80" s="85"/>
      <c r="M80" s="86" t="s">
        <v>121</v>
      </c>
      <c r="N80" s="80"/>
      <c r="O80" s="230" t="s">
        <v>211</v>
      </c>
      <c r="P80" s="227"/>
      <c r="Q80" s="227"/>
      <c r="R80" s="227"/>
      <c r="S80" s="90">
        <v>8</v>
      </c>
      <c r="T80" s="90">
        <v>1</v>
      </c>
      <c r="U80" s="84" t="s">
        <v>121</v>
      </c>
    </row>
    <row r="81" spans="1:21" ht="13.2">
      <c r="A81" s="56" t="s">
        <v>121</v>
      </c>
      <c r="B81" s="85"/>
      <c r="C81" s="85"/>
      <c r="D81" s="85"/>
      <c r="E81" s="85"/>
      <c r="F81" s="85"/>
      <c r="G81" s="85"/>
      <c r="H81" s="85"/>
      <c r="I81" s="85" t="s">
        <v>121</v>
      </c>
      <c r="J81" s="85"/>
      <c r="K81" s="85"/>
      <c r="L81" s="85"/>
      <c r="M81" s="86" t="s">
        <v>121</v>
      </c>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t="s">
        <v>121</v>
      </c>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t="s">
        <v>161</v>
      </c>
      <c r="N83" s="96"/>
      <c r="O83" s="93" t="s">
        <v>164</v>
      </c>
      <c r="P83" s="94" t="s">
        <v>162</v>
      </c>
      <c r="Q83" s="95" t="s">
        <v>1</v>
      </c>
      <c r="R83" s="95" t="s">
        <v>165</v>
      </c>
      <c r="S83" s="95" t="s">
        <v>145</v>
      </c>
      <c r="T83" s="95" t="s">
        <v>146</v>
      </c>
      <c r="U83" s="96" t="s">
        <v>121</v>
      </c>
    </row>
    <row r="84" spans="1:21" ht="13.2">
      <c r="A84" s="56" t="s">
        <v>159</v>
      </c>
      <c r="B84" s="99"/>
      <c r="C84" s="81">
        <v>1</v>
      </c>
      <c r="D84" s="82" t="s">
        <v>212</v>
      </c>
      <c r="E84" s="83">
        <v>185.25</v>
      </c>
      <c r="F84" s="81" t="s">
        <v>144</v>
      </c>
      <c r="G84" s="81" t="s">
        <v>121</v>
      </c>
      <c r="H84" s="81">
        <v>5</v>
      </c>
      <c r="I84" s="100" t="s">
        <v>121</v>
      </c>
      <c r="J84" s="85"/>
      <c r="K84" s="85"/>
      <c r="L84" s="85"/>
      <c r="M84" s="86" t="s">
        <v>161</v>
      </c>
      <c r="N84" s="99"/>
      <c r="O84" s="81">
        <v>1</v>
      </c>
      <c r="P84" s="82" t="s">
        <v>213</v>
      </c>
      <c r="Q84" s="83">
        <v>269.2</v>
      </c>
      <c r="R84" s="81" t="s">
        <v>143</v>
      </c>
      <c r="S84" s="81">
        <v>5</v>
      </c>
      <c r="T84" s="81" t="s">
        <v>121</v>
      </c>
      <c r="U84" s="100" t="s">
        <v>121</v>
      </c>
    </row>
    <row r="85" spans="1:21" ht="13.2">
      <c r="A85" s="56" t="s">
        <v>159</v>
      </c>
      <c r="B85" s="99"/>
      <c r="C85" s="81">
        <v>2</v>
      </c>
      <c r="D85" s="82" t="s">
        <v>214</v>
      </c>
      <c r="E85" s="87">
        <v>176.25</v>
      </c>
      <c r="F85" s="81" t="s">
        <v>144</v>
      </c>
      <c r="G85" s="81" t="s">
        <v>121</v>
      </c>
      <c r="H85" s="81">
        <v>3</v>
      </c>
      <c r="I85" s="100" t="s">
        <v>121</v>
      </c>
      <c r="J85" s="85"/>
      <c r="K85" s="85"/>
      <c r="L85" s="85"/>
      <c r="M85" s="86" t="s">
        <v>161</v>
      </c>
      <c r="N85" s="99"/>
      <c r="O85" s="81">
        <v>2</v>
      </c>
      <c r="P85" s="82" t="s">
        <v>215</v>
      </c>
      <c r="Q85" s="87">
        <v>251.7</v>
      </c>
      <c r="R85" s="81" t="s">
        <v>144</v>
      </c>
      <c r="S85" s="81" t="s">
        <v>121</v>
      </c>
      <c r="T85" s="81">
        <v>3</v>
      </c>
      <c r="U85" s="100" t="s">
        <v>121</v>
      </c>
    </row>
    <row r="86" spans="1:21" ht="13.2">
      <c r="A86" s="56" t="s">
        <v>159</v>
      </c>
      <c r="B86" s="99"/>
      <c r="C86" s="81">
        <v>3</v>
      </c>
      <c r="D86" s="82" t="s">
        <v>216</v>
      </c>
      <c r="E86" s="87">
        <v>158.9</v>
      </c>
      <c r="F86" s="81" t="s">
        <v>143</v>
      </c>
      <c r="G86" s="81">
        <v>1</v>
      </c>
      <c r="H86" s="81" t="s">
        <v>121</v>
      </c>
      <c r="I86" s="100" t="s">
        <v>121</v>
      </c>
      <c r="J86" s="85"/>
      <c r="K86" s="85"/>
      <c r="L86" s="85"/>
      <c r="M86" s="86" t="s">
        <v>161</v>
      </c>
      <c r="N86" s="99"/>
      <c r="O86" s="81">
        <v>3</v>
      </c>
      <c r="P86" s="82" t="s">
        <v>217</v>
      </c>
      <c r="Q86" s="87">
        <v>228.9</v>
      </c>
      <c r="R86" s="81" t="s">
        <v>143</v>
      </c>
      <c r="S86" s="81">
        <v>1</v>
      </c>
      <c r="T86" s="81" t="s">
        <v>121</v>
      </c>
      <c r="U86" s="100" t="s">
        <v>121</v>
      </c>
    </row>
    <row r="87" spans="1:21" ht="13.2">
      <c r="A87" s="56" t="s">
        <v>159</v>
      </c>
      <c r="B87" s="99"/>
      <c r="C87" s="81">
        <v>4</v>
      </c>
      <c r="D87" s="82" t="s">
        <v>218</v>
      </c>
      <c r="E87" s="87">
        <v>141</v>
      </c>
      <c r="F87" s="81" t="s">
        <v>144</v>
      </c>
      <c r="G87" s="81" t="s">
        <v>121</v>
      </c>
      <c r="H87" s="81" t="s">
        <v>121</v>
      </c>
      <c r="I87" s="100" t="s">
        <v>121</v>
      </c>
      <c r="J87" s="85"/>
      <c r="K87" s="85"/>
      <c r="L87" s="85"/>
      <c r="M87" s="86" t="s">
        <v>161</v>
      </c>
      <c r="N87" s="99"/>
      <c r="O87" s="81">
        <v>4</v>
      </c>
      <c r="P87" s="82" t="s">
        <v>219</v>
      </c>
      <c r="Q87" s="87">
        <v>157.44999999999999</v>
      </c>
      <c r="R87" s="81" t="s">
        <v>144</v>
      </c>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t="s">
        <v>121</v>
      </c>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t="s">
        <v>121</v>
      </c>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t="s">
        <v>121</v>
      </c>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t="s">
        <v>121</v>
      </c>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t="s">
        <v>121</v>
      </c>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t="s">
        <v>121</v>
      </c>
      <c r="N93" s="99"/>
      <c r="O93" s="81" t="s">
        <v>121</v>
      </c>
      <c r="P93" s="88"/>
      <c r="Q93" s="87" t="s">
        <v>121</v>
      </c>
      <c r="R93" s="81"/>
      <c r="S93" s="81" t="s">
        <v>121</v>
      </c>
      <c r="T93" s="81" t="s">
        <v>121</v>
      </c>
      <c r="U93" s="100" t="s">
        <v>121</v>
      </c>
    </row>
    <row r="94" spans="1:21" ht="13.2">
      <c r="A94" s="56" t="s">
        <v>121</v>
      </c>
      <c r="B94" s="99"/>
      <c r="C94" s="230" t="s">
        <v>220</v>
      </c>
      <c r="D94" s="227"/>
      <c r="E94" s="227"/>
      <c r="F94" s="227"/>
      <c r="G94" s="90">
        <v>1</v>
      </c>
      <c r="H94" s="90">
        <v>8</v>
      </c>
      <c r="I94" s="100" t="s">
        <v>121</v>
      </c>
      <c r="J94" s="85"/>
      <c r="K94" s="85"/>
      <c r="L94" s="85"/>
      <c r="M94" s="86" t="s">
        <v>121</v>
      </c>
      <c r="N94" s="99"/>
      <c r="O94" s="230" t="s">
        <v>221</v>
      </c>
      <c r="P94" s="227"/>
      <c r="Q94" s="227"/>
      <c r="R94" s="227"/>
      <c r="S94" s="90">
        <v>6</v>
      </c>
      <c r="T94" s="90">
        <v>3</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224</v>
      </c>
      <c r="R96" s="227"/>
      <c r="S96" s="227"/>
      <c r="T96" s="228"/>
      <c r="U96" s="109" t="s">
        <v>121</v>
      </c>
    </row>
    <row r="97" spans="1:21" ht="13.2">
      <c r="A97" s="56"/>
      <c r="B97" s="4"/>
      <c r="C97" s="249" t="s">
        <v>225</v>
      </c>
      <c r="D97" s="235"/>
      <c r="E97" s="235"/>
      <c r="F97" s="235"/>
      <c r="G97" s="235"/>
      <c r="H97" s="236"/>
      <c r="I97" s="85" t="s">
        <v>121</v>
      </c>
      <c r="J97" s="85"/>
      <c r="K97" s="85"/>
      <c r="L97" s="85"/>
      <c r="M97" s="86"/>
      <c r="N97" s="107"/>
      <c r="O97" s="110" t="s">
        <v>226</v>
      </c>
      <c r="P97" s="111"/>
      <c r="Q97" s="231" t="s">
        <v>227</v>
      </c>
      <c r="R97" s="227"/>
      <c r="S97" s="227"/>
      <c r="T97" s="228"/>
      <c r="U97" s="109"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109" t="s">
        <v>121</v>
      </c>
    </row>
    <row r="99" spans="1:21" ht="13.2">
      <c r="A99" s="56"/>
      <c r="B99" s="4"/>
      <c r="C99" s="112" t="s">
        <v>228</v>
      </c>
      <c r="D99" s="113"/>
      <c r="E99" s="233"/>
      <c r="F99" s="227"/>
      <c r="G99" s="227"/>
      <c r="H99" s="228"/>
      <c r="I99" s="85" t="s">
        <v>121</v>
      </c>
      <c r="J99" s="85"/>
      <c r="K99" s="85"/>
      <c r="L99" s="85"/>
      <c r="M99" s="86"/>
      <c r="N99" s="107"/>
      <c r="O99" s="112" t="s">
        <v>229</v>
      </c>
      <c r="P99" s="113"/>
      <c r="Q99" s="233" t="s">
        <v>230</v>
      </c>
      <c r="R99" s="227"/>
      <c r="S99" s="227"/>
      <c r="T99" s="228"/>
      <c r="U99" s="109"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109" t="s">
        <v>121</v>
      </c>
    </row>
    <row r="101" spans="1:21" ht="13.2">
      <c r="A101" s="56"/>
      <c r="B101" s="4"/>
      <c r="C101" s="250"/>
      <c r="D101" s="235"/>
      <c r="E101" s="235"/>
      <c r="F101" s="235"/>
      <c r="G101" s="235"/>
      <c r="H101" s="236"/>
      <c r="I101" s="4" t="s">
        <v>121</v>
      </c>
      <c r="J101" s="4"/>
      <c r="K101" s="4"/>
      <c r="L101" s="4"/>
      <c r="M101" s="71"/>
      <c r="N101" s="109"/>
      <c r="O101" s="234" t="s">
        <v>233</v>
      </c>
      <c r="P101" s="235"/>
      <c r="Q101" s="235"/>
      <c r="R101" s="235"/>
      <c r="S101" s="235"/>
      <c r="T101" s="236"/>
      <c r="U101" s="109"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109"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109"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109"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8">
      <c r="A106" s="56"/>
      <c r="B106" s="114"/>
      <c r="C106" s="115"/>
      <c r="D106" s="116" t="s">
        <v>139</v>
      </c>
      <c r="E106" s="117">
        <v>2</v>
      </c>
      <c r="F106" s="17"/>
      <c r="G106" s="17"/>
      <c r="H106" s="17"/>
      <c r="I106" s="118" t="s">
        <v>121</v>
      </c>
      <c r="J106" s="118"/>
      <c r="K106" s="118"/>
      <c r="L106" s="118"/>
      <c r="M106" s="119"/>
      <c r="N106" s="118"/>
      <c r="O106" s="118"/>
      <c r="P106" s="116" t="s">
        <v>140</v>
      </c>
      <c r="Q106" s="242">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34.799999999999997" customHeight="1">
      <c r="A109" s="56"/>
      <c r="B109" s="129"/>
      <c r="C109" s="251" t="s">
        <v>130</v>
      </c>
      <c r="D109" s="227"/>
      <c r="E109" s="252" t="s">
        <v>135</v>
      </c>
      <c r="F109" s="227"/>
      <c r="G109" s="228"/>
      <c r="H109" s="130" t="s">
        <v>234</v>
      </c>
      <c r="I109" s="131" t="s">
        <v>121</v>
      </c>
      <c r="J109" s="132"/>
      <c r="K109" s="132"/>
      <c r="L109" s="132"/>
      <c r="M109" s="133"/>
      <c r="N109" s="48"/>
      <c r="O109" s="244" t="s">
        <v>132</v>
      </c>
      <c r="P109" s="227"/>
      <c r="Q109" s="245" t="s">
        <v>136</v>
      </c>
      <c r="R109" s="227"/>
      <c r="S109" s="228"/>
      <c r="T109" s="134" t="s">
        <v>235</v>
      </c>
      <c r="U109" s="135" t="s">
        <v>121</v>
      </c>
    </row>
    <row r="110" spans="1:21" ht="17.399999999999999">
      <c r="A110" s="56"/>
      <c r="B110" s="136"/>
      <c r="C110" s="253" t="s">
        <v>1</v>
      </c>
      <c r="D110" s="228"/>
      <c r="E110" s="254">
        <v>46</v>
      </c>
      <c r="F110" s="227"/>
      <c r="G110" s="227"/>
      <c r="H110" s="137"/>
      <c r="I110" s="131" t="s">
        <v>121</v>
      </c>
      <c r="J110" s="138"/>
      <c r="K110" s="138"/>
      <c r="L110" s="138"/>
      <c r="M110" s="139"/>
      <c r="N110" s="48"/>
      <c r="O110" s="246" t="s">
        <v>1</v>
      </c>
      <c r="P110" s="228"/>
      <c r="Q110" s="247">
        <v>25</v>
      </c>
      <c r="R110" s="227"/>
      <c r="S110" s="227"/>
      <c r="T110" s="140"/>
      <c r="U110" s="135" t="s">
        <v>121</v>
      </c>
    </row>
    <row r="111" spans="1:21" ht="13.2">
      <c r="A111" s="56"/>
      <c r="B111" s="55"/>
      <c r="C111" s="55"/>
      <c r="D111" s="55"/>
      <c r="E111" s="55"/>
      <c r="F111" s="55"/>
      <c r="G111" s="55"/>
      <c r="H111" s="55"/>
      <c r="I111" s="55" t="s">
        <v>121</v>
      </c>
      <c r="J111" s="55"/>
      <c r="K111" s="55"/>
      <c r="L111" s="55"/>
      <c r="M111" s="61"/>
      <c r="N111" s="55"/>
      <c r="O111" s="55"/>
      <c r="P111" s="55"/>
      <c r="Q111" s="55"/>
      <c r="R111" s="55"/>
      <c r="S111" s="55"/>
      <c r="T111" s="55"/>
      <c r="U111" s="55" t="s">
        <v>121</v>
      </c>
    </row>
    <row r="112" spans="1:21" ht="13.2">
      <c r="A112" s="56"/>
      <c r="B112" s="55"/>
      <c r="C112" s="57"/>
      <c r="D112" s="58"/>
      <c r="E112" s="57"/>
      <c r="F112" s="57"/>
      <c r="G112" s="59" t="s">
        <v>145</v>
      </c>
      <c r="H112" s="60" t="s">
        <v>146</v>
      </c>
      <c r="I112" s="55" t="s">
        <v>121</v>
      </c>
      <c r="J112" s="55"/>
      <c r="K112" s="55"/>
      <c r="L112" s="55"/>
      <c r="M112" s="61"/>
      <c r="N112" s="55"/>
      <c r="O112" s="57"/>
      <c r="P112" s="58"/>
      <c r="Q112" s="57"/>
      <c r="R112" s="57"/>
      <c r="S112" s="59" t="s">
        <v>145</v>
      </c>
      <c r="T112" s="60" t="s">
        <v>146</v>
      </c>
      <c r="U112" s="55" t="s">
        <v>121</v>
      </c>
    </row>
    <row r="113" spans="1:21" ht="13.2">
      <c r="A113" s="56"/>
      <c r="B113" s="55"/>
      <c r="C113" s="62" t="s">
        <v>147</v>
      </c>
      <c r="D113" s="63" t="s">
        <v>148</v>
      </c>
      <c r="E113" s="57"/>
      <c r="F113" s="57"/>
      <c r="G113" s="64">
        <v>9</v>
      </c>
      <c r="H113" s="65">
        <v>0</v>
      </c>
      <c r="I113" s="55" t="s">
        <v>121</v>
      </c>
      <c r="J113" s="55"/>
      <c r="K113" s="55"/>
      <c r="L113" s="55"/>
      <c r="M113" s="61"/>
      <c r="N113" s="55"/>
      <c r="O113" s="62" t="s">
        <v>149</v>
      </c>
      <c r="P113" s="63" t="s">
        <v>150</v>
      </c>
      <c r="Q113" s="57"/>
      <c r="R113" s="57"/>
      <c r="S113" s="64">
        <v>4</v>
      </c>
      <c r="T113" s="65">
        <v>5</v>
      </c>
      <c r="U113" s="55" t="s">
        <v>121</v>
      </c>
    </row>
    <row r="114" spans="1:21" ht="13.2">
      <c r="A114" s="56"/>
      <c r="B114" s="55"/>
      <c r="C114" s="62" t="s">
        <v>151</v>
      </c>
      <c r="D114" s="63" t="s">
        <v>152</v>
      </c>
      <c r="E114" s="57"/>
      <c r="F114" s="57"/>
      <c r="G114" s="64">
        <v>6</v>
      </c>
      <c r="H114" s="65">
        <v>3</v>
      </c>
      <c r="I114" s="55" t="s">
        <v>121</v>
      </c>
      <c r="J114" s="55"/>
      <c r="K114" s="55"/>
      <c r="L114" s="55"/>
      <c r="M114" s="61"/>
      <c r="N114" s="55"/>
      <c r="O114" s="62" t="s">
        <v>153</v>
      </c>
      <c r="P114" s="63" t="s">
        <v>154</v>
      </c>
      <c r="Q114" s="57"/>
      <c r="R114" s="57"/>
      <c r="S114" s="64">
        <v>8</v>
      </c>
      <c r="T114" s="65">
        <v>0</v>
      </c>
      <c r="U114" s="55" t="s">
        <v>121</v>
      </c>
    </row>
    <row r="115" spans="1:21" ht="13.2">
      <c r="A115" s="56"/>
      <c r="B115" s="55"/>
      <c r="C115" s="62" t="s">
        <v>155</v>
      </c>
      <c r="D115" s="63" t="s">
        <v>156</v>
      </c>
      <c r="E115" s="57"/>
      <c r="F115" s="57"/>
      <c r="G115" s="64">
        <v>4</v>
      </c>
      <c r="H115" s="65">
        <v>5</v>
      </c>
      <c r="I115" s="55" t="s">
        <v>121</v>
      </c>
      <c r="J115" s="55"/>
      <c r="K115" s="55"/>
      <c r="L115" s="55"/>
      <c r="M115" s="61"/>
      <c r="N115" s="55"/>
      <c r="O115" s="62" t="s">
        <v>157</v>
      </c>
      <c r="P115" s="63" t="s">
        <v>158</v>
      </c>
      <c r="Q115" s="57"/>
      <c r="R115" s="57"/>
      <c r="S115" s="64">
        <v>5</v>
      </c>
      <c r="T115" s="65">
        <v>4</v>
      </c>
      <c r="U115" s="55" t="s">
        <v>121</v>
      </c>
    </row>
    <row r="116" spans="1:21" ht="13.2">
      <c r="A116" s="56"/>
      <c r="B116" s="55"/>
      <c r="C116" s="62" t="s">
        <v>159</v>
      </c>
      <c r="D116" s="63" t="s">
        <v>160</v>
      </c>
      <c r="E116" s="57"/>
      <c r="F116" s="57"/>
      <c r="G116" s="64">
        <v>4</v>
      </c>
      <c r="H116" s="65">
        <v>5</v>
      </c>
      <c r="I116" s="55" t="s">
        <v>121</v>
      </c>
      <c r="J116" s="55"/>
      <c r="K116" s="55"/>
      <c r="L116" s="55"/>
      <c r="M116" s="61"/>
      <c r="N116" s="55"/>
      <c r="O116" s="62" t="s">
        <v>161</v>
      </c>
      <c r="P116" s="63" t="s">
        <v>162</v>
      </c>
      <c r="Q116" s="57"/>
      <c r="R116" s="57"/>
      <c r="S116" s="64">
        <v>6</v>
      </c>
      <c r="T116" s="65">
        <v>3</v>
      </c>
      <c r="U116" s="55" t="s">
        <v>121</v>
      </c>
    </row>
    <row r="117" spans="1:21" ht="13.2">
      <c r="A117" s="56"/>
      <c r="B117" s="55"/>
      <c r="C117" s="66"/>
      <c r="D117" s="67" t="s">
        <v>163</v>
      </c>
      <c r="E117" s="68"/>
      <c r="F117" s="68"/>
      <c r="G117" s="69">
        <v>23</v>
      </c>
      <c r="H117" s="70">
        <v>13</v>
      </c>
      <c r="I117" s="55" t="s">
        <v>121</v>
      </c>
      <c r="J117" s="55"/>
      <c r="K117" s="55"/>
      <c r="L117" s="55"/>
      <c r="M117" s="61"/>
      <c r="N117" s="55"/>
      <c r="O117" s="66"/>
      <c r="P117" s="67" t="s">
        <v>163</v>
      </c>
      <c r="Q117" s="68"/>
      <c r="R117" s="68"/>
      <c r="S117" s="69">
        <v>23</v>
      </c>
      <c r="T117" s="70">
        <v>12</v>
      </c>
      <c r="U117" s="55" t="s">
        <v>121</v>
      </c>
    </row>
    <row r="118" spans="1:21" ht="13.2">
      <c r="A118" s="56"/>
      <c r="B118" s="55"/>
      <c r="C118" s="4"/>
      <c r="D118" s="4"/>
      <c r="E118" s="4"/>
      <c r="F118" s="4"/>
      <c r="G118" s="4"/>
      <c r="H118" s="4"/>
      <c r="I118" s="55" t="s">
        <v>121</v>
      </c>
      <c r="J118" s="55"/>
      <c r="K118" s="55"/>
      <c r="L118" s="55"/>
      <c r="M118" s="61"/>
      <c r="N118" s="55"/>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t="s">
        <v>149</v>
      </c>
      <c r="N121" s="77"/>
      <c r="O121" s="74" t="s">
        <v>164</v>
      </c>
      <c r="P121" s="75" t="s">
        <v>150</v>
      </c>
      <c r="Q121" s="76" t="s">
        <v>1</v>
      </c>
      <c r="R121" s="76" t="s">
        <v>165</v>
      </c>
      <c r="S121" s="76" t="s">
        <v>145</v>
      </c>
      <c r="T121" s="76" t="s">
        <v>146</v>
      </c>
      <c r="U121" s="77" t="s">
        <v>121</v>
      </c>
    </row>
    <row r="122" spans="1:21" ht="13.2">
      <c r="A122" s="56" t="s">
        <v>147</v>
      </c>
      <c r="B122" s="80"/>
      <c r="C122" s="81">
        <v>1</v>
      </c>
      <c r="D122" s="82" t="s">
        <v>236</v>
      </c>
      <c r="E122" s="83">
        <v>74.849999999999994</v>
      </c>
      <c r="F122" s="81" t="s">
        <v>234</v>
      </c>
      <c r="G122" s="81">
        <v>5</v>
      </c>
      <c r="H122" s="81" t="s">
        <v>121</v>
      </c>
      <c r="I122" s="84" t="s">
        <v>121</v>
      </c>
      <c r="J122" s="85"/>
      <c r="K122" s="85"/>
      <c r="L122" s="85"/>
      <c r="M122" s="86" t="s">
        <v>149</v>
      </c>
      <c r="N122" s="80"/>
      <c r="O122" s="81">
        <v>1</v>
      </c>
      <c r="P122" s="82" t="s">
        <v>237</v>
      </c>
      <c r="Q122" s="83">
        <v>55.55</v>
      </c>
      <c r="R122" s="81" t="s">
        <v>235</v>
      </c>
      <c r="S122" s="81" t="s">
        <v>121</v>
      </c>
      <c r="T122" s="81">
        <v>5</v>
      </c>
      <c r="U122" s="84" t="s">
        <v>121</v>
      </c>
    </row>
    <row r="123" spans="1:21" ht="13.2">
      <c r="A123" s="56" t="s">
        <v>147</v>
      </c>
      <c r="B123" s="80"/>
      <c r="C123" s="81">
        <v>2</v>
      </c>
      <c r="D123" s="82" t="s">
        <v>238</v>
      </c>
      <c r="E123" s="87">
        <v>65.95</v>
      </c>
      <c r="F123" s="81" t="s">
        <v>234</v>
      </c>
      <c r="G123" s="81">
        <v>3</v>
      </c>
      <c r="H123" s="81" t="s">
        <v>121</v>
      </c>
      <c r="I123" s="84" t="s">
        <v>121</v>
      </c>
      <c r="J123" s="85"/>
      <c r="K123" s="85"/>
      <c r="L123" s="85"/>
      <c r="M123" s="86" t="s">
        <v>149</v>
      </c>
      <c r="N123" s="80"/>
      <c r="O123" s="81">
        <v>2</v>
      </c>
      <c r="P123" s="82" t="s">
        <v>239</v>
      </c>
      <c r="Q123" s="87">
        <v>55.4</v>
      </c>
      <c r="R123" s="81" t="s">
        <v>234</v>
      </c>
      <c r="S123" s="81">
        <v>3</v>
      </c>
      <c r="T123" s="81" t="s">
        <v>121</v>
      </c>
      <c r="U123" s="84" t="s">
        <v>121</v>
      </c>
    </row>
    <row r="124" spans="1:21" ht="13.2">
      <c r="A124" s="56" t="s">
        <v>147</v>
      </c>
      <c r="B124" s="80"/>
      <c r="C124" s="81">
        <v>3</v>
      </c>
      <c r="D124" s="82" t="s">
        <v>240</v>
      </c>
      <c r="E124" s="87">
        <v>61.1</v>
      </c>
      <c r="F124" s="81" t="s">
        <v>234</v>
      </c>
      <c r="G124" s="81">
        <v>1</v>
      </c>
      <c r="H124" s="81" t="s">
        <v>121</v>
      </c>
      <c r="I124" s="84" t="s">
        <v>121</v>
      </c>
      <c r="J124" s="85"/>
      <c r="K124" s="85"/>
      <c r="L124" s="85"/>
      <c r="M124" s="86" t="s">
        <v>149</v>
      </c>
      <c r="N124" s="80"/>
      <c r="O124" s="81">
        <v>3</v>
      </c>
      <c r="P124" s="82" t="s">
        <v>241</v>
      </c>
      <c r="Q124" s="87">
        <v>49.5</v>
      </c>
      <c r="R124" s="81" t="s">
        <v>234</v>
      </c>
      <c r="S124" s="81">
        <v>1</v>
      </c>
      <c r="T124" s="81" t="s">
        <v>121</v>
      </c>
      <c r="U124" s="84" t="s">
        <v>121</v>
      </c>
    </row>
    <row r="125" spans="1:21" ht="13.2">
      <c r="A125" s="56" t="s">
        <v>147</v>
      </c>
      <c r="B125" s="80"/>
      <c r="C125" s="81">
        <v>4</v>
      </c>
      <c r="D125" s="82" t="s">
        <v>242</v>
      </c>
      <c r="E125" s="87">
        <v>60</v>
      </c>
      <c r="F125" s="81" t="s">
        <v>234</v>
      </c>
      <c r="G125" s="81" t="s">
        <v>121</v>
      </c>
      <c r="H125" s="81" t="s">
        <v>121</v>
      </c>
      <c r="I125" s="84" t="s">
        <v>121</v>
      </c>
      <c r="J125" s="85"/>
      <c r="K125" s="85"/>
      <c r="L125" s="85"/>
      <c r="M125" s="86" t="s">
        <v>149</v>
      </c>
      <c r="N125" s="80"/>
      <c r="O125" s="81">
        <v>4</v>
      </c>
      <c r="P125" s="82" t="s">
        <v>243</v>
      </c>
      <c r="Q125" s="87">
        <v>43.15</v>
      </c>
      <c r="R125" s="81" t="s">
        <v>235</v>
      </c>
      <c r="S125" s="81" t="s">
        <v>121</v>
      </c>
      <c r="T125" s="81" t="s">
        <v>121</v>
      </c>
      <c r="U125" s="84" t="s">
        <v>121</v>
      </c>
    </row>
    <row r="126" spans="1:21" ht="13.2">
      <c r="A126" s="56" t="s">
        <v>147</v>
      </c>
      <c r="B126" s="80"/>
      <c r="C126" s="81">
        <v>5</v>
      </c>
      <c r="D126" s="82" t="s">
        <v>244</v>
      </c>
      <c r="E126" s="87">
        <v>43.75</v>
      </c>
      <c r="F126" s="81" t="s">
        <v>235</v>
      </c>
      <c r="G126" s="81" t="s">
        <v>121</v>
      </c>
      <c r="H126" s="81" t="s">
        <v>121</v>
      </c>
      <c r="I126" s="84" t="s">
        <v>121</v>
      </c>
      <c r="J126" s="85"/>
      <c r="K126" s="85"/>
      <c r="L126" s="85"/>
      <c r="M126" s="86" t="s">
        <v>149</v>
      </c>
      <c r="N126" s="80"/>
      <c r="O126" s="81">
        <v>5</v>
      </c>
      <c r="P126" s="82" t="s">
        <v>245</v>
      </c>
      <c r="Q126" s="87">
        <v>42.2</v>
      </c>
      <c r="R126" s="81" t="s">
        <v>235</v>
      </c>
      <c r="S126" s="81" t="s">
        <v>121</v>
      </c>
      <c r="T126" s="81" t="s">
        <v>121</v>
      </c>
      <c r="U126" s="84" t="s">
        <v>121</v>
      </c>
    </row>
    <row r="127" spans="1:21" ht="13.2">
      <c r="A127" s="56" t="s">
        <v>147</v>
      </c>
      <c r="B127" s="80"/>
      <c r="C127" s="81">
        <v>6</v>
      </c>
      <c r="D127" s="82" t="s">
        <v>246</v>
      </c>
      <c r="E127" s="87">
        <v>33.9</v>
      </c>
      <c r="F127" s="81" t="s">
        <v>235</v>
      </c>
      <c r="G127" s="81" t="s">
        <v>121</v>
      </c>
      <c r="H127" s="81" t="s">
        <v>121</v>
      </c>
      <c r="I127" s="84" t="s">
        <v>121</v>
      </c>
      <c r="J127" s="85"/>
      <c r="K127" s="85"/>
      <c r="L127" s="85"/>
      <c r="M127" s="86" t="s">
        <v>149</v>
      </c>
      <c r="N127" s="80"/>
      <c r="O127" s="81">
        <v>6</v>
      </c>
      <c r="P127" s="82" t="s">
        <v>247</v>
      </c>
      <c r="Q127" s="87">
        <v>42.05</v>
      </c>
      <c r="R127" s="81" t="s">
        <v>234</v>
      </c>
      <c r="S127" s="81" t="s">
        <v>121</v>
      </c>
      <c r="T127" s="81" t="s">
        <v>121</v>
      </c>
      <c r="U127" s="84" t="s">
        <v>121</v>
      </c>
    </row>
    <row r="128" spans="1:21" ht="13.2">
      <c r="A128" s="56" t="s">
        <v>147</v>
      </c>
      <c r="B128" s="80"/>
      <c r="C128" s="81">
        <v>7</v>
      </c>
      <c r="D128" s="82" t="s">
        <v>248</v>
      </c>
      <c r="E128" s="87">
        <v>27.25</v>
      </c>
      <c r="F128" s="81" t="s">
        <v>235</v>
      </c>
      <c r="G128" s="81" t="s">
        <v>121</v>
      </c>
      <c r="H128" s="81" t="s">
        <v>121</v>
      </c>
      <c r="I128" s="84" t="s">
        <v>121</v>
      </c>
      <c r="J128" s="85"/>
      <c r="K128" s="85"/>
      <c r="L128" s="85"/>
      <c r="M128" s="86" t="s">
        <v>149</v>
      </c>
      <c r="N128" s="80"/>
      <c r="O128" s="81">
        <v>7</v>
      </c>
      <c r="P128" s="82" t="s">
        <v>249</v>
      </c>
      <c r="Q128" s="87">
        <v>40.9</v>
      </c>
      <c r="R128" s="81" t="s">
        <v>234</v>
      </c>
      <c r="S128" s="81" t="s">
        <v>121</v>
      </c>
      <c r="T128" s="81" t="s">
        <v>121</v>
      </c>
      <c r="U128" s="84" t="s">
        <v>121</v>
      </c>
    </row>
    <row r="129" spans="1:21" ht="13.2">
      <c r="A129" s="56" t="s">
        <v>147</v>
      </c>
      <c r="B129" s="80"/>
      <c r="C129" s="81">
        <v>8</v>
      </c>
      <c r="D129" s="88" t="s">
        <v>250</v>
      </c>
      <c r="E129" s="87">
        <v>24.75</v>
      </c>
      <c r="F129" s="81" t="s">
        <v>235</v>
      </c>
      <c r="G129" s="81" t="s">
        <v>121</v>
      </c>
      <c r="H129" s="81" t="s">
        <v>121</v>
      </c>
      <c r="I129" s="84" t="s">
        <v>121</v>
      </c>
      <c r="J129" s="85"/>
      <c r="K129" s="85"/>
      <c r="L129" s="85"/>
      <c r="M129" s="86" t="s">
        <v>149</v>
      </c>
      <c r="N129" s="80"/>
      <c r="O129" s="81">
        <v>8</v>
      </c>
      <c r="P129" s="82" t="s">
        <v>251</v>
      </c>
      <c r="Q129" s="87">
        <v>31.7</v>
      </c>
      <c r="R129" s="81" t="s">
        <v>234</v>
      </c>
      <c r="S129" s="81" t="s">
        <v>121</v>
      </c>
      <c r="T129" s="81" t="s">
        <v>121</v>
      </c>
      <c r="U129" s="84" t="s">
        <v>121</v>
      </c>
    </row>
    <row r="130" spans="1:21" ht="13.2">
      <c r="A130" s="56" t="s">
        <v>147</v>
      </c>
      <c r="B130" s="80"/>
      <c r="C130" s="81">
        <v>9</v>
      </c>
      <c r="D130" s="88" t="s">
        <v>252</v>
      </c>
      <c r="E130" s="87">
        <v>20.95</v>
      </c>
      <c r="F130" s="81" t="s">
        <v>234</v>
      </c>
      <c r="G130" s="81" t="s">
        <v>121</v>
      </c>
      <c r="H130" s="81" t="s">
        <v>121</v>
      </c>
      <c r="I130" s="84" t="s">
        <v>121</v>
      </c>
      <c r="J130" s="85"/>
      <c r="K130" s="85"/>
      <c r="L130" s="85"/>
      <c r="M130" s="86" t="s">
        <v>121</v>
      </c>
      <c r="N130" s="80"/>
      <c r="O130" s="81" t="s">
        <v>121</v>
      </c>
      <c r="P130" s="82"/>
      <c r="Q130" s="87" t="s">
        <v>121</v>
      </c>
      <c r="R130" s="81"/>
      <c r="S130" s="81" t="s">
        <v>121</v>
      </c>
      <c r="T130" s="81" t="s">
        <v>121</v>
      </c>
      <c r="U130" s="84" t="s">
        <v>121</v>
      </c>
    </row>
    <row r="131" spans="1:21" ht="13.2">
      <c r="A131" s="56" t="s">
        <v>147</v>
      </c>
      <c r="B131" s="80"/>
      <c r="C131" s="81">
        <v>10</v>
      </c>
      <c r="D131" s="88" t="s">
        <v>253</v>
      </c>
      <c r="E131" s="87">
        <v>14</v>
      </c>
      <c r="F131" s="81" t="s">
        <v>235</v>
      </c>
      <c r="G131" s="81" t="s">
        <v>121</v>
      </c>
      <c r="H131" s="81" t="s">
        <v>121</v>
      </c>
      <c r="I131" s="84" t="s">
        <v>121</v>
      </c>
      <c r="J131" s="85"/>
      <c r="K131" s="85"/>
      <c r="L131" s="85"/>
      <c r="M131" s="86" t="s">
        <v>121</v>
      </c>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t="s">
        <v>121</v>
      </c>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t="s">
        <v>121</v>
      </c>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t="s">
        <v>121</v>
      </c>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t="s">
        <v>121</v>
      </c>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t="s">
        <v>121</v>
      </c>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t="s">
        <v>121</v>
      </c>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t="s">
        <v>121</v>
      </c>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t="s">
        <v>121</v>
      </c>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t="s">
        <v>121</v>
      </c>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t="s">
        <v>121</v>
      </c>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t="s">
        <v>121</v>
      </c>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t="s">
        <v>121</v>
      </c>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t="s">
        <v>121</v>
      </c>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t="s">
        <v>121</v>
      </c>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t="s">
        <v>121</v>
      </c>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9</v>
      </c>
      <c r="H147" s="90">
        <v>0</v>
      </c>
      <c r="I147" s="84" t="s">
        <v>121</v>
      </c>
      <c r="J147" s="85"/>
      <c r="K147" s="85"/>
      <c r="L147" s="85"/>
      <c r="M147" s="86" t="s">
        <v>121</v>
      </c>
      <c r="N147" s="80"/>
      <c r="O147" s="230" t="s">
        <v>185</v>
      </c>
      <c r="P147" s="227"/>
      <c r="Q147" s="227"/>
      <c r="R147" s="227"/>
      <c r="S147" s="90">
        <v>4</v>
      </c>
      <c r="T147" s="90">
        <v>5</v>
      </c>
      <c r="U147" s="84" t="s">
        <v>121</v>
      </c>
    </row>
    <row r="148" spans="1:21" ht="13.2">
      <c r="A148" s="56" t="s">
        <v>121</v>
      </c>
      <c r="B148" s="85"/>
      <c r="C148" s="85"/>
      <c r="D148" s="85"/>
      <c r="E148" s="85"/>
      <c r="F148" s="85"/>
      <c r="G148" s="85"/>
      <c r="H148" s="85"/>
      <c r="I148" s="85" t="s">
        <v>121</v>
      </c>
      <c r="J148" s="85"/>
      <c r="K148" s="85"/>
      <c r="L148" s="85"/>
      <c r="M148" s="86" t="s">
        <v>121</v>
      </c>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t="s">
        <v>121</v>
      </c>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t="s">
        <v>153</v>
      </c>
      <c r="N150" s="96"/>
      <c r="O150" s="93" t="s">
        <v>164</v>
      </c>
      <c r="P150" s="94" t="s">
        <v>154</v>
      </c>
      <c r="Q150" s="95" t="s">
        <v>1</v>
      </c>
      <c r="R150" s="95" t="s">
        <v>165</v>
      </c>
      <c r="S150" s="95" t="s">
        <v>145</v>
      </c>
      <c r="T150" s="95" t="s">
        <v>146</v>
      </c>
      <c r="U150" s="96" t="s">
        <v>121</v>
      </c>
    </row>
    <row r="151" spans="1:21" ht="13.2">
      <c r="A151" s="56" t="s">
        <v>151</v>
      </c>
      <c r="B151" s="99"/>
      <c r="C151" s="81">
        <v>1</v>
      </c>
      <c r="D151" s="82" t="s">
        <v>254</v>
      </c>
      <c r="E151" s="83">
        <v>75.7</v>
      </c>
      <c r="F151" s="81" t="s">
        <v>234</v>
      </c>
      <c r="G151" s="81">
        <v>5</v>
      </c>
      <c r="H151" s="81" t="s">
        <v>121</v>
      </c>
      <c r="I151" s="100" t="s">
        <v>121</v>
      </c>
      <c r="J151" s="85"/>
      <c r="K151" s="85"/>
      <c r="L151" s="85"/>
      <c r="M151" s="86" t="s">
        <v>153</v>
      </c>
      <c r="N151" s="99"/>
      <c r="O151" s="81">
        <v>1</v>
      </c>
      <c r="P151" s="82" t="s">
        <v>255</v>
      </c>
      <c r="Q151" s="83">
        <v>57.45</v>
      </c>
      <c r="R151" s="81" t="s">
        <v>234</v>
      </c>
      <c r="S151" s="81">
        <v>5</v>
      </c>
      <c r="T151" s="81" t="s">
        <v>121</v>
      </c>
      <c r="U151" s="100" t="s">
        <v>121</v>
      </c>
    </row>
    <row r="152" spans="1:21" ht="13.2">
      <c r="A152" s="56" t="s">
        <v>151</v>
      </c>
      <c r="B152" s="99"/>
      <c r="C152" s="81">
        <v>2</v>
      </c>
      <c r="D152" s="82" t="s">
        <v>256</v>
      </c>
      <c r="E152" s="87">
        <v>72.75</v>
      </c>
      <c r="F152" s="81" t="s">
        <v>235</v>
      </c>
      <c r="G152" s="81" t="s">
        <v>121</v>
      </c>
      <c r="H152" s="81">
        <v>3</v>
      </c>
      <c r="I152" s="100" t="s">
        <v>121</v>
      </c>
      <c r="J152" s="85"/>
      <c r="K152" s="85"/>
      <c r="L152" s="85"/>
      <c r="M152" s="86" t="s">
        <v>153</v>
      </c>
      <c r="N152" s="99"/>
      <c r="O152" s="81">
        <v>2</v>
      </c>
      <c r="P152" s="82" t="s">
        <v>257</v>
      </c>
      <c r="Q152" s="87">
        <v>53.25</v>
      </c>
      <c r="R152" s="81" t="s">
        <v>234</v>
      </c>
      <c r="S152" s="81">
        <v>3</v>
      </c>
      <c r="T152" s="81" t="s">
        <v>121</v>
      </c>
      <c r="U152" s="100" t="s">
        <v>123</v>
      </c>
    </row>
    <row r="153" spans="1:21" ht="13.2">
      <c r="A153" s="56" t="s">
        <v>151</v>
      </c>
      <c r="B153" s="99"/>
      <c r="C153" s="81">
        <v>3</v>
      </c>
      <c r="D153" s="82" t="s">
        <v>258</v>
      </c>
      <c r="E153" s="87">
        <v>66.25</v>
      </c>
      <c r="F153" s="81" t="s">
        <v>234</v>
      </c>
      <c r="G153" s="81">
        <v>1</v>
      </c>
      <c r="H153" s="81" t="s">
        <v>121</v>
      </c>
      <c r="I153" s="100" t="s">
        <v>121</v>
      </c>
      <c r="J153" s="85"/>
      <c r="K153" s="85"/>
      <c r="L153" s="85"/>
      <c r="M153" s="86" t="s">
        <v>121</v>
      </c>
      <c r="N153" s="99"/>
      <c r="O153" s="81" t="s">
        <v>121</v>
      </c>
      <c r="P153" s="82"/>
      <c r="Q153" s="87" t="s">
        <v>121</v>
      </c>
      <c r="R153" s="81"/>
      <c r="S153" s="81" t="s">
        <v>121</v>
      </c>
      <c r="T153" s="81" t="s">
        <v>121</v>
      </c>
      <c r="U153" s="100" t="s">
        <v>121</v>
      </c>
    </row>
    <row r="154" spans="1:21" ht="13.2">
      <c r="A154" s="56" t="s">
        <v>151</v>
      </c>
      <c r="B154" s="99"/>
      <c r="C154" s="81">
        <v>4</v>
      </c>
      <c r="D154" s="82" t="s">
        <v>259</v>
      </c>
      <c r="E154" s="87">
        <v>61.1</v>
      </c>
      <c r="F154" s="81" t="s">
        <v>234</v>
      </c>
      <c r="G154" s="81" t="s">
        <v>121</v>
      </c>
      <c r="H154" s="81" t="s">
        <v>121</v>
      </c>
      <c r="I154" s="100" t="s">
        <v>121</v>
      </c>
      <c r="J154" s="85"/>
      <c r="K154" s="85"/>
      <c r="L154" s="85"/>
      <c r="M154" s="86" t="s">
        <v>121</v>
      </c>
      <c r="N154" s="99"/>
      <c r="O154" s="81" t="s">
        <v>121</v>
      </c>
      <c r="P154" s="82"/>
      <c r="Q154" s="87" t="s">
        <v>121</v>
      </c>
      <c r="R154" s="81"/>
      <c r="S154" s="81" t="s">
        <v>121</v>
      </c>
      <c r="T154" s="81" t="s">
        <v>121</v>
      </c>
      <c r="U154" s="100" t="s">
        <v>121</v>
      </c>
    </row>
    <row r="155" spans="1:21" ht="13.2">
      <c r="A155" s="56" t="s">
        <v>151</v>
      </c>
      <c r="B155" s="99"/>
      <c r="C155" s="81">
        <v>5</v>
      </c>
      <c r="D155" s="82" t="s">
        <v>260</v>
      </c>
      <c r="E155" s="87">
        <v>48.85</v>
      </c>
      <c r="F155" s="81" t="s">
        <v>234</v>
      </c>
      <c r="G155" s="81" t="s">
        <v>121</v>
      </c>
      <c r="H155" s="81" t="s">
        <v>121</v>
      </c>
      <c r="I155" s="100" t="s">
        <v>121</v>
      </c>
      <c r="J155" s="85"/>
      <c r="K155" s="85"/>
      <c r="L155" s="85"/>
      <c r="M155" s="86" t="s">
        <v>121</v>
      </c>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t="s">
        <v>121</v>
      </c>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t="s">
        <v>121</v>
      </c>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t="s">
        <v>121</v>
      </c>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t="s">
        <v>121</v>
      </c>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t="s">
        <v>121</v>
      </c>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t="s">
        <v>121</v>
      </c>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t="s">
        <v>121</v>
      </c>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t="s">
        <v>121</v>
      </c>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t="s">
        <v>121</v>
      </c>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t="s">
        <v>121</v>
      </c>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6</v>
      </c>
      <c r="H166" s="90">
        <v>3</v>
      </c>
      <c r="I166" s="100" t="s">
        <v>121</v>
      </c>
      <c r="J166" s="85"/>
      <c r="K166" s="85"/>
      <c r="L166" s="85"/>
      <c r="M166" s="86" t="s">
        <v>121</v>
      </c>
      <c r="N166" s="99"/>
      <c r="O166" s="230" t="s">
        <v>200</v>
      </c>
      <c r="P166" s="227"/>
      <c r="Q166" s="227"/>
      <c r="R166" s="228"/>
      <c r="S166" s="90">
        <v>8</v>
      </c>
      <c r="T166" s="90">
        <v>0</v>
      </c>
      <c r="U166" s="100" t="s">
        <v>121</v>
      </c>
    </row>
    <row r="167" spans="1:21" ht="13.2">
      <c r="A167" s="56" t="s">
        <v>121</v>
      </c>
      <c r="B167" s="85"/>
      <c r="C167" s="85"/>
      <c r="D167" s="85"/>
      <c r="E167" s="85"/>
      <c r="F167" s="85"/>
      <c r="G167" s="85"/>
      <c r="H167" s="85"/>
      <c r="I167" s="85" t="s">
        <v>121</v>
      </c>
      <c r="J167" s="85"/>
      <c r="K167" s="85"/>
      <c r="L167" s="85"/>
      <c r="M167" s="86" t="s">
        <v>121</v>
      </c>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t="s">
        <v>121</v>
      </c>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t="s">
        <v>157</v>
      </c>
      <c r="N169" s="105"/>
      <c r="O169" s="102" t="s">
        <v>164</v>
      </c>
      <c r="P169" s="103" t="s">
        <v>158</v>
      </c>
      <c r="Q169" s="104" t="s">
        <v>1</v>
      </c>
      <c r="R169" s="104" t="s">
        <v>165</v>
      </c>
      <c r="S169" s="104" t="s">
        <v>145</v>
      </c>
      <c r="T169" s="104" t="s">
        <v>146</v>
      </c>
      <c r="U169" s="105" t="s">
        <v>121</v>
      </c>
    </row>
    <row r="170" spans="1:21" ht="13.2">
      <c r="A170" s="56" t="s">
        <v>155</v>
      </c>
      <c r="B170" s="80"/>
      <c r="C170" s="81">
        <v>1</v>
      </c>
      <c r="D170" s="82" t="s">
        <v>261</v>
      </c>
      <c r="E170" s="83">
        <v>133.80000000000001</v>
      </c>
      <c r="F170" s="81" t="s">
        <v>235</v>
      </c>
      <c r="G170" s="81" t="s">
        <v>121</v>
      </c>
      <c r="H170" s="81">
        <v>5</v>
      </c>
      <c r="I170" s="84" t="s">
        <v>121</v>
      </c>
      <c r="J170" s="85"/>
      <c r="K170" s="85"/>
      <c r="L170" s="85"/>
      <c r="M170" s="86" t="s">
        <v>157</v>
      </c>
      <c r="N170" s="80"/>
      <c r="O170" s="81">
        <v>1</v>
      </c>
      <c r="P170" s="82" t="s">
        <v>262</v>
      </c>
      <c r="Q170" s="83">
        <v>94.9</v>
      </c>
      <c r="R170" s="81" t="s">
        <v>234</v>
      </c>
      <c r="S170" s="81">
        <v>5</v>
      </c>
      <c r="T170" s="81" t="s">
        <v>121</v>
      </c>
      <c r="U170" s="84" t="s">
        <v>121</v>
      </c>
    </row>
    <row r="171" spans="1:21" ht="13.2">
      <c r="A171" s="56" t="s">
        <v>155</v>
      </c>
      <c r="B171" s="80"/>
      <c r="C171" s="81">
        <v>2</v>
      </c>
      <c r="D171" s="82" t="s">
        <v>263</v>
      </c>
      <c r="E171" s="87">
        <v>92.55</v>
      </c>
      <c r="F171" s="81" t="s">
        <v>234</v>
      </c>
      <c r="G171" s="81">
        <v>3</v>
      </c>
      <c r="H171" s="81" t="s">
        <v>121</v>
      </c>
      <c r="I171" s="84" t="s">
        <v>121</v>
      </c>
      <c r="J171" s="85"/>
      <c r="K171" s="85"/>
      <c r="L171" s="85"/>
      <c r="M171" s="86" t="s">
        <v>157</v>
      </c>
      <c r="N171" s="80"/>
      <c r="O171" s="81">
        <v>2</v>
      </c>
      <c r="P171" s="82" t="s">
        <v>264</v>
      </c>
      <c r="Q171" s="87">
        <v>72.2</v>
      </c>
      <c r="R171" s="81" t="s">
        <v>235</v>
      </c>
      <c r="S171" s="81" t="s">
        <v>121</v>
      </c>
      <c r="T171" s="81">
        <v>3</v>
      </c>
      <c r="U171" s="84" t="s">
        <v>121</v>
      </c>
    </row>
    <row r="172" spans="1:21" ht="13.2">
      <c r="A172" s="56" t="s">
        <v>155</v>
      </c>
      <c r="B172" s="80"/>
      <c r="C172" s="81">
        <v>3</v>
      </c>
      <c r="D172" s="82" t="s">
        <v>265</v>
      </c>
      <c r="E172" s="87">
        <v>64.150000000000006</v>
      </c>
      <c r="F172" s="81" t="s">
        <v>234</v>
      </c>
      <c r="G172" s="81">
        <v>1</v>
      </c>
      <c r="H172" s="81" t="s">
        <v>121</v>
      </c>
      <c r="I172" s="84" t="s">
        <v>121</v>
      </c>
      <c r="J172" s="85"/>
      <c r="K172" s="85"/>
      <c r="L172" s="85"/>
      <c r="M172" s="86" t="s">
        <v>157</v>
      </c>
      <c r="N172" s="80"/>
      <c r="O172" s="81">
        <v>3</v>
      </c>
      <c r="P172" s="82" t="s">
        <v>266</v>
      </c>
      <c r="Q172" s="87">
        <v>63.5</v>
      </c>
      <c r="R172" s="81" t="s">
        <v>235</v>
      </c>
      <c r="S172" s="81" t="s">
        <v>121</v>
      </c>
      <c r="T172" s="81">
        <v>1</v>
      </c>
      <c r="U172" s="84" t="s">
        <v>121</v>
      </c>
    </row>
    <row r="173" spans="1:21" ht="13.2">
      <c r="A173" s="56" t="s">
        <v>121</v>
      </c>
      <c r="B173" s="80"/>
      <c r="C173" s="81" t="s">
        <v>121</v>
      </c>
      <c r="D173" s="82"/>
      <c r="E173" s="87" t="s">
        <v>121</v>
      </c>
      <c r="F173" s="81"/>
      <c r="G173" s="81" t="s">
        <v>121</v>
      </c>
      <c r="H173" s="81" t="s">
        <v>121</v>
      </c>
      <c r="I173" s="84" t="s">
        <v>121</v>
      </c>
      <c r="J173" s="85"/>
      <c r="K173" s="85"/>
      <c r="L173" s="85"/>
      <c r="M173" s="86" t="s">
        <v>157</v>
      </c>
      <c r="N173" s="80"/>
      <c r="O173" s="81">
        <v>4</v>
      </c>
      <c r="P173" s="82" t="s">
        <v>267</v>
      </c>
      <c r="Q173" s="87">
        <v>53.15</v>
      </c>
      <c r="R173" s="81" t="s">
        <v>235</v>
      </c>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t="s">
        <v>157</v>
      </c>
      <c r="N174" s="80"/>
      <c r="O174" s="81">
        <v>5</v>
      </c>
      <c r="P174" s="82" t="s">
        <v>268</v>
      </c>
      <c r="Q174" s="87">
        <v>52.7</v>
      </c>
      <c r="R174" s="81" t="s">
        <v>235</v>
      </c>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t="s">
        <v>121</v>
      </c>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t="s">
        <v>121</v>
      </c>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t="s">
        <v>121</v>
      </c>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t="s">
        <v>121</v>
      </c>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t="s">
        <v>121</v>
      </c>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4</v>
      </c>
      <c r="H180" s="90">
        <v>5</v>
      </c>
      <c r="I180" s="84" t="s">
        <v>121</v>
      </c>
      <c r="J180" s="85"/>
      <c r="K180" s="85"/>
      <c r="L180" s="85"/>
      <c r="M180" s="86" t="s">
        <v>121</v>
      </c>
      <c r="N180" s="80"/>
      <c r="O180" s="230" t="s">
        <v>211</v>
      </c>
      <c r="P180" s="227"/>
      <c r="Q180" s="227"/>
      <c r="R180" s="227"/>
      <c r="S180" s="90">
        <v>5</v>
      </c>
      <c r="T180" s="90">
        <v>4</v>
      </c>
      <c r="U180" s="84" t="s">
        <v>121</v>
      </c>
    </row>
    <row r="181" spans="1:21" ht="13.2">
      <c r="A181" s="56" t="s">
        <v>121</v>
      </c>
      <c r="B181" s="85"/>
      <c r="C181" s="85"/>
      <c r="D181" s="85"/>
      <c r="E181" s="85"/>
      <c r="F181" s="85"/>
      <c r="G181" s="85"/>
      <c r="H181" s="85"/>
      <c r="I181" s="85" t="s">
        <v>121</v>
      </c>
      <c r="J181" s="85"/>
      <c r="K181" s="85"/>
      <c r="L181" s="85"/>
      <c r="M181" s="86" t="s">
        <v>121</v>
      </c>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t="s">
        <v>121</v>
      </c>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t="s">
        <v>161</v>
      </c>
      <c r="N183" s="96"/>
      <c r="O183" s="93" t="s">
        <v>164</v>
      </c>
      <c r="P183" s="94" t="s">
        <v>162</v>
      </c>
      <c r="Q183" s="95" t="s">
        <v>1</v>
      </c>
      <c r="R183" s="95" t="s">
        <v>165</v>
      </c>
      <c r="S183" s="95" t="s">
        <v>145</v>
      </c>
      <c r="T183" s="95" t="s">
        <v>146</v>
      </c>
      <c r="U183" s="96" t="s">
        <v>121</v>
      </c>
    </row>
    <row r="184" spans="1:21" ht="13.2">
      <c r="A184" s="56" t="s">
        <v>159</v>
      </c>
      <c r="B184" s="99"/>
      <c r="C184" s="81">
        <v>1</v>
      </c>
      <c r="D184" s="82" t="s">
        <v>269</v>
      </c>
      <c r="E184" s="83">
        <v>272.75</v>
      </c>
      <c r="F184" s="81" t="s">
        <v>235</v>
      </c>
      <c r="G184" s="81" t="s">
        <v>121</v>
      </c>
      <c r="H184" s="81">
        <v>5</v>
      </c>
      <c r="I184" s="100" t="s">
        <v>121</v>
      </c>
      <c r="J184" s="85"/>
      <c r="K184" s="85"/>
      <c r="L184" s="85"/>
      <c r="M184" s="86" t="s">
        <v>161</v>
      </c>
      <c r="N184" s="99"/>
      <c r="O184" s="81">
        <v>1</v>
      </c>
      <c r="P184" s="82" t="s">
        <v>270</v>
      </c>
      <c r="Q184" s="83">
        <v>260.10000000000002</v>
      </c>
      <c r="R184" s="81" t="s">
        <v>234</v>
      </c>
      <c r="S184" s="81">
        <v>5</v>
      </c>
      <c r="T184" s="81" t="s">
        <v>121</v>
      </c>
      <c r="U184" s="100" t="s">
        <v>121</v>
      </c>
    </row>
    <row r="185" spans="1:21" ht="13.2">
      <c r="A185" s="56" t="s">
        <v>159</v>
      </c>
      <c r="B185" s="99"/>
      <c r="C185" s="81">
        <v>2</v>
      </c>
      <c r="D185" s="82" t="s">
        <v>271</v>
      </c>
      <c r="E185" s="87">
        <v>219.15</v>
      </c>
      <c r="F185" s="81" t="s">
        <v>234</v>
      </c>
      <c r="G185" s="81">
        <v>3</v>
      </c>
      <c r="H185" s="81" t="s">
        <v>121</v>
      </c>
      <c r="I185" s="100" t="s">
        <v>121</v>
      </c>
      <c r="J185" s="85"/>
      <c r="K185" s="85"/>
      <c r="L185" s="85"/>
      <c r="M185" s="86" t="s">
        <v>161</v>
      </c>
      <c r="N185" s="99"/>
      <c r="O185" s="81">
        <v>2</v>
      </c>
      <c r="P185" s="82" t="s">
        <v>272</v>
      </c>
      <c r="Q185" s="87">
        <v>222.5</v>
      </c>
      <c r="R185" s="81" t="s">
        <v>235</v>
      </c>
      <c r="S185" s="81" t="s">
        <v>121</v>
      </c>
      <c r="T185" s="81">
        <v>3</v>
      </c>
      <c r="U185" s="100" t="s">
        <v>121</v>
      </c>
    </row>
    <row r="186" spans="1:21" ht="13.2">
      <c r="A186" s="56" t="s">
        <v>159</v>
      </c>
      <c r="B186" s="99"/>
      <c r="C186" s="81">
        <v>3</v>
      </c>
      <c r="D186" s="82" t="s">
        <v>273</v>
      </c>
      <c r="E186" s="87">
        <v>165.95</v>
      </c>
      <c r="F186" s="81" t="s">
        <v>234</v>
      </c>
      <c r="G186" s="81">
        <v>1</v>
      </c>
      <c r="H186" s="81" t="s">
        <v>121</v>
      </c>
      <c r="I186" s="100" t="s">
        <v>121</v>
      </c>
      <c r="J186" s="85"/>
      <c r="K186" s="85"/>
      <c r="L186" s="85"/>
      <c r="M186" s="86" t="s">
        <v>161</v>
      </c>
      <c r="N186" s="99"/>
      <c r="O186" s="81">
        <v>3</v>
      </c>
      <c r="P186" s="82" t="s">
        <v>274</v>
      </c>
      <c r="Q186" s="87">
        <v>187</v>
      </c>
      <c r="R186" s="81" t="s">
        <v>234</v>
      </c>
      <c r="S186" s="81">
        <v>1</v>
      </c>
      <c r="T186" s="81" t="s">
        <v>121</v>
      </c>
      <c r="U186" s="100" t="s">
        <v>121</v>
      </c>
    </row>
    <row r="187" spans="1:21" ht="13.2">
      <c r="A187" s="56" t="s">
        <v>159</v>
      </c>
      <c r="B187" s="99"/>
      <c r="C187" s="81">
        <v>4</v>
      </c>
      <c r="D187" s="82" t="s">
        <v>275</v>
      </c>
      <c r="E187" s="87">
        <v>159.30000000000001</v>
      </c>
      <c r="F187" s="81" t="s">
        <v>235</v>
      </c>
      <c r="G187" s="81" t="s">
        <v>121</v>
      </c>
      <c r="H187" s="81" t="s">
        <v>121</v>
      </c>
      <c r="I187" s="100" t="s">
        <v>121</v>
      </c>
      <c r="J187" s="85"/>
      <c r="K187" s="85"/>
      <c r="L187" s="85"/>
      <c r="M187" s="86" t="s">
        <v>161</v>
      </c>
      <c r="N187" s="99"/>
      <c r="O187" s="81">
        <v>4</v>
      </c>
      <c r="P187" s="82" t="s">
        <v>276</v>
      </c>
      <c r="Q187" s="87">
        <v>179.55</v>
      </c>
      <c r="R187" s="81" t="s">
        <v>234</v>
      </c>
      <c r="S187" s="81" t="s">
        <v>121</v>
      </c>
      <c r="T187" s="81" t="s">
        <v>121</v>
      </c>
      <c r="U187" s="100" t="s">
        <v>121</v>
      </c>
    </row>
    <row r="188" spans="1:21" ht="13.2">
      <c r="A188" s="56" t="s">
        <v>159</v>
      </c>
      <c r="B188" s="99"/>
      <c r="C188" s="81">
        <v>5</v>
      </c>
      <c r="D188" s="82" t="s">
        <v>277</v>
      </c>
      <c r="E188" s="87">
        <v>134.15</v>
      </c>
      <c r="F188" s="81" t="s">
        <v>235</v>
      </c>
      <c r="G188" s="81" t="s">
        <v>121</v>
      </c>
      <c r="H188" s="81" t="s">
        <v>121</v>
      </c>
      <c r="I188" s="100" t="s">
        <v>121</v>
      </c>
      <c r="J188" s="85"/>
      <c r="K188" s="85"/>
      <c r="L188" s="85"/>
      <c r="M188" s="86" t="s">
        <v>161</v>
      </c>
      <c r="N188" s="99"/>
      <c r="O188" s="81">
        <v>5</v>
      </c>
      <c r="P188" s="88" t="s">
        <v>278</v>
      </c>
      <c r="Q188" s="87">
        <v>176.9</v>
      </c>
      <c r="R188" s="81" t="s">
        <v>235</v>
      </c>
      <c r="S188" s="81" t="s">
        <v>121</v>
      </c>
      <c r="T188" s="81" t="s">
        <v>121</v>
      </c>
      <c r="U188" s="100" t="s">
        <v>121</v>
      </c>
    </row>
    <row r="189" spans="1:21" ht="13.2">
      <c r="A189" s="56" t="s">
        <v>159</v>
      </c>
      <c r="B189" s="99"/>
      <c r="C189" s="81">
        <v>6</v>
      </c>
      <c r="D189" s="82" t="s">
        <v>279</v>
      </c>
      <c r="E189" s="87">
        <v>99.75</v>
      </c>
      <c r="F189" s="81" t="s">
        <v>235</v>
      </c>
      <c r="G189" s="81" t="s">
        <v>121</v>
      </c>
      <c r="H189" s="81" t="s">
        <v>121</v>
      </c>
      <c r="I189" s="100" t="s">
        <v>121</v>
      </c>
      <c r="J189" s="85"/>
      <c r="K189" s="85"/>
      <c r="L189" s="85"/>
      <c r="M189" s="86" t="s">
        <v>161</v>
      </c>
      <c r="N189" s="99"/>
      <c r="O189" s="81">
        <v>6</v>
      </c>
      <c r="P189" s="88" t="s">
        <v>280</v>
      </c>
      <c r="Q189" s="87">
        <v>147.80000000000001</v>
      </c>
      <c r="R189" s="81" t="s">
        <v>234</v>
      </c>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t="s">
        <v>161</v>
      </c>
      <c r="N190" s="99"/>
      <c r="O190" s="81">
        <v>7</v>
      </c>
      <c r="P190" s="88" t="s">
        <v>281</v>
      </c>
      <c r="Q190" s="87">
        <v>127.2</v>
      </c>
      <c r="R190" s="81" t="s">
        <v>235</v>
      </c>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t="s">
        <v>161</v>
      </c>
      <c r="N191" s="99"/>
      <c r="O191" s="81">
        <v>8</v>
      </c>
      <c r="P191" s="88" t="s">
        <v>282</v>
      </c>
      <c r="Q191" s="87">
        <v>106.55</v>
      </c>
      <c r="R191" s="81" t="s">
        <v>235</v>
      </c>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t="s">
        <v>121</v>
      </c>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t="s">
        <v>121</v>
      </c>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4</v>
      </c>
      <c r="H194" s="90">
        <v>5</v>
      </c>
      <c r="I194" s="100" t="s">
        <v>121</v>
      </c>
      <c r="J194" s="85"/>
      <c r="K194" s="85"/>
      <c r="L194" s="85"/>
      <c r="M194" s="86" t="s">
        <v>121</v>
      </c>
      <c r="N194" s="99"/>
      <c r="O194" s="230" t="s">
        <v>221</v>
      </c>
      <c r="P194" s="227"/>
      <c r="Q194" s="227"/>
      <c r="R194" s="227"/>
      <c r="S194" s="90">
        <v>6</v>
      </c>
      <c r="T194" s="90">
        <v>3</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283</v>
      </c>
      <c r="R196" s="227"/>
      <c r="S196" s="227"/>
      <c r="T196" s="228"/>
      <c r="U196" s="4" t="s">
        <v>121</v>
      </c>
    </row>
    <row r="197" spans="1:21" ht="13.2">
      <c r="A197" s="56"/>
      <c r="B197" s="4"/>
      <c r="C197" s="249" t="s">
        <v>284</v>
      </c>
      <c r="D197" s="235"/>
      <c r="E197" s="235"/>
      <c r="F197" s="235"/>
      <c r="G197" s="235"/>
      <c r="H197" s="236"/>
      <c r="I197" s="85" t="s">
        <v>121</v>
      </c>
      <c r="J197" s="85"/>
      <c r="K197" s="85"/>
      <c r="L197" s="85"/>
      <c r="M197" s="86"/>
      <c r="N197" s="107"/>
      <c r="O197" s="110" t="s">
        <v>226</v>
      </c>
      <c r="P197" s="111"/>
      <c r="Q197" s="231" t="s">
        <v>285</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285</v>
      </c>
      <c r="F199" s="227"/>
      <c r="G199" s="227"/>
      <c r="H199" s="228"/>
      <c r="I199" s="85" t="s">
        <v>121</v>
      </c>
      <c r="J199" s="85"/>
      <c r="K199" s="85"/>
      <c r="L199" s="85"/>
      <c r="M199" s="86"/>
      <c r="N199" s="107"/>
      <c r="O199" s="112" t="s">
        <v>229</v>
      </c>
      <c r="P199" s="113"/>
      <c r="Q199" s="233" t="s">
        <v>286</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50"/>
      <c r="D201" s="235"/>
      <c r="E201" s="235"/>
      <c r="F201" s="235"/>
      <c r="G201" s="235"/>
      <c r="H201" s="236"/>
      <c r="I201" s="4" t="s">
        <v>121</v>
      </c>
      <c r="J201" s="4"/>
      <c r="K201" s="4"/>
      <c r="L201" s="4"/>
      <c r="M201" s="71"/>
      <c r="N201" s="109"/>
      <c r="O201" s="234"/>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36" customHeight="1">
      <c r="A209" s="56"/>
      <c r="B209" s="129"/>
      <c r="C209" s="251" t="s">
        <v>130</v>
      </c>
      <c r="D209" s="227"/>
      <c r="E209" s="252" t="s">
        <v>137</v>
      </c>
      <c r="F209" s="227"/>
      <c r="G209" s="228"/>
      <c r="H209" s="130" t="s">
        <v>287</v>
      </c>
      <c r="I209" s="131" t="s">
        <v>121</v>
      </c>
      <c r="J209" s="132"/>
      <c r="K209" s="132"/>
      <c r="L209" s="132"/>
      <c r="M209" s="133"/>
      <c r="N209" s="48"/>
      <c r="O209" s="244" t="s">
        <v>132</v>
      </c>
      <c r="P209" s="227"/>
      <c r="Q209" s="245" t="s">
        <v>138</v>
      </c>
      <c r="R209" s="227"/>
      <c r="S209" s="228"/>
      <c r="T209" s="134" t="s">
        <v>288</v>
      </c>
      <c r="U209" s="135" t="s">
        <v>121</v>
      </c>
    </row>
    <row r="210" spans="1:21" ht="17.399999999999999">
      <c r="A210" s="56"/>
      <c r="B210" s="136"/>
      <c r="C210" s="253" t="s">
        <v>1</v>
      </c>
      <c r="D210" s="228"/>
      <c r="E210" s="254">
        <v>39</v>
      </c>
      <c r="F210" s="227"/>
      <c r="G210" s="227"/>
      <c r="H210" s="137"/>
      <c r="I210" s="131" t="s">
        <v>121</v>
      </c>
      <c r="J210" s="138"/>
      <c r="K210" s="138"/>
      <c r="L210" s="138"/>
      <c r="M210" s="139"/>
      <c r="N210" s="48"/>
      <c r="O210" s="246" t="s">
        <v>1</v>
      </c>
      <c r="P210" s="228"/>
      <c r="Q210" s="247">
        <v>32</v>
      </c>
      <c r="R210" s="227"/>
      <c r="S210" s="227"/>
      <c r="T210" s="140"/>
      <c r="U210" s="135" t="s">
        <v>121</v>
      </c>
    </row>
    <row r="211" spans="1:21" ht="13.2">
      <c r="A211" s="56"/>
      <c r="B211" s="55"/>
      <c r="C211" s="55"/>
      <c r="D211" s="55"/>
      <c r="E211" s="55"/>
      <c r="F211" s="55"/>
      <c r="G211" s="55"/>
      <c r="H211" s="55"/>
      <c r="I211" s="55" t="s">
        <v>121</v>
      </c>
      <c r="J211" s="55"/>
      <c r="K211" s="55"/>
      <c r="L211" s="55"/>
      <c r="M211" s="61"/>
      <c r="N211" s="55"/>
      <c r="O211" s="55"/>
      <c r="P211" s="55"/>
      <c r="Q211" s="55"/>
      <c r="R211" s="55"/>
      <c r="S211" s="55"/>
      <c r="T211" s="55"/>
      <c r="U211" s="55" t="s">
        <v>121</v>
      </c>
    </row>
    <row r="212" spans="1:21" ht="13.2">
      <c r="A212" s="56"/>
      <c r="B212" s="55"/>
      <c r="C212" s="57"/>
      <c r="D212" s="58"/>
      <c r="E212" s="57"/>
      <c r="F212" s="57"/>
      <c r="G212" s="59" t="s">
        <v>145</v>
      </c>
      <c r="H212" s="60" t="s">
        <v>146</v>
      </c>
      <c r="I212" s="55" t="s">
        <v>121</v>
      </c>
      <c r="J212" s="55"/>
      <c r="K212" s="55"/>
      <c r="L212" s="55"/>
      <c r="M212" s="61"/>
      <c r="N212" s="55"/>
      <c r="O212" s="57"/>
      <c r="P212" s="58"/>
      <c r="Q212" s="57"/>
      <c r="R212" s="57"/>
      <c r="S212" s="59" t="s">
        <v>145</v>
      </c>
      <c r="T212" s="60" t="s">
        <v>146</v>
      </c>
      <c r="U212" s="55" t="s">
        <v>121</v>
      </c>
    </row>
    <row r="213" spans="1:21" ht="13.2">
      <c r="A213" s="56"/>
      <c r="B213" s="55"/>
      <c r="C213" s="62" t="s">
        <v>147</v>
      </c>
      <c r="D213" s="63" t="s">
        <v>148</v>
      </c>
      <c r="E213" s="57"/>
      <c r="F213" s="57"/>
      <c r="G213" s="64">
        <v>9</v>
      </c>
      <c r="H213" s="65">
        <v>0</v>
      </c>
      <c r="I213" s="55" t="s">
        <v>121</v>
      </c>
      <c r="J213" s="55"/>
      <c r="K213" s="55"/>
      <c r="L213" s="55"/>
      <c r="M213" s="61"/>
      <c r="N213" s="55"/>
      <c r="O213" s="62" t="s">
        <v>149</v>
      </c>
      <c r="P213" s="63" t="s">
        <v>150</v>
      </c>
      <c r="Q213" s="57"/>
      <c r="R213" s="57"/>
      <c r="S213" s="64">
        <v>3</v>
      </c>
      <c r="T213" s="65">
        <v>6</v>
      </c>
      <c r="U213" s="55" t="s">
        <v>121</v>
      </c>
    </row>
    <row r="214" spans="1:21" ht="13.2">
      <c r="A214" s="56"/>
      <c r="B214" s="55"/>
      <c r="C214" s="62" t="s">
        <v>151</v>
      </c>
      <c r="D214" s="63" t="s">
        <v>152</v>
      </c>
      <c r="E214" s="57"/>
      <c r="F214" s="57"/>
      <c r="G214" s="64">
        <v>6</v>
      </c>
      <c r="H214" s="65">
        <v>3</v>
      </c>
      <c r="I214" s="55" t="s">
        <v>121</v>
      </c>
      <c r="J214" s="55"/>
      <c r="K214" s="55"/>
      <c r="L214" s="55"/>
      <c r="M214" s="61"/>
      <c r="N214" s="55"/>
      <c r="O214" s="62" t="s">
        <v>153</v>
      </c>
      <c r="P214" s="63" t="s">
        <v>154</v>
      </c>
      <c r="Q214" s="57"/>
      <c r="R214" s="57"/>
      <c r="S214" s="64">
        <v>1</v>
      </c>
      <c r="T214" s="65">
        <v>8</v>
      </c>
      <c r="U214" s="55" t="s">
        <v>121</v>
      </c>
    </row>
    <row r="215" spans="1:21" ht="13.2">
      <c r="A215" s="56"/>
      <c r="B215" s="55"/>
      <c r="C215" s="62" t="s">
        <v>155</v>
      </c>
      <c r="D215" s="63" t="s">
        <v>156</v>
      </c>
      <c r="E215" s="57"/>
      <c r="F215" s="57"/>
      <c r="G215" s="64">
        <v>8</v>
      </c>
      <c r="H215" s="65">
        <v>1</v>
      </c>
      <c r="I215" s="55" t="s">
        <v>121</v>
      </c>
      <c r="J215" s="55"/>
      <c r="K215" s="55"/>
      <c r="L215" s="55"/>
      <c r="M215" s="61"/>
      <c r="N215" s="55"/>
      <c r="O215" s="62" t="s">
        <v>157</v>
      </c>
      <c r="P215" s="63" t="s">
        <v>158</v>
      </c>
      <c r="Q215" s="57"/>
      <c r="R215" s="57"/>
      <c r="S215" s="64">
        <v>3</v>
      </c>
      <c r="T215" s="65">
        <v>6</v>
      </c>
      <c r="U215" s="55" t="s">
        <v>121</v>
      </c>
    </row>
    <row r="216" spans="1:21" ht="13.2">
      <c r="A216" s="56"/>
      <c r="B216" s="55"/>
      <c r="C216" s="62" t="s">
        <v>159</v>
      </c>
      <c r="D216" s="63" t="s">
        <v>160</v>
      </c>
      <c r="E216" s="57"/>
      <c r="F216" s="57"/>
      <c r="G216" s="64">
        <v>6</v>
      </c>
      <c r="H216" s="65">
        <v>3</v>
      </c>
      <c r="I216" s="55" t="s">
        <v>121</v>
      </c>
      <c r="J216" s="55"/>
      <c r="K216" s="55"/>
      <c r="L216" s="55"/>
      <c r="M216" s="61"/>
      <c r="N216" s="55"/>
      <c r="O216" s="62" t="s">
        <v>161</v>
      </c>
      <c r="P216" s="63" t="s">
        <v>162</v>
      </c>
      <c r="Q216" s="57"/>
      <c r="R216" s="57"/>
      <c r="S216" s="64">
        <v>3</v>
      </c>
      <c r="T216" s="65">
        <v>5</v>
      </c>
      <c r="U216" s="55" t="s">
        <v>121</v>
      </c>
    </row>
    <row r="217" spans="1:21" ht="13.2">
      <c r="A217" s="56"/>
      <c r="B217" s="55"/>
      <c r="C217" s="66"/>
      <c r="D217" s="67" t="s">
        <v>163</v>
      </c>
      <c r="E217" s="68"/>
      <c r="F217" s="68"/>
      <c r="G217" s="69">
        <v>29</v>
      </c>
      <c r="H217" s="70">
        <v>7</v>
      </c>
      <c r="I217" s="55" t="s">
        <v>121</v>
      </c>
      <c r="J217" s="55"/>
      <c r="K217" s="55"/>
      <c r="L217" s="55"/>
      <c r="M217" s="61"/>
      <c r="N217" s="55"/>
      <c r="O217" s="66"/>
      <c r="P217" s="67" t="s">
        <v>163</v>
      </c>
      <c r="Q217" s="68"/>
      <c r="R217" s="68"/>
      <c r="S217" s="69">
        <v>10</v>
      </c>
      <c r="T217" s="70">
        <v>25</v>
      </c>
      <c r="U217" s="55" t="s">
        <v>121</v>
      </c>
    </row>
    <row r="218" spans="1:21" ht="13.2">
      <c r="A218" s="56"/>
      <c r="B218" s="55"/>
      <c r="C218" s="4"/>
      <c r="D218" s="4"/>
      <c r="E218" s="4"/>
      <c r="F218" s="4"/>
      <c r="G218" s="4"/>
      <c r="H218" s="4"/>
      <c r="I218" s="55" t="s">
        <v>121</v>
      </c>
      <c r="J218" s="55"/>
      <c r="K218" s="55"/>
      <c r="L218" s="55"/>
      <c r="M218" s="61"/>
      <c r="N218" s="55"/>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t="s">
        <v>149</v>
      </c>
      <c r="N221" s="77"/>
      <c r="O221" s="74" t="s">
        <v>164</v>
      </c>
      <c r="P221" s="75" t="s">
        <v>150</v>
      </c>
      <c r="Q221" s="76" t="s">
        <v>1</v>
      </c>
      <c r="R221" s="76" t="s">
        <v>165</v>
      </c>
      <c r="S221" s="76" t="s">
        <v>145</v>
      </c>
      <c r="T221" s="76" t="s">
        <v>146</v>
      </c>
      <c r="U221" s="77" t="s">
        <v>121</v>
      </c>
    </row>
    <row r="222" spans="1:21" ht="13.2">
      <c r="A222" s="56" t="s">
        <v>147</v>
      </c>
      <c r="B222" s="80"/>
      <c r="C222" s="81">
        <v>1</v>
      </c>
      <c r="D222" s="82" t="s">
        <v>289</v>
      </c>
      <c r="E222" s="83">
        <v>77.7</v>
      </c>
      <c r="F222" s="81" t="s">
        <v>287</v>
      </c>
      <c r="G222" s="81">
        <v>5</v>
      </c>
      <c r="H222" s="81" t="s">
        <v>121</v>
      </c>
      <c r="I222" s="84" t="s">
        <v>121</v>
      </c>
      <c r="J222" s="85"/>
      <c r="K222" s="85"/>
      <c r="L222" s="85"/>
      <c r="M222" s="86" t="s">
        <v>149</v>
      </c>
      <c r="N222" s="80"/>
      <c r="O222" s="81">
        <v>1</v>
      </c>
      <c r="P222" s="82" t="s">
        <v>290</v>
      </c>
      <c r="Q222" s="83">
        <v>52.05</v>
      </c>
      <c r="R222" s="81" t="s">
        <v>288</v>
      </c>
      <c r="S222" s="81" t="s">
        <v>121</v>
      </c>
      <c r="T222" s="81">
        <v>5</v>
      </c>
      <c r="U222" s="84" t="s">
        <v>121</v>
      </c>
    </row>
    <row r="223" spans="1:21" ht="13.2">
      <c r="A223" s="56" t="s">
        <v>147</v>
      </c>
      <c r="B223" s="80"/>
      <c r="C223" s="81">
        <v>2</v>
      </c>
      <c r="D223" s="82" t="s">
        <v>291</v>
      </c>
      <c r="E223" s="87">
        <v>64.95</v>
      </c>
      <c r="F223" s="81" t="s">
        <v>287</v>
      </c>
      <c r="G223" s="81">
        <v>3</v>
      </c>
      <c r="H223" s="81" t="s">
        <v>121</v>
      </c>
      <c r="I223" s="84" t="s">
        <v>121</v>
      </c>
      <c r="J223" s="85"/>
      <c r="K223" s="85"/>
      <c r="L223" s="85"/>
      <c r="M223" s="86" t="s">
        <v>149</v>
      </c>
      <c r="N223" s="80"/>
      <c r="O223" s="81">
        <v>2</v>
      </c>
      <c r="P223" s="82" t="s">
        <v>292</v>
      </c>
      <c r="Q223" s="87">
        <v>50.5</v>
      </c>
      <c r="R223" s="81" t="s">
        <v>287</v>
      </c>
      <c r="S223" s="81">
        <v>3</v>
      </c>
      <c r="T223" s="81" t="s">
        <v>121</v>
      </c>
      <c r="U223" s="84" t="s">
        <v>121</v>
      </c>
    </row>
    <row r="224" spans="1:21" ht="13.2">
      <c r="A224" s="56" t="s">
        <v>147</v>
      </c>
      <c r="B224" s="80"/>
      <c r="C224" s="81">
        <v>3</v>
      </c>
      <c r="D224" s="82" t="s">
        <v>293</v>
      </c>
      <c r="E224" s="87">
        <v>59.25</v>
      </c>
      <c r="F224" s="81" t="s">
        <v>287</v>
      </c>
      <c r="G224" s="81">
        <v>1</v>
      </c>
      <c r="H224" s="81" t="s">
        <v>121</v>
      </c>
      <c r="I224" s="84" t="s">
        <v>121</v>
      </c>
      <c r="J224" s="85"/>
      <c r="K224" s="85"/>
      <c r="L224" s="85"/>
      <c r="M224" s="86" t="s">
        <v>149</v>
      </c>
      <c r="N224" s="80"/>
      <c r="O224" s="81">
        <v>3</v>
      </c>
      <c r="P224" s="82" t="s">
        <v>294</v>
      </c>
      <c r="Q224" s="87">
        <v>44.35</v>
      </c>
      <c r="R224" s="81" t="s">
        <v>288</v>
      </c>
      <c r="S224" s="81" t="s">
        <v>121</v>
      </c>
      <c r="T224" s="81">
        <v>1</v>
      </c>
      <c r="U224" s="84" t="s">
        <v>121</v>
      </c>
    </row>
    <row r="225" spans="1:21" ht="13.2">
      <c r="A225" s="56" t="s">
        <v>147</v>
      </c>
      <c r="B225" s="80"/>
      <c r="C225" s="81">
        <v>4</v>
      </c>
      <c r="D225" s="82" t="s">
        <v>295</v>
      </c>
      <c r="E225" s="87">
        <v>49.3</v>
      </c>
      <c r="F225" s="81" t="s">
        <v>288</v>
      </c>
      <c r="G225" s="81" t="s">
        <v>121</v>
      </c>
      <c r="H225" s="81" t="s">
        <v>121</v>
      </c>
      <c r="I225" s="84" t="s">
        <v>121</v>
      </c>
      <c r="J225" s="85"/>
      <c r="K225" s="85"/>
      <c r="L225" s="85"/>
      <c r="M225" s="86" t="s">
        <v>149</v>
      </c>
      <c r="N225" s="80"/>
      <c r="O225" s="81">
        <v>4</v>
      </c>
      <c r="P225" s="82" t="s">
        <v>296</v>
      </c>
      <c r="Q225" s="87">
        <v>42.55</v>
      </c>
      <c r="R225" s="81" t="s">
        <v>287</v>
      </c>
      <c r="S225" s="81" t="s">
        <v>121</v>
      </c>
      <c r="T225" s="81" t="s">
        <v>121</v>
      </c>
      <c r="U225" s="84" t="s">
        <v>121</v>
      </c>
    </row>
    <row r="226" spans="1:21" ht="13.2">
      <c r="A226" s="56" t="s">
        <v>147</v>
      </c>
      <c r="B226" s="80"/>
      <c r="C226" s="81">
        <v>5</v>
      </c>
      <c r="D226" s="82" t="s">
        <v>297</v>
      </c>
      <c r="E226" s="87">
        <v>47.6</v>
      </c>
      <c r="F226" s="81" t="s">
        <v>287</v>
      </c>
      <c r="G226" s="81" t="s">
        <v>121</v>
      </c>
      <c r="H226" s="81" t="s">
        <v>121</v>
      </c>
      <c r="I226" s="84" t="s">
        <v>121</v>
      </c>
      <c r="J226" s="85"/>
      <c r="K226" s="85"/>
      <c r="L226" s="85"/>
      <c r="M226" s="86" t="s">
        <v>149</v>
      </c>
      <c r="N226" s="80"/>
      <c r="O226" s="81">
        <v>5</v>
      </c>
      <c r="P226" s="82" t="s">
        <v>298</v>
      </c>
      <c r="Q226" s="87">
        <v>26.95</v>
      </c>
      <c r="R226" s="81" t="s">
        <v>288</v>
      </c>
      <c r="S226" s="81" t="s">
        <v>121</v>
      </c>
      <c r="T226" s="81" t="s">
        <v>121</v>
      </c>
      <c r="U226" s="84" t="s">
        <v>121</v>
      </c>
    </row>
    <row r="227" spans="1:21" ht="13.2">
      <c r="A227" s="56" t="s">
        <v>147</v>
      </c>
      <c r="B227" s="80"/>
      <c r="C227" s="81">
        <v>6</v>
      </c>
      <c r="D227" s="82" t="s">
        <v>299</v>
      </c>
      <c r="E227" s="87">
        <v>45.35</v>
      </c>
      <c r="F227" s="81" t="s">
        <v>288</v>
      </c>
      <c r="G227" s="81" t="s">
        <v>121</v>
      </c>
      <c r="H227" s="81" t="s">
        <v>121</v>
      </c>
      <c r="I227" s="84" t="s">
        <v>121</v>
      </c>
      <c r="J227" s="85"/>
      <c r="K227" s="85"/>
      <c r="L227" s="85"/>
      <c r="M227" s="86" t="s">
        <v>149</v>
      </c>
      <c r="N227" s="80"/>
      <c r="O227" s="81">
        <v>6</v>
      </c>
      <c r="P227" s="82" t="s">
        <v>300</v>
      </c>
      <c r="Q227" s="87">
        <v>19.850000000000001</v>
      </c>
      <c r="R227" s="81" t="s">
        <v>288</v>
      </c>
      <c r="S227" s="81" t="s">
        <v>121</v>
      </c>
      <c r="T227" s="81" t="s">
        <v>121</v>
      </c>
      <c r="U227" s="84" t="s">
        <v>121</v>
      </c>
    </row>
    <row r="228" spans="1:21" ht="13.2">
      <c r="A228" s="56" t="s">
        <v>147</v>
      </c>
      <c r="B228" s="80"/>
      <c r="C228" s="81">
        <v>7</v>
      </c>
      <c r="D228" s="82" t="s">
        <v>301</v>
      </c>
      <c r="E228" s="87">
        <v>43.7</v>
      </c>
      <c r="F228" s="81" t="s">
        <v>287</v>
      </c>
      <c r="G228" s="81" t="s">
        <v>121</v>
      </c>
      <c r="H228" s="81" t="s">
        <v>121</v>
      </c>
      <c r="I228" s="84" t="s">
        <v>121</v>
      </c>
      <c r="J228" s="85"/>
      <c r="K228" s="85"/>
      <c r="L228" s="85"/>
      <c r="M228" s="86" t="s">
        <v>121</v>
      </c>
      <c r="N228" s="80"/>
      <c r="O228" s="81" t="s">
        <v>121</v>
      </c>
      <c r="P228" s="82"/>
      <c r="Q228" s="87" t="s">
        <v>121</v>
      </c>
      <c r="R228" s="81"/>
      <c r="S228" s="81" t="s">
        <v>121</v>
      </c>
      <c r="T228" s="81" t="s">
        <v>121</v>
      </c>
      <c r="U228" s="84" t="s">
        <v>121</v>
      </c>
    </row>
    <row r="229" spans="1:21" ht="13.2">
      <c r="A229" s="56" t="s">
        <v>147</v>
      </c>
      <c r="B229" s="80"/>
      <c r="C229" s="81">
        <v>8</v>
      </c>
      <c r="D229" s="88" t="s">
        <v>302</v>
      </c>
      <c r="E229" s="87">
        <v>32.950000000000003</v>
      </c>
      <c r="F229" s="81" t="s">
        <v>288</v>
      </c>
      <c r="G229" s="81" t="s">
        <v>121</v>
      </c>
      <c r="H229" s="81" t="s">
        <v>121</v>
      </c>
      <c r="I229" s="84" t="s">
        <v>121</v>
      </c>
      <c r="J229" s="85"/>
      <c r="K229" s="85"/>
      <c r="L229" s="85"/>
      <c r="M229" s="86" t="s">
        <v>121</v>
      </c>
      <c r="N229" s="80"/>
      <c r="O229" s="81" t="s">
        <v>121</v>
      </c>
      <c r="P229" s="82"/>
      <c r="Q229" s="87" t="s">
        <v>121</v>
      </c>
      <c r="R229" s="81"/>
      <c r="S229" s="81" t="s">
        <v>121</v>
      </c>
      <c r="T229" s="81" t="s">
        <v>121</v>
      </c>
      <c r="U229" s="84" t="s">
        <v>121</v>
      </c>
    </row>
    <row r="230" spans="1:21" ht="13.2">
      <c r="A230" s="56" t="s">
        <v>147</v>
      </c>
      <c r="B230" s="80"/>
      <c r="C230" s="81">
        <v>9</v>
      </c>
      <c r="D230" s="88" t="s">
        <v>303</v>
      </c>
      <c r="E230" s="87">
        <v>29.55</v>
      </c>
      <c r="F230" s="81" t="s">
        <v>288</v>
      </c>
      <c r="G230" s="81" t="s">
        <v>121</v>
      </c>
      <c r="H230" s="81" t="s">
        <v>121</v>
      </c>
      <c r="I230" s="84" t="s">
        <v>121</v>
      </c>
      <c r="J230" s="85"/>
      <c r="K230" s="85"/>
      <c r="L230" s="85"/>
      <c r="M230" s="86" t="s">
        <v>121</v>
      </c>
      <c r="N230" s="80"/>
      <c r="O230" s="81" t="s">
        <v>121</v>
      </c>
      <c r="P230" s="82"/>
      <c r="Q230" s="87" t="s">
        <v>121</v>
      </c>
      <c r="R230" s="81"/>
      <c r="S230" s="81" t="s">
        <v>121</v>
      </c>
      <c r="T230" s="81" t="s">
        <v>121</v>
      </c>
      <c r="U230" s="84" t="s">
        <v>121</v>
      </c>
    </row>
    <row r="231" spans="1:21" ht="13.2">
      <c r="A231" s="56" t="s">
        <v>147</v>
      </c>
      <c r="B231" s="80"/>
      <c r="C231" s="81">
        <v>10</v>
      </c>
      <c r="D231" s="88" t="s">
        <v>304</v>
      </c>
      <c r="E231" s="87">
        <v>28.05</v>
      </c>
      <c r="F231" s="81" t="s">
        <v>288</v>
      </c>
      <c r="G231" s="81" t="s">
        <v>121</v>
      </c>
      <c r="H231" s="81" t="s">
        <v>121</v>
      </c>
      <c r="I231" s="84" t="s">
        <v>121</v>
      </c>
      <c r="J231" s="85"/>
      <c r="K231" s="85"/>
      <c r="L231" s="85"/>
      <c r="M231" s="86" t="s">
        <v>121</v>
      </c>
      <c r="N231" s="80"/>
      <c r="O231" s="81" t="s">
        <v>121</v>
      </c>
      <c r="P231" s="82"/>
      <c r="Q231" s="87" t="s">
        <v>121</v>
      </c>
      <c r="R231" s="81"/>
      <c r="S231" s="81" t="s">
        <v>121</v>
      </c>
      <c r="T231" s="81" t="s">
        <v>121</v>
      </c>
      <c r="U231" s="84" t="s">
        <v>121</v>
      </c>
    </row>
    <row r="232" spans="1:21" ht="13.2">
      <c r="A232" s="56" t="s">
        <v>147</v>
      </c>
      <c r="B232" s="80"/>
      <c r="C232" s="81">
        <v>11</v>
      </c>
      <c r="D232" s="88" t="s">
        <v>305</v>
      </c>
      <c r="E232" s="87">
        <v>24.05</v>
      </c>
      <c r="F232" s="81" t="s">
        <v>288</v>
      </c>
      <c r="G232" s="81" t="s">
        <v>121</v>
      </c>
      <c r="H232" s="81" t="s">
        <v>121</v>
      </c>
      <c r="I232" s="84" t="s">
        <v>121</v>
      </c>
      <c r="J232" s="85"/>
      <c r="K232" s="85"/>
      <c r="L232" s="85"/>
      <c r="M232" s="86" t="s">
        <v>121</v>
      </c>
      <c r="N232" s="80"/>
      <c r="O232" s="81" t="s">
        <v>121</v>
      </c>
      <c r="P232" s="82"/>
      <c r="Q232" s="87" t="s">
        <v>121</v>
      </c>
      <c r="R232" s="81"/>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t="s">
        <v>121</v>
      </c>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t="s">
        <v>121</v>
      </c>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t="s">
        <v>121</v>
      </c>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t="s">
        <v>121</v>
      </c>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t="s">
        <v>121</v>
      </c>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t="s">
        <v>121</v>
      </c>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t="s">
        <v>121</v>
      </c>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t="s">
        <v>121</v>
      </c>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t="s">
        <v>121</v>
      </c>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t="s">
        <v>121</v>
      </c>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t="s">
        <v>121</v>
      </c>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t="s">
        <v>121</v>
      </c>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t="s">
        <v>121</v>
      </c>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t="s">
        <v>121</v>
      </c>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9</v>
      </c>
      <c r="H247" s="90">
        <v>0</v>
      </c>
      <c r="I247" s="84" t="s">
        <v>121</v>
      </c>
      <c r="J247" s="85"/>
      <c r="K247" s="85"/>
      <c r="L247" s="85"/>
      <c r="M247" s="86" t="s">
        <v>121</v>
      </c>
      <c r="N247" s="80"/>
      <c r="O247" s="230" t="s">
        <v>185</v>
      </c>
      <c r="P247" s="227"/>
      <c r="Q247" s="227"/>
      <c r="R247" s="227"/>
      <c r="S247" s="90">
        <v>3</v>
      </c>
      <c r="T247" s="90">
        <v>6</v>
      </c>
      <c r="U247" s="84" t="s">
        <v>121</v>
      </c>
    </row>
    <row r="248" spans="1:21" ht="13.2">
      <c r="A248" s="56" t="s">
        <v>121</v>
      </c>
      <c r="B248" s="85"/>
      <c r="C248" s="85"/>
      <c r="D248" s="85"/>
      <c r="E248" s="85"/>
      <c r="F248" s="85"/>
      <c r="G248" s="85"/>
      <c r="H248" s="85"/>
      <c r="I248" s="85" t="s">
        <v>121</v>
      </c>
      <c r="J248" s="85"/>
      <c r="K248" s="85"/>
      <c r="L248" s="85"/>
      <c r="M248" s="86" t="s">
        <v>121</v>
      </c>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t="s">
        <v>121</v>
      </c>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t="s">
        <v>153</v>
      </c>
      <c r="N250" s="96"/>
      <c r="O250" s="93" t="s">
        <v>164</v>
      </c>
      <c r="P250" s="94" t="s">
        <v>154</v>
      </c>
      <c r="Q250" s="95" t="s">
        <v>1</v>
      </c>
      <c r="R250" s="95" t="s">
        <v>165</v>
      </c>
      <c r="S250" s="95" t="s">
        <v>145</v>
      </c>
      <c r="T250" s="95" t="s">
        <v>146</v>
      </c>
      <c r="U250" s="96" t="s">
        <v>121</v>
      </c>
    </row>
    <row r="251" spans="1:21" ht="13.2">
      <c r="A251" s="56" t="s">
        <v>151</v>
      </c>
      <c r="B251" s="99"/>
      <c r="C251" s="81">
        <v>1</v>
      </c>
      <c r="D251" s="82" t="s">
        <v>306</v>
      </c>
      <c r="E251" s="83">
        <v>81.75</v>
      </c>
      <c r="F251" s="81" t="s">
        <v>287</v>
      </c>
      <c r="G251" s="81">
        <v>5</v>
      </c>
      <c r="H251" s="81" t="s">
        <v>121</v>
      </c>
      <c r="I251" s="100" t="s">
        <v>121</v>
      </c>
      <c r="J251" s="85"/>
      <c r="K251" s="85"/>
      <c r="L251" s="85"/>
      <c r="M251" s="86" t="s">
        <v>153</v>
      </c>
      <c r="N251" s="99"/>
      <c r="O251" s="81">
        <v>1</v>
      </c>
      <c r="P251" s="82" t="s">
        <v>307</v>
      </c>
      <c r="Q251" s="83">
        <v>93.45</v>
      </c>
      <c r="R251" s="81" t="s">
        <v>288</v>
      </c>
      <c r="S251" s="81" t="s">
        <v>121</v>
      </c>
      <c r="T251" s="81">
        <v>5</v>
      </c>
      <c r="U251" s="100" t="s">
        <v>121</v>
      </c>
    </row>
    <row r="252" spans="1:21" ht="13.2">
      <c r="A252" s="56" t="s">
        <v>151</v>
      </c>
      <c r="B252" s="99"/>
      <c r="C252" s="81">
        <v>2</v>
      </c>
      <c r="D252" s="82" t="s">
        <v>308</v>
      </c>
      <c r="E252" s="87">
        <v>74.900000000000006</v>
      </c>
      <c r="F252" s="81" t="s">
        <v>288</v>
      </c>
      <c r="G252" s="81" t="s">
        <v>121</v>
      </c>
      <c r="H252" s="81">
        <v>3</v>
      </c>
      <c r="I252" s="100" t="s">
        <v>121</v>
      </c>
      <c r="J252" s="85"/>
      <c r="K252" s="85"/>
      <c r="L252" s="85"/>
      <c r="M252" s="86" t="s">
        <v>153</v>
      </c>
      <c r="N252" s="99"/>
      <c r="O252" s="81">
        <v>2</v>
      </c>
      <c r="P252" s="82" t="s">
        <v>309</v>
      </c>
      <c r="Q252" s="87">
        <v>87.3</v>
      </c>
      <c r="R252" s="81" t="s">
        <v>288</v>
      </c>
      <c r="S252" s="81" t="s">
        <v>121</v>
      </c>
      <c r="T252" s="81">
        <v>3</v>
      </c>
      <c r="U252" s="100" t="s">
        <v>121</v>
      </c>
    </row>
    <row r="253" spans="1:21" ht="13.2">
      <c r="A253" s="56" t="s">
        <v>151</v>
      </c>
      <c r="B253" s="99"/>
      <c r="C253" s="81">
        <v>3</v>
      </c>
      <c r="D253" s="82" t="s">
        <v>310</v>
      </c>
      <c r="E253" s="87">
        <v>66.25</v>
      </c>
      <c r="F253" s="81" t="s">
        <v>287</v>
      </c>
      <c r="G253" s="81">
        <v>1</v>
      </c>
      <c r="H253" s="81" t="s">
        <v>121</v>
      </c>
      <c r="I253" s="100" t="s">
        <v>121</v>
      </c>
      <c r="J253" s="85"/>
      <c r="K253" s="85"/>
      <c r="L253" s="85"/>
      <c r="M253" s="86" t="s">
        <v>153</v>
      </c>
      <c r="N253" s="99"/>
      <c r="O253" s="81">
        <v>3</v>
      </c>
      <c r="P253" s="82" t="s">
        <v>311</v>
      </c>
      <c r="Q253" s="87">
        <v>76.25</v>
      </c>
      <c r="R253" s="81" t="s">
        <v>287</v>
      </c>
      <c r="S253" s="81">
        <v>1</v>
      </c>
      <c r="T253" s="81" t="s">
        <v>121</v>
      </c>
      <c r="U253" s="100" t="s">
        <v>121</v>
      </c>
    </row>
    <row r="254" spans="1:21" ht="13.2">
      <c r="A254" s="56" t="s">
        <v>151</v>
      </c>
      <c r="B254" s="99"/>
      <c r="C254" s="81">
        <v>4</v>
      </c>
      <c r="D254" s="82" t="s">
        <v>312</v>
      </c>
      <c r="E254" s="87">
        <v>62.75</v>
      </c>
      <c r="F254" s="81" t="s">
        <v>287</v>
      </c>
      <c r="G254" s="81" t="s">
        <v>121</v>
      </c>
      <c r="H254" s="81" t="s">
        <v>121</v>
      </c>
      <c r="I254" s="100" t="s">
        <v>121</v>
      </c>
      <c r="J254" s="85"/>
      <c r="K254" s="85"/>
      <c r="L254" s="85"/>
      <c r="M254" s="86" t="s">
        <v>153</v>
      </c>
      <c r="N254" s="99"/>
      <c r="O254" s="81">
        <v>4</v>
      </c>
      <c r="P254" s="82" t="s">
        <v>313</v>
      </c>
      <c r="Q254" s="87">
        <v>66.8</v>
      </c>
      <c r="R254" s="81" t="s">
        <v>287</v>
      </c>
      <c r="S254" s="81" t="s">
        <v>121</v>
      </c>
      <c r="T254" s="81" t="s">
        <v>121</v>
      </c>
      <c r="U254" s="100" t="s">
        <v>121</v>
      </c>
    </row>
    <row r="255" spans="1:21" ht="13.2">
      <c r="A255" s="56" t="s">
        <v>151</v>
      </c>
      <c r="B255" s="99"/>
      <c r="C255" s="81">
        <v>5</v>
      </c>
      <c r="D255" s="82" t="s">
        <v>314</v>
      </c>
      <c r="E255" s="87">
        <v>57.55</v>
      </c>
      <c r="F255" s="81" t="s">
        <v>287</v>
      </c>
      <c r="G255" s="81" t="s">
        <v>121</v>
      </c>
      <c r="H255" s="81" t="s">
        <v>121</v>
      </c>
      <c r="I255" s="100" t="s">
        <v>121</v>
      </c>
      <c r="J255" s="85"/>
      <c r="K255" s="85"/>
      <c r="L255" s="85"/>
      <c r="M255" s="86" t="s">
        <v>153</v>
      </c>
      <c r="N255" s="99"/>
      <c r="O255" s="81">
        <v>5</v>
      </c>
      <c r="P255" s="82" t="s">
        <v>315</v>
      </c>
      <c r="Q255" s="87">
        <v>66.599999999999994</v>
      </c>
      <c r="R255" s="81" t="s">
        <v>288</v>
      </c>
      <c r="S255" s="81" t="s">
        <v>121</v>
      </c>
      <c r="T255" s="81" t="s">
        <v>121</v>
      </c>
      <c r="U255" s="100" t="s">
        <v>121</v>
      </c>
    </row>
    <row r="256" spans="1:21" ht="13.2">
      <c r="A256" s="56" t="s">
        <v>151</v>
      </c>
      <c r="B256" s="99"/>
      <c r="C256" s="81">
        <v>6</v>
      </c>
      <c r="D256" s="82" t="s">
        <v>316</v>
      </c>
      <c r="E256" s="87">
        <v>56.85</v>
      </c>
      <c r="F256" s="81" t="s">
        <v>288</v>
      </c>
      <c r="G256" s="81" t="s">
        <v>121</v>
      </c>
      <c r="H256" s="81" t="s">
        <v>121</v>
      </c>
      <c r="I256" s="100" t="s">
        <v>121</v>
      </c>
      <c r="J256" s="85"/>
      <c r="K256" s="85"/>
      <c r="L256" s="85"/>
      <c r="M256" s="86" t="s">
        <v>121</v>
      </c>
      <c r="N256" s="99"/>
      <c r="O256" s="81" t="s">
        <v>121</v>
      </c>
      <c r="P256" s="82"/>
      <c r="Q256" s="87" t="s">
        <v>121</v>
      </c>
      <c r="R256" s="81"/>
      <c r="S256" s="81" t="s">
        <v>121</v>
      </c>
      <c r="T256" s="81" t="s">
        <v>121</v>
      </c>
      <c r="U256" s="100" t="s">
        <v>121</v>
      </c>
    </row>
    <row r="257" spans="1:21" ht="13.2">
      <c r="A257" s="56" t="s">
        <v>151</v>
      </c>
      <c r="B257" s="99"/>
      <c r="C257" s="81">
        <v>7</v>
      </c>
      <c r="D257" s="82" t="s">
        <v>317</v>
      </c>
      <c r="E257" s="87">
        <v>45.1</v>
      </c>
      <c r="F257" s="81" t="s">
        <v>287</v>
      </c>
      <c r="G257" s="81" t="s">
        <v>121</v>
      </c>
      <c r="H257" s="81" t="s">
        <v>121</v>
      </c>
      <c r="I257" s="100" t="s">
        <v>121</v>
      </c>
      <c r="J257" s="85"/>
      <c r="K257" s="85"/>
      <c r="L257" s="85"/>
      <c r="M257" s="86" t="s">
        <v>121</v>
      </c>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t="s">
        <v>121</v>
      </c>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t="s">
        <v>121</v>
      </c>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t="s">
        <v>121</v>
      </c>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t="s">
        <v>121</v>
      </c>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t="s">
        <v>121</v>
      </c>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t="s">
        <v>121</v>
      </c>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t="s">
        <v>121</v>
      </c>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t="s">
        <v>121</v>
      </c>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6</v>
      </c>
      <c r="H266" s="90">
        <v>3</v>
      </c>
      <c r="I266" s="100" t="s">
        <v>121</v>
      </c>
      <c r="J266" s="85"/>
      <c r="K266" s="85"/>
      <c r="L266" s="85"/>
      <c r="M266" s="86" t="s">
        <v>121</v>
      </c>
      <c r="N266" s="99"/>
      <c r="O266" s="230" t="s">
        <v>200</v>
      </c>
      <c r="P266" s="227"/>
      <c r="Q266" s="227"/>
      <c r="R266" s="228"/>
      <c r="S266" s="90">
        <v>1</v>
      </c>
      <c r="T266" s="90">
        <v>8</v>
      </c>
      <c r="U266" s="100" t="s">
        <v>121</v>
      </c>
    </row>
    <row r="267" spans="1:21" ht="13.2">
      <c r="A267" s="56" t="s">
        <v>121</v>
      </c>
      <c r="B267" s="85"/>
      <c r="C267" s="85"/>
      <c r="D267" s="85"/>
      <c r="E267" s="85"/>
      <c r="F267" s="85"/>
      <c r="G267" s="85"/>
      <c r="H267" s="85"/>
      <c r="I267" s="85" t="s">
        <v>121</v>
      </c>
      <c r="J267" s="85"/>
      <c r="K267" s="85"/>
      <c r="L267" s="85"/>
      <c r="M267" s="86" t="s">
        <v>121</v>
      </c>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t="s">
        <v>121</v>
      </c>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t="s">
        <v>157</v>
      </c>
      <c r="N269" s="105"/>
      <c r="O269" s="102" t="s">
        <v>164</v>
      </c>
      <c r="P269" s="103" t="s">
        <v>158</v>
      </c>
      <c r="Q269" s="104" t="s">
        <v>1</v>
      </c>
      <c r="R269" s="104" t="s">
        <v>165</v>
      </c>
      <c r="S269" s="104" t="s">
        <v>145</v>
      </c>
      <c r="T269" s="104" t="s">
        <v>146</v>
      </c>
      <c r="U269" s="105" t="s">
        <v>121</v>
      </c>
    </row>
    <row r="270" spans="1:21" ht="13.2">
      <c r="A270" s="56" t="s">
        <v>155</v>
      </c>
      <c r="B270" s="80"/>
      <c r="C270" s="81">
        <v>1</v>
      </c>
      <c r="D270" s="82" t="s">
        <v>318</v>
      </c>
      <c r="E270" s="83">
        <v>148.94999999999999</v>
      </c>
      <c r="F270" s="81" t="s">
        <v>287</v>
      </c>
      <c r="G270" s="81">
        <v>5</v>
      </c>
      <c r="H270" s="81" t="s">
        <v>121</v>
      </c>
      <c r="I270" s="84" t="s">
        <v>123</v>
      </c>
      <c r="J270" s="85"/>
      <c r="K270" s="85"/>
      <c r="L270" s="85"/>
      <c r="M270" s="86" t="s">
        <v>157</v>
      </c>
      <c r="N270" s="80"/>
      <c r="O270" s="81">
        <v>1</v>
      </c>
      <c r="P270" s="82" t="s">
        <v>319</v>
      </c>
      <c r="Q270" s="83">
        <v>180.1</v>
      </c>
      <c r="R270" s="81" t="s">
        <v>288</v>
      </c>
      <c r="S270" s="81" t="s">
        <v>121</v>
      </c>
      <c r="T270" s="81">
        <v>5</v>
      </c>
      <c r="U270" s="84" t="s">
        <v>121</v>
      </c>
    </row>
    <row r="271" spans="1:21" ht="13.2">
      <c r="A271" s="56" t="s">
        <v>155</v>
      </c>
      <c r="B271" s="80"/>
      <c r="C271" s="81">
        <v>2</v>
      </c>
      <c r="D271" s="82" t="s">
        <v>320</v>
      </c>
      <c r="E271" s="87">
        <v>113.45</v>
      </c>
      <c r="F271" s="81" t="s">
        <v>287</v>
      </c>
      <c r="G271" s="81">
        <v>3</v>
      </c>
      <c r="H271" s="81" t="s">
        <v>121</v>
      </c>
      <c r="I271" s="84" t="s">
        <v>121</v>
      </c>
      <c r="J271" s="85"/>
      <c r="K271" s="85"/>
      <c r="L271" s="85"/>
      <c r="M271" s="86" t="s">
        <v>157</v>
      </c>
      <c r="N271" s="80"/>
      <c r="O271" s="81">
        <v>2</v>
      </c>
      <c r="P271" s="82" t="s">
        <v>321</v>
      </c>
      <c r="Q271" s="87">
        <v>103.75</v>
      </c>
      <c r="R271" s="81" t="s">
        <v>287</v>
      </c>
      <c r="S271" s="81">
        <v>3</v>
      </c>
      <c r="T271" s="81" t="s">
        <v>121</v>
      </c>
      <c r="U271" s="84" t="s">
        <v>121</v>
      </c>
    </row>
    <row r="272" spans="1:21" ht="13.2">
      <c r="A272" s="56" t="s">
        <v>155</v>
      </c>
      <c r="B272" s="80"/>
      <c r="C272" s="81">
        <v>3</v>
      </c>
      <c r="D272" s="82" t="s">
        <v>322</v>
      </c>
      <c r="E272" s="87">
        <v>101</v>
      </c>
      <c r="F272" s="81" t="s">
        <v>288</v>
      </c>
      <c r="G272" s="81" t="s">
        <v>121</v>
      </c>
      <c r="H272" s="81">
        <v>1</v>
      </c>
      <c r="I272" s="84" t="s">
        <v>123</v>
      </c>
      <c r="J272" s="85"/>
      <c r="K272" s="85"/>
      <c r="L272" s="85"/>
      <c r="M272" s="86" t="s">
        <v>157</v>
      </c>
      <c r="N272" s="80"/>
      <c r="O272" s="81">
        <v>3</v>
      </c>
      <c r="P272" s="82" t="s">
        <v>323</v>
      </c>
      <c r="Q272" s="87">
        <v>86.05</v>
      </c>
      <c r="R272" s="81" t="s">
        <v>288</v>
      </c>
      <c r="S272" s="81" t="s">
        <v>121</v>
      </c>
      <c r="T272" s="81">
        <v>1</v>
      </c>
      <c r="U272" s="84" t="s">
        <v>123</v>
      </c>
    </row>
    <row r="273" spans="1:21" ht="13.2">
      <c r="A273" s="56" t="s">
        <v>121</v>
      </c>
      <c r="B273" s="80"/>
      <c r="C273" s="81" t="s">
        <v>121</v>
      </c>
      <c r="D273" s="82"/>
      <c r="E273" s="87" t="s">
        <v>121</v>
      </c>
      <c r="F273" s="81"/>
      <c r="G273" s="81" t="s">
        <v>121</v>
      </c>
      <c r="H273" s="81" t="s">
        <v>121</v>
      </c>
      <c r="I273" s="84" t="s">
        <v>121</v>
      </c>
      <c r="J273" s="85"/>
      <c r="K273" s="85"/>
      <c r="L273" s="85"/>
      <c r="M273" s="86" t="s">
        <v>121</v>
      </c>
      <c r="N273" s="80"/>
      <c r="O273" s="81" t="s">
        <v>121</v>
      </c>
      <c r="P273" s="82"/>
      <c r="Q273" s="87" t="s">
        <v>121</v>
      </c>
      <c r="R273" s="81"/>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t="s">
        <v>121</v>
      </c>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t="s">
        <v>121</v>
      </c>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t="s">
        <v>121</v>
      </c>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t="s">
        <v>121</v>
      </c>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t="s">
        <v>121</v>
      </c>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t="s">
        <v>121</v>
      </c>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8</v>
      </c>
      <c r="H280" s="90">
        <v>1</v>
      </c>
      <c r="I280" s="84" t="s">
        <v>121</v>
      </c>
      <c r="J280" s="85"/>
      <c r="K280" s="85"/>
      <c r="L280" s="85"/>
      <c r="M280" s="86" t="s">
        <v>121</v>
      </c>
      <c r="N280" s="80"/>
      <c r="O280" s="230" t="s">
        <v>211</v>
      </c>
      <c r="P280" s="227"/>
      <c r="Q280" s="227"/>
      <c r="R280" s="227"/>
      <c r="S280" s="90">
        <v>3</v>
      </c>
      <c r="T280" s="90">
        <v>6</v>
      </c>
      <c r="U280" s="84" t="s">
        <v>121</v>
      </c>
    </row>
    <row r="281" spans="1:21" ht="13.2">
      <c r="A281" s="56" t="s">
        <v>121</v>
      </c>
      <c r="B281" s="85"/>
      <c r="C281" s="85"/>
      <c r="D281" s="85"/>
      <c r="E281" s="85"/>
      <c r="F281" s="85"/>
      <c r="G281" s="85"/>
      <c r="H281" s="85"/>
      <c r="I281" s="85" t="s">
        <v>121</v>
      </c>
      <c r="J281" s="85"/>
      <c r="K281" s="85"/>
      <c r="L281" s="85"/>
      <c r="M281" s="86" t="s">
        <v>121</v>
      </c>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t="s">
        <v>121</v>
      </c>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t="s">
        <v>161</v>
      </c>
      <c r="N283" s="96"/>
      <c r="O283" s="93" t="s">
        <v>164</v>
      </c>
      <c r="P283" s="94" t="s">
        <v>162</v>
      </c>
      <c r="Q283" s="95" t="s">
        <v>1</v>
      </c>
      <c r="R283" s="95" t="s">
        <v>165</v>
      </c>
      <c r="S283" s="95" t="s">
        <v>145</v>
      </c>
      <c r="T283" s="95" t="s">
        <v>146</v>
      </c>
      <c r="U283" s="96" t="s">
        <v>121</v>
      </c>
    </row>
    <row r="284" spans="1:21" ht="13.2">
      <c r="A284" s="56" t="s">
        <v>159</v>
      </c>
      <c r="B284" s="99"/>
      <c r="C284" s="81">
        <v>1</v>
      </c>
      <c r="D284" s="82" t="s">
        <v>324</v>
      </c>
      <c r="E284" s="83">
        <v>230.1</v>
      </c>
      <c r="F284" s="81" t="s">
        <v>287</v>
      </c>
      <c r="G284" s="81">
        <v>5</v>
      </c>
      <c r="H284" s="81" t="s">
        <v>121</v>
      </c>
      <c r="I284" s="100" t="s">
        <v>123</v>
      </c>
      <c r="J284" s="85"/>
      <c r="K284" s="85"/>
      <c r="L284" s="85"/>
      <c r="M284" s="86" t="s">
        <v>161</v>
      </c>
      <c r="N284" s="99"/>
      <c r="O284" s="81">
        <v>1</v>
      </c>
      <c r="P284" s="82" t="s">
        <v>325</v>
      </c>
      <c r="Q284" s="83">
        <v>149.55000000000001</v>
      </c>
      <c r="R284" s="81" t="s">
        <v>288</v>
      </c>
      <c r="S284" s="81" t="s">
        <v>121</v>
      </c>
      <c r="T284" s="81">
        <v>5</v>
      </c>
      <c r="U284" s="100" t="s">
        <v>121</v>
      </c>
    </row>
    <row r="285" spans="1:21" ht="13.2">
      <c r="A285" s="56" t="s">
        <v>159</v>
      </c>
      <c r="B285" s="99"/>
      <c r="C285" s="81">
        <v>2</v>
      </c>
      <c r="D285" s="82" t="s">
        <v>326</v>
      </c>
      <c r="E285" s="87">
        <v>219.55</v>
      </c>
      <c r="F285" s="81" t="s">
        <v>288</v>
      </c>
      <c r="G285" s="81" t="s">
        <v>121</v>
      </c>
      <c r="H285" s="81">
        <v>3</v>
      </c>
      <c r="I285" s="100" t="s">
        <v>121</v>
      </c>
      <c r="J285" s="85"/>
      <c r="K285" s="85"/>
      <c r="L285" s="85"/>
      <c r="M285" s="86" t="s">
        <v>161</v>
      </c>
      <c r="N285" s="99"/>
      <c r="O285" s="81">
        <v>2</v>
      </c>
      <c r="P285" s="82" t="s">
        <v>327</v>
      </c>
      <c r="Q285" s="87">
        <v>133.1</v>
      </c>
      <c r="R285" s="81" t="s">
        <v>287</v>
      </c>
      <c r="S285" s="81">
        <v>3</v>
      </c>
      <c r="T285" s="81" t="s">
        <v>121</v>
      </c>
      <c r="U285" s="100" t="s">
        <v>123</v>
      </c>
    </row>
    <row r="286" spans="1:21" ht="13.2">
      <c r="A286" s="56" t="s">
        <v>159</v>
      </c>
      <c r="B286" s="99"/>
      <c r="C286" s="81">
        <v>3</v>
      </c>
      <c r="D286" s="82" t="s">
        <v>328</v>
      </c>
      <c r="E286" s="87">
        <v>195.9</v>
      </c>
      <c r="F286" s="81" t="s">
        <v>287</v>
      </c>
      <c r="G286" s="81">
        <v>1</v>
      </c>
      <c r="H286" s="81" t="s">
        <v>121</v>
      </c>
      <c r="I286" s="100" t="s">
        <v>121</v>
      </c>
      <c r="J286" s="85"/>
      <c r="K286" s="85"/>
      <c r="L286" s="85"/>
      <c r="M286" s="86" t="s">
        <v>121</v>
      </c>
      <c r="N286" s="99"/>
      <c r="O286" s="81" t="s">
        <v>121</v>
      </c>
      <c r="P286" s="82"/>
      <c r="Q286" s="87" t="s">
        <v>121</v>
      </c>
      <c r="R286" s="81"/>
      <c r="S286" s="81" t="s">
        <v>121</v>
      </c>
      <c r="T286" s="81" t="s">
        <v>121</v>
      </c>
      <c r="U286" s="100" t="s">
        <v>121</v>
      </c>
    </row>
    <row r="287" spans="1:21" ht="13.2">
      <c r="A287" s="56" t="s">
        <v>159</v>
      </c>
      <c r="B287" s="99"/>
      <c r="C287" s="81">
        <v>4</v>
      </c>
      <c r="D287" s="82" t="s">
        <v>329</v>
      </c>
      <c r="E287" s="87">
        <v>120.2</v>
      </c>
      <c r="F287" s="81" t="s">
        <v>288</v>
      </c>
      <c r="G287" s="81" t="s">
        <v>121</v>
      </c>
      <c r="H287" s="81" t="s">
        <v>121</v>
      </c>
      <c r="I287" s="100" t="s">
        <v>121</v>
      </c>
      <c r="J287" s="85"/>
      <c r="K287" s="85"/>
      <c r="L287" s="85"/>
      <c r="M287" s="86" t="s">
        <v>121</v>
      </c>
      <c r="N287" s="99"/>
      <c r="O287" s="81" t="s">
        <v>121</v>
      </c>
      <c r="P287" s="82"/>
      <c r="Q287" s="87" t="s">
        <v>121</v>
      </c>
      <c r="R287" s="81"/>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t="s">
        <v>121</v>
      </c>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t="s">
        <v>121</v>
      </c>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t="s">
        <v>121</v>
      </c>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t="s">
        <v>121</v>
      </c>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t="s">
        <v>121</v>
      </c>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t="s">
        <v>121</v>
      </c>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6</v>
      </c>
      <c r="H294" s="90">
        <v>3</v>
      </c>
      <c r="I294" s="100" t="s">
        <v>121</v>
      </c>
      <c r="J294" s="85"/>
      <c r="K294" s="85"/>
      <c r="L294" s="85"/>
      <c r="M294" s="86" t="s">
        <v>121</v>
      </c>
      <c r="N294" s="99"/>
      <c r="O294" s="230" t="s">
        <v>221</v>
      </c>
      <c r="P294" s="227"/>
      <c r="Q294" s="227"/>
      <c r="R294" s="227"/>
      <c r="S294" s="90">
        <v>3</v>
      </c>
      <c r="T294" s="90">
        <v>5</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330</v>
      </c>
      <c r="R296" s="227"/>
      <c r="S296" s="227"/>
      <c r="T296" s="228"/>
      <c r="U296" s="4" t="s">
        <v>121</v>
      </c>
    </row>
    <row r="297" spans="1:21" ht="13.2">
      <c r="A297" s="56"/>
      <c r="B297" s="4"/>
      <c r="C297" s="249" t="s">
        <v>331</v>
      </c>
      <c r="D297" s="235"/>
      <c r="E297" s="235"/>
      <c r="F297" s="235"/>
      <c r="G297" s="235"/>
      <c r="H297" s="236"/>
      <c r="I297" s="85" t="s">
        <v>121</v>
      </c>
      <c r="J297" s="85"/>
      <c r="K297" s="85"/>
      <c r="L297" s="85"/>
      <c r="M297" s="86"/>
      <c r="N297" s="107"/>
      <c r="O297" s="110" t="s">
        <v>226</v>
      </c>
      <c r="P297" s="111"/>
      <c r="Q297" s="231" t="s">
        <v>332</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332</v>
      </c>
      <c r="F299" s="227"/>
      <c r="G299" s="227"/>
      <c r="H299" s="228"/>
      <c r="I299" s="85" t="s">
        <v>121</v>
      </c>
      <c r="J299" s="85"/>
      <c r="K299" s="85"/>
      <c r="L299" s="85"/>
      <c r="M299" s="86"/>
      <c r="N299" s="107"/>
      <c r="O299" s="112" t="s">
        <v>229</v>
      </c>
      <c r="P299" s="113"/>
      <c r="Q299" s="233" t="s">
        <v>333</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50"/>
      <c r="D301" s="235"/>
      <c r="E301" s="235"/>
      <c r="F301" s="235"/>
      <c r="G301" s="235"/>
      <c r="H301" s="236"/>
      <c r="I301" s="4" t="s">
        <v>121</v>
      </c>
      <c r="J301" s="4"/>
      <c r="K301" s="4"/>
      <c r="L301" s="4"/>
      <c r="M301" s="71"/>
      <c r="N301" s="109"/>
      <c r="O301" s="234"/>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3"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AAAA"/>
    <outlinePr summaryBelow="0" summaryRight="0"/>
  </sheetPr>
  <dimension ref="A1:U309"/>
  <sheetViews>
    <sheetView workbookViewId="0">
      <pane ySplit="5" topLeftCell="A6" activePane="bottomLeft" state="frozen"/>
      <selection pane="bottomLeft" activeCell="E9" sqref="E9:G9"/>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8"/>
      <c r="D1" s="26">
        <v>44383</v>
      </c>
      <c r="E1" s="9"/>
      <c r="F1" s="27" t="s">
        <v>128</v>
      </c>
      <c r="G1" s="10"/>
      <c r="H1" s="9"/>
      <c r="I1" s="11"/>
      <c r="J1" s="11"/>
      <c r="K1" s="11"/>
      <c r="L1" s="11"/>
      <c r="M1" s="11"/>
      <c r="N1" s="11"/>
      <c r="O1" s="11"/>
      <c r="P1" s="11"/>
      <c r="Q1" s="28" t="s">
        <v>0</v>
      </c>
      <c r="R1" s="255">
        <v>2</v>
      </c>
      <c r="S1" s="227"/>
      <c r="T1" s="227"/>
      <c r="U1" s="12"/>
    </row>
    <row r="2" spans="1:21" ht="15.6">
      <c r="B2" s="256" t="s">
        <v>129</v>
      </c>
      <c r="C2" s="226"/>
      <c r="D2" s="13" t="s">
        <v>130</v>
      </c>
      <c r="E2" s="10"/>
      <c r="F2" s="225" t="s">
        <v>1</v>
      </c>
      <c r="G2" s="226"/>
      <c r="H2" s="226"/>
      <c r="I2" s="257" t="s">
        <v>121</v>
      </c>
      <c r="J2" s="226"/>
      <c r="K2" s="226"/>
      <c r="L2" s="9"/>
      <c r="M2" s="9"/>
      <c r="N2" s="9"/>
      <c r="O2" s="9"/>
      <c r="P2" s="13" t="s">
        <v>132</v>
      </c>
      <c r="Q2" s="10"/>
      <c r="R2" s="225" t="s">
        <v>1</v>
      </c>
      <c r="S2" s="226"/>
      <c r="T2" s="226"/>
      <c r="U2" s="10" t="s">
        <v>121</v>
      </c>
    </row>
    <row r="3" spans="1:21">
      <c r="A3" s="29">
        <v>1</v>
      </c>
      <c r="B3" s="30">
        <v>1</v>
      </c>
      <c r="C3" s="9"/>
      <c r="D3" s="258" t="s">
        <v>334</v>
      </c>
      <c r="E3" s="228"/>
      <c r="F3" s="259">
        <v>31</v>
      </c>
      <c r="G3" s="227"/>
      <c r="H3" s="228"/>
      <c r="I3" s="31">
        <v>0</v>
      </c>
      <c r="J3" s="9"/>
      <c r="K3" s="32"/>
      <c r="L3" s="32" t="s">
        <v>3</v>
      </c>
      <c r="M3" s="9"/>
      <c r="N3" s="9"/>
      <c r="O3" s="9"/>
      <c r="P3" s="260" t="s">
        <v>335</v>
      </c>
      <c r="Q3" s="227"/>
      <c r="R3" s="261">
        <v>41</v>
      </c>
      <c r="S3" s="227"/>
      <c r="T3" s="228"/>
      <c r="U3" s="31">
        <v>0</v>
      </c>
    </row>
    <row r="4" spans="1:21">
      <c r="A4" s="29">
        <v>2</v>
      </c>
      <c r="B4" s="30">
        <v>2</v>
      </c>
      <c r="C4" s="16"/>
      <c r="D4" s="258" t="s">
        <v>336</v>
      </c>
      <c r="E4" s="228"/>
      <c r="F4" s="259">
        <v>58</v>
      </c>
      <c r="G4" s="227"/>
      <c r="H4" s="227"/>
      <c r="I4" s="31">
        <v>0</v>
      </c>
      <c r="J4" s="14"/>
      <c r="K4" s="32"/>
      <c r="L4" s="32" t="s">
        <v>3</v>
      </c>
      <c r="M4" s="14"/>
      <c r="N4" s="14"/>
      <c r="O4" s="15"/>
      <c r="P4" s="260" t="s">
        <v>337</v>
      </c>
      <c r="Q4" s="227"/>
      <c r="R4" s="261">
        <v>14</v>
      </c>
      <c r="S4" s="227"/>
      <c r="T4" s="227"/>
      <c r="U4" s="31">
        <v>0</v>
      </c>
    </row>
    <row r="5" spans="1:21">
      <c r="A5" s="29">
        <v>3</v>
      </c>
      <c r="B5" s="30">
        <v>3</v>
      </c>
      <c r="C5" s="16"/>
      <c r="D5" s="264" t="s">
        <v>338</v>
      </c>
      <c r="E5" s="236"/>
      <c r="F5" s="259">
        <v>45.5</v>
      </c>
      <c r="G5" s="227"/>
      <c r="H5" s="228"/>
      <c r="I5" s="31">
        <v>0</v>
      </c>
      <c r="J5" s="14"/>
      <c r="K5" s="32"/>
      <c r="L5" s="32" t="s">
        <v>3</v>
      </c>
      <c r="M5" s="14"/>
      <c r="N5" s="14"/>
      <c r="O5" s="15"/>
      <c r="P5" s="262" t="s">
        <v>339</v>
      </c>
      <c r="Q5" s="235"/>
      <c r="R5" s="263">
        <v>26.5</v>
      </c>
      <c r="S5" s="235"/>
      <c r="T5" s="236"/>
      <c r="U5" s="31">
        <v>0</v>
      </c>
    </row>
    <row r="6" spans="1:21">
      <c r="B6" s="33"/>
      <c r="C6" s="8"/>
      <c r="D6" s="34" t="s">
        <v>139</v>
      </c>
      <c r="E6" s="35">
        <v>1</v>
      </c>
      <c r="F6" s="10"/>
      <c r="G6" s="10"/>
      <c r="H6" s="10"/>
      <c r="I6" s="36"/>
      <c r="J6" s="36"/>
      <c r="K6" s="36"/>
      <c r="L6" s="36"/>
      <c r="M6" s="36"/>
      <c r="N6" s="36"/>
      <c r="O6" s="36"/>
      <c r="P6" s="34" t="s">
        <v>140</v>
      </c>
      <c r="Q6" s="267">
        <v>44383</v>
      </c>
      <c r="R6" s="226"/>
      <c r="S6" s="226"/>
      <c r="T6" s="226"/>
      <c r="U6" s="37"/>
    </row>
    <row r="7" spans="1:21">
      <c r="B7" s="38"/>
      <c r="C7" s="7"/>
      <c r="D7" s="39" t="s">
        <v>141</v>
      </c>
      <c r="E7" s="11"/>
      <c r="F7" s="9"/>
      <c r="G7" s="9"/>
      <c r="H7" s="9"/>
      <c r="I7" s="9"/>
      <c r="J7" s="9"/>
      <c r="K7" s="9"/>
      <c r="L7" s="9"/>
      <c r="M7" s="9"/>
      <c r="N7" s="9"/>
      <c r="O7" s="9"/>
      <c r="P7" s="40" t="s">
        <v>2</v>
      </c>
      <c r="Q7" s="268" t="s">
        <v>142</v>
      </c>
      <c r="R7" s="226"/>
      <c r="S7" s="226"/>
      <c r="T7" s="226"/>
      <c r="U7" s="9"/>
    </row>
    <row r="8" spans="1:21">
      <c r="B8" s="41"/>
      <c r="C8" s="42"/>
      <c r="D8" s="11"/>
      <c r="E8" s="11"/>
      <c r="F8" s="9"/>
      <c r="G8" s="9"/>
      <c r="H8" s="9"/>
      <c r="I8" s="9"/>
      <c r="J8" s="9"/>
      <c r="K8" s="9"/>
      <c r="L8" s="9"/>
      <c r="M8" s="9"/>
      <c r="N8" s="9"/>
      <c r="O8" s="9"/>
      <c r="P8" s="11"/>
      <c r="Q8" s="11"/>
      <c r="R8" s="11"/>
      <c r="S8" s="9"/>
      <c r="T8" s="9"/>
      <c r="U8" s="9"/>
    </row>
    <row r="9" spans="1:21" ht="63.6" customHeight="1">
      <c r="B9" s="43"/>
      <c r="C9" s="251" t="s">
        <v>130</v>
      </c>
      <c r="D9" s="227"/>
      <c r="E9" s="265" t="s">
        <v>334</v>
      </c>
      <c r="F9" s="227"/>
      <c r="G9" s="228"/>
      <c r="H9" s="44" t="s">
        <v>340</v>
      </c>
      <c r="I9" s="45"/>
      <c r="J9" s="46"/>
      <c r="K9" s="46"/>
      <c r="L9" s="46"/>
      <c r="M9" s="46"/>
      <c r="N9" s="47"/>
      <c r="O9" s="244" t="s">
        <v>132</v>
      </c>
      <c r="P9" s="227"/>
      <c r="Q9" s="269" t="s">
        <v>335</v>
      </c>
      <c r="R9" s="227"/>
      <c r="S9" s="228"/>
      <c r="T9" s="49" t="s">
        <v>341</v>
      </c>
      <c r="U9" s="50"/>
    </row>
    <row r="10" spans="1:21">
      <c r="B10" s="51"/>
      <c r="C10" s="272" t="s">
        <v>1</v>
      </c>
      <c r="D10" s="228"/>
      <c r="E10" s="266">
        <v>31</v>
      </c>
      <c r="F10" s="227"/>
      <c r="G10" s="227"/>
      <c r="H10" s="52"/>
      <c r="I10" s="45"/>
      <c r="J10" s="53"/>
      <c r="K10" s="53"/>
      <c r="L10" s="53"/>
      <c r="M10" s="53"/>
      <c r="N10" s="47"/>
      <c r="O10" s="270" t="s">
        <v>1</v>
      </c>
      <c r="P10" s="228"/>
      <c r="Q10" s="271">
        <v>41</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B13" s="4"/>
      <c r="C13" s="62" t="s">
        <v>147</v>
      </c>
      <c r="D13" s="63" t="s">
        <v>148</v>
      </c>
      <c r="E13" s="57"/>
      <c r="F13" s="57"/>
      <c r="G13" s="64">
        <v>9</v>
      </c>
      <c r="H13" s="65">
        <v>0</v>
      </c>
      <c r="I13" s="55"/>
      <c r="J13" s="55"/>
      <c r="K13" s="55"/>
      <c r="L13" s="55"/>
      <c r="M13" s="61"/>
      <c r="N13" s="4"/>
      <c r="O13" s="62" t="s">
        <v>149</v>
      </c>
      <c r="P13" s="63" t="s">
        <v>150</v>
      </c>
      <c r="Q13" s="57"/>
      <c r="R13" s="57"/>
      <c r="S13" s="64">
        <v>3</v>
      </c>
      <c r="T13" s="65">
        <v>6</v>
      </c>
      <c r="U13" s="55"/>
    </row>
    <row r="14" spans="1:21" ht="15.75" customHeight="1">
      <c r="A14" s="56"/>
      <c r="B14" s="4"/>
      <c r="C14" s="62" t="s">
        <v>151</v>
      </c>
      <c r="D14" s="63" t="s">
        <v>152</v>
      </c>
      <c r="E14" s="57"/>
      <c r="F14" s="57"/>
      <c r="G14" s="64">
        <v>3</v>
      </c>
      <c r="H14" s="65">
        <v>6</v>
      </c>
      <c r="I14" s="55"/>
      <c r="J14" s="55"/>
      <c r="K14" s="55"/>
      <c r="L14" s="55"/>
      <c r="M14" s="61"/>
      <c r="N14" s="4"/>
      <c r="O14" s="62" t="s">
        <v>153</v>
      </c>
      <c r="P14" s="63" t="s">
        <v>154</v>
      </c>
      <c r="Q14" s="57"/>
      <c r="R14" s="57"/>
      <c r="S14" s="64">
        <v>5</v>
      </c>
      <c r="T14" s="65">
        <v>4</v>
      </c>
      <c r="U14" s="55"/>
    </row>
    <row r="15" spans="1:21" ht="15.75" customHeight="1">
      <c r="A15" s="56"/>
      <c r="B15" s="4"/>
      <c r="C15" s="62" t="s">
        <v>155</v>
      </c>
      <c r="D15" s="63" t="s">
        <v>156</v>
      </c>
      <c r="E15" s="57"/>
      <c r="F15" s="57"/>
      <c r="G15" s="64">
        <v>3</v>
      </c>
      <c r="H15" s="65">
        <v>6</v>
      </c>
      <c r="I15" s="55"/>
      <c r="J15" s="55"/>
      <c r="K15" s="55"/>
      <c r="L15" s="55"/>
      <c r="M15" s="61"/>
      <c r="N15" s="4"/>
      <c r="O15" s="62" t="s">
        <v>157</v>
      </c>
      <c r="P15" s="63" t="s">
        <v>158</v>
      </c>
      <c r="Q15" s="57"/>
      <c r="R15" s="57"/>
      <c r="S15" s="64">
        <v>3</v>
      </c>
      <c r="T15" s="65">
        <v>6</v>
      </c>
      <c r="U15" s="55"/>
    </row>
    <row r="16" spans="1:21" ht="15.75" customHeight="1">
      <c r="A16" s="56"/>
      <c r="B16" s="4"/>
      <c r="C16" s="62" t="s">
        <v>159</v>
      </c>
      <c r="D16" s="63" t="s">
        <v>160</v>
      </c>
      <c r="E16" s="57"/>
      <c r="F16" s="57"/>
      <c r="G16" s="64">
        <v>0</v>
      </c>
      <c r="H16" s="65">
        <v>9</v>
      </c>
      <c r="I16" s="55"/>
      <c r="J16" s="55"/>
      <c r="K16" s="55"/>
      <c r="L16" s="55"/>
      <c r="M16" s="61"/>
      <c r="N16" s="4"/>
      <c r="O16" s="62" t="s">
        <v>161</v>
      </c>
      <c r="P16" s="63" t="s">
        <v>162</v>
      </c>
      <c r="Q16" s="57"/>
      <c r="R16" s="57"/>
      <c r="S16" s="64">
        <v>5</v>
      </c>
      <c r="T16" s="65">
        <v>4</v>
      </c>
      <c r="U16" s="55"/>
    </row>
    <row r="17" spans="1:21" ht="15.75" customHeight="1">
      <c r="A17" s="56"/>
      <c r="B17" s="4"/>
      <c r="C17" s="66"/>
      <c r="D17" s="67" t="s">
        <v>163</v>
      </c>
      <c r="E17" s="68"/>
      <c r="F17" s="68"/>
      <c r="G17" s="69">
        <v>15</v>
      </c>
      <c r="H17" s="70">
        <v>21</v>
      </c>
      <c r="I17" s="55"/>
      <c r="J17" s="55"/>
      <c r="K17" s="55"/>
      <c r="L17" s="55"/>
      <c r="M17" s="61"/>
      <c r="N17" s="4"/>
      <c r="O17" s="66"/>
      <c r="P17" s="67" t="s">
        <v>163</v>
      </c>
      <c r="Q17" s="68"/>
      <c r="R17" s="68"/>
      <c r="S17" s="69">
        <v>16</v>
      </c>
      <c r="T17" s="70">
        <v>20</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80"/>
      <c r="C22" s="81" t="s">
        <v>342</v>
      </c>
      <c r="D22" s="82" t="s">
        <v>343</v>
      </c>
      <c r="E22" s="83">
        <v>52.5</v>
      </c>
      <c r="F22" s="81" t="s">
        <v>340</v>
      </c>
      <c r="G22" s="81">
        <v>4</v>
      </c>
      <c r="H22" s="81" t="s">
        <v>121</v>
      </c>
      <c r="I22" s="84" t="s">
        <v>121</v>
      </c>
      <c r="J22" s="85"/>
      <c r="K22" s="85"/>
      <c r="L22" s="85"/>
      <c r="M22" s="86"/>
      <c r="N22" s="80"/>
      <c r="O22" s="81">
        <v>1</v>
      </c>
      <c r="P22" s="82" t="s">
        <v>344</v>
      </c>
      <c r="Q22" s="83">
        <v>66.3</v>
      </c>
      <c r="R22" s="81" t="s">
        <v>341</v>
      </c>
      <c r="S22" s="81" t="s">
        <v>121</v>
      </c>
      <c r="T22" s="81">
        <v>5</v>
      </c>
      <c r="U22" s="84" t="s">
        <v>121</v>
      </c>
    </row>
    <row r="23" spans="1:21" ht="15.75" customHeight="1">
      <c r="A23" s="56" t="s">
        <v>147</v>
      </c>
      <c r="B23" s="80"/>
      <c r="C23" s="81" t="s">
        <v>342</v>
      </c>
      <c r="D23" s="82" t="s">
        <v>345</v>
      </c>
      <c r="E23" s="87">
        <v>52.5</v>
      </c>
      <c r="F23" s="81" t="s">
        <v>340</v>
      </c>
      <c r="G23" s="81">
        <v>4</v>
      </c>
      <c r="H23" s="81" t="s">
        <v>121</v>
      </c>
      <c r="I23" s="84" t="s">
        <v>121</v>
      </c>
      <c r="J23" s="85"/>
      <c r="K23" s="85"/>
      <c r="L23" s="85"/>
      <c r="M23" s="86"/>
      <c r="N23" s="80"/>
      <c r="O23" s="81">
        <v>2</v>
      </c>
      <c r="P23" s="82" t="s">
        <v>346</v>
      </c>
      <c r="Q23" s="87">
        <v>65</v>
      </c>
      <c r="R23" s="81" t="s">
        <v>340</v>
      </c>
      <c r="S23" s="81">
        <v>3</v>
      </c>
      <c r="T23" s="81" t="s">
        <v>121</v>
      </c>
      <c r="U23" s="84" t="s">
        <v>121</v>
      </c>
    </row>
    <row r="24" spans="1:21" ht="15.75" customHeight="1">
      <c r="A24" s="56" t="s">
        <v>147</v>
      </c>
      <c r="B24" s="80"/>
      <c r="C24" s="81">
        <v>3</v>
      </c>
      <c r="D24" s="82" t="s">
        <v>347</v>
      </c>
      <c r="E24" s="87">
        <v>48.75</v>
      </c>
      <c r="F24" s="81" t="s">
        <v>340</v>
      </c>
      <c r="G24" s="81">
        <v>1</v>
      </c>
      <c r="H24" s="81" t="s">
        <v>121</v>
      </c>
      <c r="I24" s="84" t="s">
        <v>121</v>
      </c>
      <c r="J24" s="85"/>
      <c r="K24" s="85"/>
      <c r="L24" s="85"/>
      <c r="M24" s="86"/>
      <c r="N24" s="80"/>
      <c r="O24" s="81">
        <v>3</v>
      </c>
      <c r="P24" s="82" t="s">
        <v>348</v>
      </c>
      <c r="Q24" s="87">
        <v>50.9</v>
      </c>
      <c r="R24" s="81" t="s">
        <v>341</v>
      </c>
      <c r="S24" s="81" t="s">
        <v>121</v>
      </c>
      <c r="T24" s="81">
        <v>1</v>
      </c>
      <c r="U24" s="84" t="s">
        <v>121</v>
      </c>
    </row>
    <row r="25" spans="1:21" ht="15.75" customHeight="1">
      <c r="A25" s="56" t="s">
        <v>147</v>
      </c>
      <c r="B25" s="80"/>
      <c r="C25" s="81">
        <v>4</v>
      </c>
      <c r="D25" s="82" t="s">
        <v>349</v>
      </c>
      <c r="E25" s="87">
        <v>48.7</v>
      </c>
      <c r="F25" s="81" t="s">
        <v>340</v>
      </c>
      <c r="G25" s="81" t="s">
        <v>121</v>
      </c>
      <c r="H25" s="81" t="s">
        <v>121</v>
      </c>
      <c r="I25" s="84" t="s">
        <v>121</v>
      </c>
      <c r="J25" s="85"/>
      <c r="K25" s="85"/>
      <c r="L25" s="85"/>
      <c r="M25" s="86"/>
      <c r="N25" s="80"/>
      <c r="O25" s="81">
        <v>4</v>
      </c>
      <c r="P25" s="82" t="s">
        <v>350</v>
      </c>
      <c r="Q25" s="87">
        <v>48.9</v>
      </c>
      <c r="R25" s="81" t="s">
        <v>341</v>
      </c>
      <c r="S25" s="81" t="s">
        <v>121</v>
      </c>
      <c r="T25" s="81" t="s">
        <v>121</v>
      </c>
      <c r="U25" s="84" t="s">
        <v>121</v>
      </c>
    </row>
    <row r="26" spans="1:21" ht="15.75" customHeight="1">
      <c r="A26" s="56" t="s">
        <v>147</v>
      </c>
      <c r="B26" s="80"/>
      <c r="C26" s="81">
        <v>5</v>
      </c>
      <c r="D26" s="82" t="s">
        <v>351</v>
      </c>
      <c r="E26" s="87">
        <v>46.65</v>
      </c>
      <c r="F26" s="81" t="s">
        <v>341</v>
      </c>
      <c r="G26" s="81" t="s">
        <v>121</v>
      </c>
      <c r="H26" s="81" t="s">
        <v>121</v>
      </c>
      <c r="I26" s="84" t="s">
        <v>121</v>
      </c>
      <c r="J26" s="85"/>
      <c r="K26" s="85"/>
      <c r="L26" s="85"/>
      <c r="M26" s="86"/>
      <c r="N26" s="80"/>
      <c r="O26" s="81">
        <v>5</v>
      </c>
      <c r="P26" s="82" t="s">
        <v>352</v>
      </c>
      <c r="Q26" s="87">
        <v>48.6</v>
      </c>
      <c r="R26" s="81" t="s">
        <v>340</v>
      </c>
      <c r="S26" s="81" t="s">
        <v>121</v>
      </c>
      <c r="T26" s="81" t="s">
        <v>121</v>
      </c>
      <c r="U26" s="84" t="s">
        <v>121</v>
      </c>
    </row>
    <row r="27" spans="1:21" ht="15.75" customHeight="1">
      <c r="A27" s="56" t="s">
        <v>147</v>
      </c>
      <c r="B27" s="80"/>
      <c r="C27" s="81">
        <v>6</v>
      </c>
      <c r="D27" s="82" t="s">
        <v>353</v>
      </c>
      <c r="E27" s="87">
        <v>44.05</v>
      </c>
      <c r="F27" s="81" t="s">
        <v>340</v>
      </c>
      <c r="G27" s="81" t="s">
        <v>121</v>
      </c>
      <c r="H27" s="81" t="s">
        <v>121</v>
      </c>
      <c r="I27" s="84" t="s">
        <v>121</v>
      </c>
      <c r="J27" s="85"/>
      <c r="K27" s="85"/>
      <c r="L27" s="85"/>
      <c r="M27" s="86"/>
      <c r="N27" s="80"/>
      <c r="O27" s="81">
        <v>6</v>
      </c>
      <c r="P27" s="82" t="s">
        <v>354</v>
      </c>
      <c r="Q27" s="87">
        <v>11.75</v>
      </c>
      <c r="R27" s="81" t="s">
        <v>340</v>
      </c>
      <c r="S27" s="81" t="s">
        <v>121</v>
      </c>
      <c r="T27" s="81" t="s">
        <v>121</v>
      </c>
      <c r="U27" s="84" t="s">
        <v>121</v>
      </c>
    </row>
    <row r="28" spans="1:21" ht="15.75" customHeight="1">
      <c r="A28" s="56" t="s">
        <v>147</v>
      </c>
      <c r="B28" s="80"/>
      <c r="C28" s="81">
        <v>7</v>
      </c>
      <c r="D28" s="82" t="s">
        <v>355</v>
      </c>
      <c r="E28" s="87">
        <v>43.65</v>
      </c>
      <c r="F28" s="81" t="s">
        <v>340</v>
      </c>
      <c r="G28" s="81" t="s">
        <v>121</v>
      </c>
      <c r="H28" s="81" t="s">
        <v>121</v>
      </c>
      <c r="I28" s="84" t="s">
        <v>121</v>
      </c>
      <c r="J28" s="85"/>
      <c r="K28" s="85"/>
      <c r="L28" s="85"/>
      <c r="M28" s="86"/>
      <c r="N28" s="80"/>
      <c r="O28" s="81" t="s">
        <v>121</v>
      </c>
      <c r="P28" s="82"/>
      <c r="Q28" s="87" t="s">
        <v>121</v>
      </c>
      <c r="R28" s="81"/>
      <c r="S28" s="81" t="s">
        <v>121</v>
      </c>
      <c r="T28" s="81" t="s">
        <v>121</v>
      </c>
      <c r="U28" s="84" t="s">
        <v>121</v>
      </c>
    </row>
    <row r="29" spans="1:21" ht="15.75" customHeight="1">
      <c r="A29" s="56" t="s">
        <v>147</v>
      </c>
      <c r="B29" s="80"/>
      <c r="C29" s="81">
        <v>8</v>
      </c>
      <c r="D29" s="88" t="s">
        <v>356</v>
      </c>
      <c r="E29" s="87">
        <v>42.2</v>
      </c>
      <c r="F29" s="81" t="s">
        <v>341</v>
      </c>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147</v>
      </c>
      <c r="B30" s="80"/>
      <c r="C30" s="81">
        <v>9</v>
      </c>
      <c r="D30" s="88" t="s">
        <v>357</v>
      </c>
      <c r="E30" s="87">
        <v>41.85</v>
      </c>
      <c r="F30" s="81" t="s">
        <v>340</v>
      </c>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147</v>
      </c>
      <c r="B31" s="80"/>
      <c r="C31" s="81">
        <v>10</v>
      </c>
      <c r="D31" s="88" t="s">
        <v>358</v>
      </c>
      <c r="E31" s="87">
        <v>40</v>
      </c>
      <c r="F31" s="81" t="s">
        <v>341</v>
      </c>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147</v>
      </c>
      <c r="B32" s="80"/>
      <c r="C32" s="81">
        <v>11</v>
      </c>
      <c r="D32" s="88" t="s">
        <v>359</v>
      </c>
      <c r="E32" s="87">
        <v>38.299999999999997</v>
      </c>
      <c r="F32" s="81" t="s">
        <v>340</v>
      </c>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147</v>
      </c>
      <c r="B33" s="80"/>
      <c r="C33" s="81">
        <v>12</v>
      </c>
      <c r="D33" s="88" t="s">
        <v>360</v>
      </c>
      <c r="E33" s="87">
        <v>38.200000000000003</v>
      </c>
      <c r="F33" s="81" t="s">
        <v>341</v>
      </c>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30" t="s">
        <v>184</v>
      </c>
      <c r="D47" s="227"/>
      <c r="E47" s="227"/>
      <c r="F47" s="227"/>
      <c r="G47" s="90">
        <v>9</v>
      </c>
      <c r="H47" s="90">
        <v>0</v>
      </c>
      <c r="I47" s="84" t="s">
        <v>121</v>
      </c>
      <c r="J47" s="85"/>
      <c r="K47" s="85"/>
      <c r="L47" s="85"/>
      <c r="M47" s="86"/>
      <c r="N47" s="80"/>
      <c r="O47" s="230" t="s">
        <v>185</v>
      </c>
      <c r="P47" s="227"/>
      <c r="Q47" s="227"/>
      <c r="R47" s="227"/>
      <c r="S47" s="90">
        <v>3</v>
      </c>
      <c r="T47" s="90">
        <v>6</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99"/>
      <c r="C51" s="81">
        <v>1</v>
      </c>
      <c r="D51" s="82" t="s">
        <v>361</v>
      </c>
      <c r="E51" s="83">
        <v>103.15</v>
      </c>
      <c r="F51" s="81" t="s">
        <v>341</v>
      </c>
      <c r="G51" s="81" t="s">
        <v>121</v>
      </c>
      <c r="H51" s="81">
        <v>5</v>
      </c>
      <c r="I51" s="100" t="s">
        <v>121</v>
      </c>
      <c r="J51" s="85"/>
      <c r="K51" s="85"/>
      <c r="L51" s="85"/>
      <c r="M51" s="86"/>
      <c r="N51" s="99"/>
      <c r="O51" s="81">
        <v>1</v>
      </c>
      <c r="P51" s="82" t="s">
        <v>362</v>
      </c>
      <c r="Q51" s="83">
        <v>99.7</v>
      </c>
      <c r="R51" s="81" t="s">
        <v>340</v>
      </c>
      <c r="S51" s="81">
        <v>5</v>
      </c>
      <c r="T51" s="81" t="s">
        <v>121</v>
      </c>
      <c r="U51" s="100" t="s">
        <v>121</v>
      </c>
    </row>
    <row r="52" spans="1:21" ht="13.2">
      <c r="A52" s="56" t="s">
        <v>151</v>
      </c>
      <c r="B52" s="99"/>
      <c r="C52" s="81">
        <v>2</v>
      </c>
      <c r="D52" s="82" t="s">
        <v>363</v>
      </c>
      <c r="E52" s="87">
        <v>82.6</v>
      </c>
      <c r="F52" s="81" t="s">
        <v>340</v>
      </c>
      <c r="G52" s="81">
        <v>3</v>
      </c>
      <c r="H52" s="81" t="s">
        <v>121</v>
      </c>
      <c r="I52" s="100" t="s">
        <v>121</v>
      </c>
      <c r="J52" s="85"/>
      <c r="K52" s="85"/>
      <c r="L52" s="85"/>
      <c r="M52" s="86"/>
      <c r="N52" s="99"/>
      <c r="O52" s="81">
        <v>2</v>
      </c>
      <c r="P52" s="82" t="s">
        <v>364</v>
      </c>
      <c r="Q52" s="87">
        <v>71.2</v>
      </c>
      <c r="R52" s="81" t="s">
        <v>341</v>
      </c>
      <c r="S52" s="81" t="s">
        <v>121</v>
      </c>
      <c r="T52" s="81">
        <v>3</v>
      </c>
      <c r="U52" s="100" t="s">
        <v>123</v>
      </c>
    </row>
    <row r="53" spans="1:21" ht="13.2">
      <c r="A53" s="56" t="s">
        <v>151</v>
      </c>
      <c r="B53" s="99"/>
      <c r="C53" s="81">
        <v>3</v>
      </c>
      <c r="D53" s="82" t="s">
        <v>365</v>
      </c>
      <c r="E53" s="87">
        <v>73.95</v>
      </c>
      <c r="F53" s="81" t="s">
        <v>341</v>
      </c>
      <c r="G53" s="81" t="s">
        <v>121</v>
      </c>
      <c r="H53" s="81">
        <v>1</v>
      </c>
      <c r="I53" s="100" t="s">
        <v>121</v>
      </c>
      <c r="J53" s="85"/>
      <c r="K53" s="85"/>
      <c r="L53" s="85"/>
      <c r="M53" s="86"/>
      <c r="N53" s="99"/>
      <c r="O53" s="81">
        <v>3</v>
      </c>
      <c r="P53" s="82" t="s">
        <v>366</v>
      </c>
      <c r="Q53" s="87">
        <v>67.599999999999994</v>
      </c>
      <c r="R53" s="81" t="s">
        <v>341</v>
      </c>
      <c r="S53" s="81" t="s">
        <v>121</v>
      </c>
      <c r="T53" s="81">
        <v>1</v>
      </c>
      <c r="U53" s="100" t="s">
        <v>121</v>
      </c>
    </row>
    <row r="54" spans="1:21" ht="13.2">
      <c r="A54" s="56" t="s">
        <v>151</v>
      </c>
      <c r="B54" s="99"/>
      <c r="C54" s="81">
        <v>4</v>
      </c>
      <c r="D54" s="82" t="s">
        <v>367</v>
      </c>
      <c r="E54" s="87">
        <v>65.95</v>
      </c>
      <c r="F54" s="81" t="s">
        <v>340</v>
      </c>
      <c r="G54" s="81" t="s">
        <v>121</v>
      </c>
      <c r="H54" s="81" t="s">
        <v>121</v>
      </c>
      <c r="I54" s="100" t="s">
        <v>121</v>
      </c>
      <c r="J54" s="85"/>
      <c r="K54" s="85"/>
      <c r="L54" s="85"/>
      <c r="M54" s="86"/>
      <c r="N54" s="99"/>
      <c r="O54" s="81">
        <v>4</v>
      </c>
      <c r="P54" s="82" t="s">
        <v>368</v>
      </c>
      <c r="Q54" s="87">
        <v>67.150000000000006</v>
      </c>
      <c r="R54" s="81" t="s">
        <v>341</v>
      </c>
      <c r="S54" s="81" t="s">
        <v>121</v>
      </c>
      <c r="T54" s="81" t="s">
        <v>121</v>
      </c>
      <c r="U54" s="100" t="s">
        <v>121</v>
      </c>
    </row>
    <row r="55" spans="1:21" ht="26.4">
      <c r="A55" s="56" t="s">
        <v>151</v>
      </c>
      <c r="B55" s="99"/>
      <c r="C55" s="81">
        <v>5</v>
      </c>
      <c r="D55" s="82" t="s">
        <v>369</v>
      </c>
      <c r="E55" s="87">
        <v>61.35</v>
      </c>
      <c r="F55" s="81" t="s">
        <v>340</v>
      </c>
      <c r="G55" s="81" t="s">
        <v>121</v>
      </c>
      <c r="H55" s="81" t="s">
        <v>121</v>
      </c>
      <c r="I55" s="100" t="s">
        <v>121</v>
      </c>
      <c r="J55" s="85"/>
      <c r="K55" s="85"/>
      <c r="L55" s="85"/>
      <c r="M55" s="86"/>
      <c r="N55" s="99"/>
      <c r="O55" s="81">
        <v>5</v>
      </c>
      <c r="P55" s="82" t="s">
        <v>370</v>
      </c>
      <c r="Q55" s="87">
        <v>53.4</v>
      </c>
      <c r="R55" s="81" t="s">
        <v>340</v>
      </c>
      <c r="S55" s="81" t="s">
        <v>121</v>
      </c>
      <c r="T55" s="81" t="s">
        <v>121</v>
      </c>
      <c r="U55" s="100" t="s">
        <v>121</v>
      </c>
    </row>
    <row r="56" spans="1:21" ht="13.2">
      <c r="A56" s="56" t="s">
        <v>151</v>
      </c>
      <c r="B56" s="99"/>
      <c r="C56" s="81">
        <v>6</v>
      </c>
      <c r="D56" s="82" t="s">
        <v>371</v>
      </c>
      <c r="E56" s="87">
        <v>60.1</v>
      </c>
      <c r="F56" s="81" t="s">
        <v>341</v>
      </c>
      <c r="G56" s="81" t="s">
        <v>121</v>
      </c>
      <c r="H56" s="81" t="s">
        <v>121</v>
      </c>
      <c r="I56" s="100" t="s">
        <v>121</v>
      </c>
      <c r="J56" s="85"/>
      <c r="K56" s="85"/>
      <c r="L56" s="85"/>
      <c r="M56" s="86"/>
      <c r="N56" s="99"/>
      <c r="O56" s="81">
        <v>6</v>
      </c>
      <c r="P56" s="82" t="s">
        <v>372</v>
      </c>
      <c r="Q56" s="87">
        <v>49.7</v>
      </c>
      <c r="R56" s="81" t="s">
        <v>341</v>
      </c>
      <c r="S56" s="81" t="s">
        <v>121</v>
      </c>
      <c r="T56" s="81" t="s">
        <v>121</v>
      </c>
      <c r="U56" s="100" t="s">
        <v>121</v>
      </c>
    </row>
    <row r="57" spans="1:21" ht="13.2">
      <c r="A57" s="56" t="s">
        <v>151</v>
      </c>
      <c r="B57" s="99"/>
      <c r="C57" s="81">
        <v>7</v>
      </c>
      <c r="D57" s="82" t="s">
        <v>373</v>
      </c>
      <c r="E57" s="87">
        <v>60</v>
      </c>
      <c r="F57" s="81" t="s">
        <v>340</v>
      </c>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30" t="s">
        <v>199</v>
      </c>
      <c r="D66" s="227"/>
      <c r="E66" s="227"/>
      <c r="F66" s="228"/>
      <c r="G66" s="90">
        <v>3</v>
      </c>
      <c r="H66" s="90">
        <v>6</v>
      </c>
      <c r="I66" s="100" t="s">
        <v>121</v>
      </c>
      <c r="J66" s="85"/>
      <c r="K66" s="85"/>
      <c r="L66" s="85"/>
      <c r="M66" s="86"/>
      <c r="N66" s="99"/>
      <c r="O66" s="230" t="s">
        <v>200</v>
      </c>
      <c r="P66" s="227"/>
      <c r="Q66" s="227"/>
      <c r="R66" s="228"/>
      <c r="S66" s="90">
        <v>5</v>
      </c>
      <c r="T66" s="90">
        <v>4</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13.2">
      <c r="A70" s="56" t="s">
        <v>155</v>
      </c>
      <c r="B70" s="80"/>
      <c r="C70" s="81">
        <v>1</v>
      </c>
      <c r="D70" s="82" t="s">
        <v>374</v>
      </c>
      <c r="E70" s="83">
        <v>144.44999999999999</v>
      </c>
      <c r="F70" s="81" t="s">
        <v>341</v>
      </c>
      <c r="G70" s="81" t="s">
        <v>121</v>
      </c>
      <c r="H70" s="81">
        <v>5</v>
      </c>
      <c r="I70" s="84" t="s">
        <v>121</v>
      </c>
      <c r="J70" s="85"/>
      <c r="K70" s="85"/>
      <c r="L70" s="85"/>
      <c r="M70" s="86"/>
      <c r="N70" s="80"/>
      <c r="O70" s="81">
        <v>1</v>
      </c>
      <c r="P70" s="82" t="s">
        <v>375</v>
      </c>
      <c r="Q70" s="83">
        <v>147.44999999999999</v>
      </c>
      <c r="R70" s="81" t="s">
        <v>341</v>
      </c>
      <c r="S70" s="81" t="s">
        <v>121</v>
      </c>
      <c r="T70" s="81">
        <v>5</v>
      </c>
      <c r="U70" s="84" t="s">
        <v>121</v>
      </c>
    </row>
    <row r="71" spans="1:21" ht="13.2">
      <c r="A71" s="56" t="s">
        <v>155</v>
      </c>
      <c r="B71" s="80"/>
      <c r="C71" s="81">
        <v>2</v>
      </c>
      <c r="D71" s="82" t="s">
        <v>376</v>
      </c>
      <c r="E71" s="87">
        <v>109.8</v>
      </c>
      <c r="F71" s="81" t="s">
        <v>340</v>
      </c>
      <c r="G71" s="81">
        <v>3</v>
      </c>
      <c r="H71" s="81" t="s">
        <v>121</v>
      </c>
      <c r="I71" s="84" t="s">
        <v>121</v>
      </c>
      <c r="J71" s="85"/>
      <c r="K71" s="85"/>
      <c r="L71" s="85"/>
      <c r="M71" s="86"/>
      <c r="N71" s="80"/>
      <c r="O71" s="81">
        <v>2</v>
      </c>
      <c r="P71" s="82" t="s">
        <v>377</v>
      </c>
      <c r="Q71" s="87">
        <v>101.9</v>
      </c>
      <c r="R71" s="81" t="s">
        <v>340</v>
      </c>
      <c r="S71" s="81">
        <v>3</v>
      </c>
      <c r="T71" s="81" t="s">
        <v>121</v>
      </c>
      <c r="U71" s="84" t="s">
        <v>121</v>
      </c>
    </row>
    <row r="72" spans="1:21" ht="13.2">
      <c r="A72" s="56" t="s">
        <v>155</v>
      </c>
      <c r="B72" s="80"/>
      <c r="C72" s="81">
        <v>3</v>
      </c>
      <c r="D72" s="82" t="s">
        <v>378</v>
      </c>
      <c r="E72" s="87">
        <v>109.1</v>
      </c>
      <c r="F72" s="81" t="s">
        <v>341</v>
      </c>
      <c r="G72" s="81" t="s">
        <v>121</v>
      </c>
      <c r="H72" s="81">
        <v>1</v>
      </c>
      <c r="I72" s="84" t="s">
        <v>121</v>
      </c>
      <c r="J72" s="85"/>
      <c r="K72" s="85"/>
      <c r="L72" s="85"/>
      <c r="M72" s="86"/>
      <c r="N72" s="80"/>
      <c r="O72" s="81">
        <v>3</v>
      </c>
      <c r="P72" s="82" t="s">
        <v>379</v>
      </c>
      <c r="Q72" s="87">
        <v>85.4</v>
      </c>
      <c r="R72" s="81" t="s">
        <v>341</v>
      </c>
      <c r="S72" s="81" t="s">
        <v>121</v>
      </c>
      <c r="T72" s="81">
        <v>1</v>
      </c>
      <c r="U72" s="84" t="s">
        <v>121</v>
      </c>
    </row>
    <row r="73" spans="1:21" ht="13.2">
      <c r="A73" s="56" t="s">
        <v>155</v>
      </c>
      <c r="B73" s="80"/>
      <c r="C73" s="81">
        <v>4</v>
      </c>
      <c r="D73" s="82" t="s">
        <v>380</v>
      </c>
      <c r="E73" s="87">
        <v>103.95</v>
      </c>
      <c r="F73" s="81" t="s">
        <v>341</v>
      </c>
      <c r="G73" s="81" t="s">
        <v>121</v>
      </c>
      <c r="H73" s="81" t="s">
        <v>121</v>
      </c>
      <c r="I73" s="84" t="s">
        <v>121</v>
      </c>
      <c r="J73" s="85"/>
      <c r="K73" s="85"/>
      <c r="L73" s="85"/>
      <c r="M73" s="86"/>
      <c r="N73" s="80"/>
      <c r="O73" s="81">
        <v>4</v>
      </c>
      <c r="P73" s="82" t="s">
        <v>381</v>
      </c>
      <c r="Q73" s="87">
        <v>77.75</v>
      </c>
      <c r="R73" s="81" t="s">
        <v>341</v>
      </c>
      <c r="S73" s="81" t="s">
        <v>121</v>
      </c>
      <c r="T73" s="81" t="s">
        <v>121</v>
      </c>
      <c r="U73" s="84" t="s">
        <v>121</v>
      </c>
    </row>
    <row r="74" spans="1:21" ht="13.2">
      <c r="A74" s="56" t="s">
        <v>155</v>
      </c>
      <c r="B74" s="80"/>
      <c r="C74" s="81">
        <v>5</v>
      </c>
      <c r="D74" s="82" t="s">
        <v>382</v>
      </c>
      <c r="E74" s="87">
        <v>94.95</v>
      </c>
      <c r="F74" s="81" t="s">
        <v>340</v>
      </c>
      <c r="G74" s="81" t="s">
        <v>121</v>
      </c>
      <c r="H74" s="81" t="s">
        <v>121</v>
      </c>
      <c r="I74" s="84" t="s">
        <v>121</v>
      </c>
      <c r="J74" s="85"/>
      <c r="K74" s="85"/>
      <c r="L74" s="85"/>
      <c r="M74" s="86"/>
      <c r="N74" s="80"/>
      <c r="O74" s="81">
        <v>5</v>
      </c>
      <c r="P74" s="82" t="s">
        <v>383</v>
      </c>
      <c r="Q74" s="87">
        <v>68.849999999999994</v>
      </c>
      <c r="R74" s="81" t="s">
        <v>341</v>
      </c>
      <c r="S74" s="81" t="s">
        <v>121</v>
      </c>
      <c r="T74" s="81" t="s">
        <v>121</v>
      </c>
      <c r="U74" s="84" t="s">
        <v>121</v>
      </c>
    </row>
    <row r="75" spans="1:21" ht="13.2">
      <c r="A75" s="56" t="s">
        <v>155</v>
      </c>
      <c r="B75" s="80"/>
      <c r="C75" s="81">
        <v>6</v>
      </c>
      <c r="D75" s="82" t="s">
        <v>384</v>
      </c>
      <c r="E75" s="87">
        <v>89.55</v>
      </c>
      <c r="F75" s="81" t="s">
        <v>341</v>
      </c>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30" t="s">
        <v>210</v>
      </c>
      <c r="D80" s="227"/>
      <c r="E80" s="227"/>
      <c r="F80" s="227"/>
      <c r="G80" s="90">
        <v>3</v>
      </c>
      <c r="H80" s="90">
        <v>6</v>
      </c>
      <c r="I80" s="84" t="s">
        <v>121</v>
      </c>
      <c r="J80" s="85"/>
      <c r="K80" s="85"/>
      <c r="L80" s="85"/>
      <c r="M80" s="86"/>
      <c r="N80" s="80"/>
      <c r="O80" s="230" t="s">
        <v>211</v>
      </c>
      <c r="P80" s="227"/>
      <c r="Q80" s="227"/>
      <c r="R80" s="227"/>
      <c r="S80" s="90">
        <v>3</v>
      </c>
      <c r="T80" s="90">
        <v>6</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99"/>
      <c r="C84" s="81">
        <v>1</v>
      </c>
      <c r="D84" s="82" t="s">
        <v>385</v>
      </c>
      <c r="E84" s="83">
        <v>185.4</v>
      </c>
      <c r="F84" s="81" t="s">
        <v>341</v>
      </c>
      <c r="G84" s="81" t="s">
        <v>121</v>
      </c>
      <c r="H84" s="81">
        <v>5</v>
      </c>
      <c r="I84" s="100" t="s">
        <v>121</v>
      </c>
      <c r="J84" s="85"/>
      <c r="K84" s="85"/>
      <c r="L84" s="85"/>
      <c r="M84" s="86"/>
      <c r="N84" s="99"/>
      <c r="O84" s="81">
        <v>1</v>
      </c>
      <c r="P84" s="82" t="s">
        <v>386</v>
      </c>
      <c r="Q84" s="83">
        <v>277</v>
      </c>
      <c r="R84" s="81" t="s">
        <v>340</v>
      </c>
      <c r="S84" s="81">
        <v>5</v>
      </c>
      <c r="T84" s="81" t="s">
        <v>121</v>
      </c>
      <c r="U84" s="100" t="s">
        <v>121</v>
      </c>
    </row>
    <row r="85" spans="1:21" ht="13.2">
      <c r="A85" s="56" t="s">
        <v>159</v>
      </c>
      <c r="B85" s="99"/>
      <c r="C85" s="81">
        <v>2</v>
      </c>
      <c r="D85" s="82" t="s">
        <v>387</v>
      </c>
      <c r="E85" s="87">
        <v>177.8</v>
      </c>
      <c r="F85" s="81" t="s">
        <v>341</v>
      </c>
      <c r="G85" s="81" t="s">
        <v>121</v>
      </c>
      <c r="H85" s="81">
        <v>3</v>
      </c>
      <c r="I85" s="100" t="s">
        <v>121</v>
      </c>
      <c r="J85" s="85"/>
      <c r="K85" s="85"/>
      <c r="L85" s="85"/>
      <c r="M85" s="86"/>
      <c r="N85" s="99"/>
      <c r="O85" s="81">
        <v>2</v>
      </c>
      <c r="P85" s="82" t="s">
        <v>388</v>
      </c>
      <c r="Q85" s="87">
        <v>230.05</v>
      </c>
      <c r="R85" s="81" t="s">
        <v>341</v>
      </c>
      <c r="S85" s="81" t="s">
        <v>121</v>
      </c>
      <c r="T85" s="81">
        <v>3</v>
      </c>
      <c r="U85" s="100" t="s">
        <v>121</v>
      </c>
    </row>
    <row r="86" spans="1:21" ht="13.2">
      <c r="A86" s="56" t="s">
        <v>159</v>
      </c>
      <c r="B86" s="99"/>
      <c r="C86" s="81">
        <v>3</v>
      </c>
      <c r="D86" s="82" t="s">
        <v>389</v>
      </c>
      <c r="E86" s="87">
        <v>174.1</v>
      </c>
      <c r="F86" s="81" t="s">
        <v>341</v>
      </c>
      <c r="G86" s="81" t="s">
        <v>121</v>
      </c>
      <c r="H86" s="81">
        <v>1</v>
      </c>
      <c r="I86" s="100" t="s">
        <v>121</v>
      </c>
      <c r="J86" s="85"/>
      <c r="K86" s="85"/>
      <c r="L86" s="85"/>
      <c r="M86" s="86"/>
      <c r="N86" s="99"/>
      <c r="O86" s="81">
        <v>3</v>
      </c>
      <c r="P86" s="82" t="s">
        <v>390</v>
      </c>
      <c r="Q86" s="87">
        <v>195.65</v>
      </c>
      <c r="R86" s="81" t="s">
        <v>341</v>
      </c>
      <c r="S86" s="81" t="s">
        <v>121</v>
      </c>
      <c r="T86" s="81">
        <v>1</v>
      </c>
      <c r="U86" s="100" t="s">
        <v>121</v>
      </c>
    </row>
    <row r="87" spans="1:21" ht="13.2">
      <c r="A87" s="56" t="s">
        <v>159</v>
      </c>
      <c r="B87" s="99"/>
      <c r="C87" s="81">
        <v>4</v>
      </c>
      <c r="D87" s="82" t="s">
        <v>391</v>
      </c>
      <c r="E87" s="87">
        <v>150.75</v>
      </c>
      <c r="F87" s="81" t="s">
        <v>341</v>
      </c>
      <c r="G87" s="81" t="s">
        <v>121</v>
      </c>
      <c r="H87" s="81" t="s">
        <v>121</v>
      </c>
      <c r="I87" s="100" t="s">
        <v>121</v>
      </c>
      <c r="J87" s="85"/>
      <c r="K87" s="85"/>
      <c r="L87" s="85"/>
      <c r="M87" s="86"/>
      <c r="N87" s="99"/>
      <c r="O87" s="81">
        <v>4</v>
      </c>
      <c r="P87" s="82" t="s">
        <v>392</v>
      </c>
      <c r="Q87" s="87">
        <v>193.8</v>
      </c>
      <c r="R87" s="81" t="s">
        <v>340</v>
      </c>
      <c r="S87" s="81" t="s">
        <v>121</v>
      </c>
      <c r="T87" s="81" t="s">
        <v>121</v>
      </c>
      <c r="U87" s="100" t="s">
        <v>121</v>
      </c>
    </row>
    <row r="88" spans="1:21" ht="13.2">
      <c r="A88" s="56" t="s">
        <v>159</v>
      </c>
      <c r="B88" s="99"/>
      <c r="C88" s="81">
        <v>5</v>
      </c>
      <c r="D88" s="82" t="s">
        <v>393</v>
      </c>
      <c r="E88" s="87">
        <v>124.95</v>
      </c>
      <c r="F88" s="81" t="s">
        <v>341</v>
      </c>
      <c r="G88" s="81" t="s">
        <v>121</v>
      </c>
      <c r="H88" s="81" t="s">
        <v>121</v>
      </c>
      <c r="I88" s="100" t="s">
        <v>121</v>
      </c>
      <c r="J88" s="85"/>
      <c r="K88" s="85"/>
      <c r="L88" s="85"/>
      <c r="M88" s="86"/>
      <c r="N88" s="99"/>
      <c r="O88" s="81">
        <v>5</v>
      </c>
      <c r="P88" s="88" t="s">
        <v>394</v>
      </c>
      <c r="Q88" s="87">
        <v>171.7</v>
      </c>
      <c r="R88" s="81" t="s">
        <v>341</v>
      </c>
      <c r="S88" s="81" t="s">
        <v>121</v>
      </c>
      <c r="T88" s="81" t="s">
        <v>121</v>
      </c>
      <c r="U88" s="100" t="s">
        <v>121</v>
      </c>
    </row>
    <row r="89" spans="1:21" ht="13.2">
      <c r="A89" s="56" t="s">
        <v>159</v>
      </c>
      <c r="B89" s="99"/>
      <c r="C89" s="81">
        <v>6</v>
      </c>
      <c r="D89" s="82" t="s">
        <v>395</v>
      </c>
      <c r="E89" s="87">
        <v>112.65</v>
      </c>
      <c r="F89" s="81" t="s">
        <v>341</v>
      </c>
      <c r="G89" s="81" t="s">
        <v>121</v>
      </c>
      <c r="H89" s="81" t="s">
        <v>121</v>
      </c>
      <c r="I89" s="100" t="s">
        <v>121</v>
      </c>
      <c r="J89" s="85"/>
      <c r="K89" s="85"/>
      <c r="L89" s="85"/>
      <c r="M89" s="86"/>
      <c r="N89" s="99"/>
      <c r="O89" s="81">
        <v>6</v>
      </c>
      <c r="P89" s="88" t="s">
        <v>396</v>
      </c>
      <c r="Q89" s="87">
        <v>147</v>
      </c>
      <c r="R89" s="81" t="s">
        <v>340</v>
      </c>
      <c r="S89" s="81" t="s">
        <v>121</v>
      </c>
      <c r="T89" s="81" t="s">
        <v>121</v>
      </c>
      <c r="U89" s="100" t="s">
        <v>121</v>
      </c>
    </row>
    <row r="90" spans="1:21" ht="13.2">
      <c r="A90" s="56" t="s">
        <v>159</v>
      </c>
      <c r="B90" s="99"/>
      <c r="C90" s="81">
        <v>7</v>
      </c>
      <c r="D90" s="88" t="s">
        <v>397</v>
      </c>
      <c r="E90" s="87" t="s">
        <v>122</v>
      </c>
      <c r="F90" s="81" t="s">
        <v>340</v>
      </c>
      <c r="G90" s="81" t="s">
        <v>121</v>
      </c>
      <c r="H90" s="81" t="s">
        <v>121</v>
      </c>
      <c r="I90" s="100" t="s">
        <v>121</v>
      </c>
      <c r="J90" s="85"/>
      <c r="K90" s="85"/>
      <c r="L90" s="85"/>
      <c r="M90" s="86"/>
      <c r="N90" s="99"/>
      <c r="O90" s="81">
        <v>7</v>
      </c>
      <c r="P90" s="88" t="s">
        <v>398</v>
      </c>
      <c r="Q90" s="87">
        <v>135.30000000000001</v>
      </c>
      <c r="R90" s="81" t="s">
        <v>340</v>
      </c>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30" t="s">
        <v>220</v>
      </c>
      <c r="D94" s="227"/>
      <c r="E94" s="227"/>
      <c r="F94" s="227"/>
      <c r="G94" s="90">
        <v>0</v>
      </c>
      <c r="H94" s="90">
        <v>9</v>
      </c>
      <c r="I94" s="100" t="s">
        <v>121</v>
      </c>
      <c r="J94" s="85"/>
      <c r="K94" s="85"/>
      <c r="L94" s="85"/>
      <c r="M94" s="86"/>
      <c r="N94" s="99"/>
      <c r="O94" s="230" t="s">
        <v>221</v>
      </c>
      <c r="P94" s="227"/>
      <c r="Q94" s="227"/>
      <c r="R94" s="227"/>
      <c r="S94" s="90">
        <v>5</v>
      </c>
      <c r="T94" s="90">
        <v>4</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399</v>
      </c>
      <c r="R96" s="227"/>
      <c r="S96" s="227"/>
      <c r="T96" s="228"/>
      <c r="U96" s="4" t="s">
        <v>121</v>
      </c>
    </row>
    <row r="97" spans="1:21" ht="13.2">
      <c r="A97" s="56"/>
      <c r="B97" s="4"/>
      <c r="C97" s="249" t="s">
        <v>400</v>
      </c>
      <c r="D97" s="235"/>
      <c r="E97" s="235"/>
      <c r="F97" s="235"/>
      <c r="G97" s="235"/>
      <c r="H97" s="236"/>
      <c r="I97" s="85" t="s">
        <v>121</v>
      </c>
      <c r="J97" s="85"/>
      <c r="K97" s="85"/>
      <c r="L97" s="85"/>
      <c r="M97" s="86"/>
      <c r="N97" s="107"/>
      <c r="O97" s="110" t="s">
        <v>226</v>
      </c>
      <c r="P97" s="111"/>
      <c r="Q97" s="231" t="s">
        <v>401</v>
      </c>
      <c r="R97" s="227"/>
      <c r="S97" s="227"/>
      <c r="T97" s="228"/>
      <c r="U97" s="4"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B99" s="4"/>
      <c r="C99" s="112" t="s">
        <v>228</v>
      </c>
      <c r="D99" s="113"/>
      <c r="E99" s="233" t="s">
        <v>401</v>
      </c>
      <c r="F99" s="227"/>
      <c r="G99" s="227"/>
      <c r="H99" s="228"/>
      <c r="I99" s="85" t="s">
        <v>121</v>
      </c>
      <c r="J99" s="85"/>
      <c r="K99" s="85"/>
      <c r="L99" s="85"/>
      <c r="M99" s="86"/>
      <c r="N99" s="107"/>
      <c r="O99" s="112" t="s">
        <v>229</v>
      </c>
      <c r="P99" s="113"/>
      <c r="Q99" s="233" t="s">
        <v>402</v>
      </c>
      <c r="R99" s="227"/>
      <c r="S99" s="227"/>
      <c r="T99" s="228"/>
      <c r="U99" s="4"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B101" s="4"/>
      <c r="C101" s="250" t="s">
        <v>403</v>
      </c>
      <c r="D101" s="235"/>
      <c r="E101" s="235"/>
      <c r="F101" s="235"/>
      <c r="G101" s="235"/>
      <c r="H101" s="236"/>
      <c r="I101" s="4" t="s">
        <v>121</v>
      </c>
      <c r="J101" s="4"/>
      <c r="K101" s="4"/>
      <c r="L101" s="4"/>
      <c r="M101" s="71"/>
      <c r="N101" s="109"/>
      <c r="O101" s="234" t="s">
        <v>121</v>
      </c>
      <c r="P101" s="235"/>
      <c r="Q101" s="235"/>
      <c r="R101" s="235"/>
      <c r="S101" s="235"/>
      <c r="T101" s="236"/>
      <c r="U101" s="4"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14"/>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129"/>
      <c r="C109" s="251" t="s">
        <v>130</v>
      </c>
      <c r="D109" s="227"/>
      <c r="E109" s="252" t="s">
        <v>336</v>
      </c>
      <c r="F109" s="227"/>
      <c r="G109" s="228"/>
      <c r="H109" s="130" t="s">
        <v>404</v>
      </c>
      <c r="I109" s="131" t="s">
        <v>121</v>
      </c>
      <c r="J109" s="132"/>
      <c r="K109" s="132"/>
      <c r="L109" s="132"/>
      <c r="M109" s="133"/>
      <c r="N109" s="48"/>
      <c r="O109" s="244" t="s">
        <v>132</v>
      </c>
      <c r="P109" s="227"/>
      <c r="Q109" s="245" t="s">
        <v>337</v>
      </c>
      <c r="R109" s="227"/>
      <c r="S109" s="228"/>
      <c r="T109" s="134" t="s">
        <v>405</v>
      </c>
      <c r="U109" s="135" t="s">
        <v>121</v>
      </c>
    </row>
    <row r="110" spans="1:21" ht="17.399999999999999">
      <c r="A110" s="56"/>
      <c r="B110" s="136"/>
      <c r="C110" s="253" t="s">
        <v>1</v>
      </c>
      <c r="D110" s="228"/>
      <c r="E110" s="254">
        <v>58</v>
      </c>
      <c r="F110" s="227"/>
      <c r="G110" s="227"/>
      <c r="H110" s="137"/>
      <c r="I110" s="131" t="s">
        <v>121</v>
      </c>
      <c r="J110" s="138"/>
      <c r="K110" s="138"/>
      <c r="L110" s="138"/>
      <c r="M110" s="139"/>
      <c r="N110" s="48"/>
      <c r="O110" s="246" t="s">
        <v>1</v>
      </c>
      <c r="P110" s="228"/>
      <c r="Q110" s="247">
        <v>14</v>
      </c>
      <c r="R110" s="227"/>
      <c r="S110" s="227"/>
      <c r="T110" s="140"/>
      <c r="U110" s="135"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B113" s="4"/>
      <c r="C113" s="62" t="s">
        <v>147</v>
      </c>
      <c r="D113" s="63" t="s">
        <v>148</v>
      </c>
      <c r="E113" s="57"/>
      <c r="F113" s="57"/>
      <c r="G113" s="64">
        <v>9</v>
      </c>
      <c r="H113" s="65">
        <v>0</v>
      </c>
      <c r="I113" s="55" t="s">
        <v>121</v>
      </c>
      <c r="J113" s="55"/>
      <c r="K113" s="55"/>
      <c r="L113" s="55"/>
      <c r="M113" s="61"/>
      <c r="N113" s="4"/>
      <c r="O113" s="62" t="s">
        <v>149</v>
      </c>
      <c r="P113" s="63" t="s">
        <v>150</v>
      </c>
      <c r="Q113" s="57"/>
      <c r="R113" s="57"/>
      <c r="S113" s="64">
        <v>9</v>
      </c>
      <c r="T113" s="65">
        <v>0</v>
      </c>
      <c r="U113" s="55" t="s">
        <v>121</v>
      </c>
    </row>
    <row r="114" spans="1:21" ht="13.2">
      <c r="A114" s="56"/>
      <c r="B114" s="4"/>
      <c r="C114" s="62" t="s">
        <v>151</v>
      </c>
      <c r="D114" s="63" t="s">
        <v>152</v>
      </c>
      <c r="E114" s="57"/>
      <c r="F114" s="57"/>
      <c r="G114" s="64">
        <v>6</v>
      </c>
      <c r="H114" s="65">
        <v>3</v>
      </c>
      <c r="I114" s="55" t="s">
        <v>121</v>
      </c>
      <c r="J114" s="55"/>
      <c r="K114" s="55"/>
      <c r="L114" s="55"/>
      <c r="M114" s="61"/>
      <c r="N114" s="4"/>
      <c r="O114" s="62" t="s">
        <v>153</v>
      </c>
      <c r="P114" s="63" t="s">
        <v>154</v>
      </c>
      <c r="Q114" s="57"/>
      <c r="R114" s="57"/>
      <c r="S114" s="64">
        <v>9</v>
      </c>
      <c r="T114" s="65">
        <v>0</v>
      </c>
      <c r="U114" s="55" t="s">
        <v>121</v>
      </c>
    </row>
    <row r="115" spans="1:21" ht="13.2">
      <c r="A115" s="56"/>
      <c r="B115" s="4"/>
      <c r="C115" s="62" t="s">
        <v>155</v>
      </c>
      <c r="D115" s="63" t="s">
        <v>156</v>
      </c>
      <c r="E115" s="57"/>
      <c r="F115" s="57"/>
      <c r="G115" s="64">
        <v>8</v>
      </c>
      <c r="H115" s="65">
        <v>1</v>
      </c>
      <c r="I115" s="55" t="s">
        <v>121</v>
      </c>
      <c r="J115" s="55"/>
      <c r="K115" s="55"/>
      <c r="L115" s="55"/>
      <c r="M115" s="61"/>
      <c r="N115" s="4"/>
      <c r="O115" s="62" t="s">
        <v>157</v>
      </c>
      <c r="P115" s="63" t="s">
        <v>158</v>
      </c>
      <c r="Q115" s="57"/>
      <c r="R115" s="57"/>
      <c r="S115" s="64">
        <v>9</v>
      </c>
      <c r="T115" s="65">
        <v>0</v>
      </c>
      <c r="U115" s="55" t="s">
        <v>121</v>
      </c>
    </row>
    <row r="116" spans="1:21" ht="13.2">
      <c r="A116" s="56"/>
      <c r="B116" s="4"/>
      <c r="C116" s="62" t="s">
        <v>159</v>
      </c>
      <c r="D116" s="63" t="s">
        <v>160</v>
      </c>
      <c r="E116" s="57"/>
      <c r="F116" s="57"/>
      <c r="G116" s="64">
        <v>4</v>
      </c>
      <c r="H116" s="65">
        <v>5</v>
      </c>
      <c r="I116" s="55" t="s">
        <v>121</v>
      </c>
      <c r="J116" s="55"/>
      <c r="K116" s="55"/>
      <c r="L116" s="55"/>
      <c r="M116" s="61"/>
      <c r="N116" s="4"/>
      <c r="O116" s="62" t="s">
        <v>161</v>
      </c>
      <c r="P116" s="63" t="s">
        <v>162</v>
      </c>
      <c r="Q116" s="57"/>
      <c r="R116" s="57"/>
      <c r="S116" s="64">
        <v>4</v>
      </c>
      <c r="T116" s="65">
        <v>5</v>
      </c>
      <c r="U116" s="55" t="s">
        <v>121</v>
      </c>
    </row>
    <row r="117" spans="1:21" ht="13.2">
      <c r="A117" s="56"/>
      <c r="B117" s="4"/>
      <c r="C117" s="66"/>
      <c r="D117" s="67" t="s">
        <v>163</v>
      </c>
      <c r="E117" s="68"/>
      <c r="F117" s="68"/>
      <c r="G117" s="69">
        <v>27</v>
      </c>
      <c r="H117" s="70">
        <v>9</v>
      </c>
      <c r="I117" s="55" t="s">
        <v>121</v>
      </c>
      <c r="J117" s="55"/>
      <c r="K117" s="55"/>
      <c r="L117" s="55"/>
      <c r="M117" s="61"/>
      <c r="N117" s="4"/>
      <c r="O117" s="66"/>
      <c r="P117" s="67" t="s">
        <v>163</v>
      </c>
      <c r="Q117" s="68"/>
      <c r="R117" s="68"/>
      <c r="S117" s="69">
        <v>31</v>
      </c>
      <c r="T117" s="70">
        <v>5</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80"/>
      <c r="C122" s="81">
        <v>1</v>
      </c>
      <c r="D122" s="82" t="s">
        <v>406</v>
      </c>
      <c r="E122" s="83">
        <v>59.2</v>
      </c>
      <c r="F122" s="81" t="s">
        <v>404</v>
      </c>
      <c r="G122" s="81">
        <v>5</v>
      </c>
      <c r="H122" s="81" t="s">
        <v>121</v>
      </c>
      <c r="I122" s="84" t="s">
        <v>121</v>
      </c>
      <c r="J122" s="85"/>
      <c r="K122" s="85"/>
      <c r="L122" s="85"/>
      <c r="M122" s="86"/>
      <c r="N122" s="80"/>
      <c r="O122" s="81">
        <v>1</v>
      </c>
      <c r="P122" s="82" t="s">
        <v>407</v>
      </c>
      <c r="Q122" s="83">
        <v>72.400000000000006</v>
      </c>
      <c r="R122" s="81" t="s">
        <v>404</v>
      </c>
      <c r="S122" s="81">
        <v>5</v>
      </c>
      <c r="T122" s="81" t="s">
        <v>121</v>
      </c>
      <c r="U122" s="84" t="s">
        <v>121</v>
      </c>
    </row>
    <row r="123" spans="1:21" ht="13.2">
      <c r="A123" s="56" t="s">
        <v>147</v>
      </c>
      <c r="B123" s="80"/>
      <c r="C123" s="81">
        <v>2</v>
      </c>
      <c r="D123" s="82" t="s">
        <v>408</v>
      </c>
      <c r="E123" s="87">
        <v>56.35</v>
      </c>
      <c r="F123" s="81" t="s">
        <v>404</v>
      </c>
      <c r="G123" s="81">
        <v>3</v>
      </c>
      <c r="H123" s="81" t="s">
        <v>121</v>
      </c>
      <c r="I123" s="84" t="s">
        <v>121</v>
      </c>
      <c r="J123" s="85"/>
      <c r="K123" s="85"/>
      <c r="L123" s="85"/>
      <c r="M123" s="86"/>
      <c r="N123" s="80"/>
      <c r="O123" s="81">
        <v>2</v>
      </c>
      <c r="P123" s="82" t="s">
        <v>409</v>
      </c>
      <c r="Q123" s="87">
        <v>65.849999999999994</v>
      </c>
      <c r="R123" s="81" t="s">
        <v>404</v>
      </c>
      <c r="S123" s="81">
        <v>3</v>
      </c>
      <c r="T123" s="81" t="s">
        <v>121</v>
      </c>
      <c r="U123" s="84" t="s">
        <v>121</v>
      </c>
    </row>
    <row r="124" spans="1:21" ht="13.2">
      <c r="A124" s="56" t="s">
        <v>147</v>
      </c>
      <c r="B124" s="80"/>
      <c r="C124" s="81">
        <v>3</v>
      </c>
      <c r="D124" s="82" t="s">
        <v>410</v>
      </c>
      <c r="E124" s="87">
        <v>45.9</v>
      </c>
      <c r="F124" s="81" t="s">
        <v>404</v>
      </c>
      <c r="G124" s="81">
        <v>1</v>
      </c>
      <c r="H124" s="81" t="s">
        <v>121</v>
      </c>
      <c r="I124" s="84" t="s">
        <v>121</v>
      </c>
      <c r="J124" s="85"/>
      <c r="K124" s="85"/>
      <c r="L124" s="85"/>
      <c r="M124" s="86"/>
      <c r="N124" s="80"/>
      <c r="O124" s="81">
        <v>3</v>
      </c>
      <c r="P124" s="82" t="s">
        <v>411</v>
      </c>
      <c r="Q124" s="87">
        <v>65.099999999999994</v>
      </c>
      <c r="R124" s="81" t="s">
        <v>404</v>
      </c>
      <c r="S124" s="81">
        <v>1</v>
      </c>
      <c r="T124" s="81" t="s">
        <v>121</v>
      </c>
      <c r="U124" s="84" t="s">
        <v>121</v>
      </c>
    </row>
    <row r="125" spans="1:21" ht="13.2">
      <c r="A125" s="56" t="s">
        <v>147</v>
      </c>
      <c r="B125" s="80"/>
      <c r="C125" s="81">
        <v>4</v>
      </c>
      <c r="D125" s="82" t="s">
        <v>412</v>
      </c>
      <c r="E125" s="87">
        <v>37.1</v>
      </c>
      <c r="F125" s="81" t="s">
        <v>405</v>
      </c>
      <c r="G125" s="81" t="s">
        <v>121</v>
      </c>
      <c r="H125" s="81" t="s">
        <v>121</v>
      </c>
      <c r="I125" s="84" t="s">
        <v>121</v>
      </c>
      <c r="J125" s="85"/>
      <c r="K125" s="85"/>
      <c r="L125" s="85"/>
      <c r="M125" s="86"/>
      <c r="N125" s="80"/>
      <c r="O125" s="81">
        <v>4</v>
      </c>
      <c r="P125" s="82" t="s">
        <v>413</v>
      </c>
      <c r="Q125" s="87">
        <v>54.95</v>
      </c>
      <c r="R125" s="81" t="s">
        <v>404</v>
      </c>
      <c r="S125" s="81" t="s">
        <v>121</v>
      </c>
      <c r="T125" s="81" t="s">
        <v>121</v>
      </c>
      <c r="U125" s="84" t="s">
        <v>121</v>
      </c>
    </row>
    <row r="126" spans="1:21" ht="13.2">
      <c r="A126" s="56" t="s">
        <v>147</v>
      </c>
      <c r="B126" s="80"/>
      <c r="C126" s="81">
        <v>5</v>
      </c>
      <c r="D126" s="82" t="s">
        <v>414</v>
      </c>
      <c r="E126" s="87">
        <v>35</v>
      </c>
      <c r="F126" s="81" t="s">
        <v>405</v>
      </c>
      <c r="G126" s="81" t="s">
        <v>121</v>
      </c>
      <c r="H126" s="81" t="s">
        <v>121</v>
      </c>
      <c r="I126" s="84" t="s">
        <v>121</v>
      </c>
      <c r="J126" s="85"/>
      <c r="K126" s="85"/>
      <c r="L126" s="85"/>
      <c r="M126" s="86"/>
      <c r="N126" s="80"/>
      <c r="O126" s="81">
        <v>5</v>
      </c>
      <c r="P126" s="82" t="s">
        <v>415</v>
      </c>
      <c r="Q126" s="87">
        <v>49.25</v>
      </c>
      <c r="R126" s="81" t="s">
        <v>404</v>
      </c>
      <c r="S126" s="81" t="s">
        <v>121</v>
      </c>
      <c r="T126" s="81" t="s">
        <v>121</v>
      </c>
      <c r="U126" s="84" t="s">
        <v>121</v>
      </c>
    </row>
    <row r="127" spans="1:21" ht="13.2">
      <c r="A127" s="56" t="s">
        <v>147</v>
      </c>
      <c r="B127" s="80"/>
      <c r="C127" s="81">
        <v>6</v>
      </c>
      <c r="D127" s="82" t="s">
        <v>416</v>
      </c>
      <c r="E127" s="87">
        <v>24.85</v>
      </c>
      <c r="F127" s="81" t="s">
        <v>405</v>
      </c>
      <c r="G127" s="81" t="s">
        <v>121</v>
      </c>
      <c r="H127" s="81" t="s">
        <v>121</v>
      </c>
      <c r="I127" s="84" t="s">
        <v>121</v>
      </c>
      <c r="J127" s="85"/>
      <c r="K127" s="85"/>
      <c r="L127" s="85"/>
      <c r="M127" s="86"/>
      <c r="N127" s="80"/>
      <c r="O127" s="81">
        <v>6</v>
      </c>
      <c r="P127" s="82" t="s">
        <v>417</v>
      </c>
      <c r="Q127" s="87">
        <v>45.8</v>
      </c>
      <c r="R127" s="81" t="s">
        <v>405</v>
      </c>
      <c r="S127" s="81" t="s">
        <v>121</v>
      </c>
      <c r="T127" s="81" t="s">
        <v>121</v>
      </c>
      <c r="U127" s="84" t="s">
        <v>121</v>
      </c>
    </row>
    <row r="128" spans="1:21" ht="13.2">
      <c r="A128" s="56" t="s">
        <v>121</v>
      </c>
      <c r="B128" s="80"/>
      <c r="C128" s="81" t="s">
        <v>121</v>
      </c>
      <c r="D128" s="82"/>
      <c r="E128" s="87" t="s">
        <v>121</v>
      </c>
      <c r="F128" s="81"/>
      <c r="G128" s="81" t="s">
        <v>121</v>
      </c>
      <c r="H128" s="81" t="s">
        <v>121</v>
      </c>
      <c r="I128" s="84" t="s">
        <v>121</v>
      </c>
      <c r="J128" s="85"/>
      <c r="K128" s="85"/>
      <c r="L128" s="85"/>
      <c r="M128" s="86"/>
      <c r="N128" s="80"/>
      <c r="O128" s="81">
        <v>7</v>
      </c>
      <c r="P128" s="82" t="s">
        <v>418</v>
      </c>
      <c r="Q128" s="87">
        <v>42.95</v>
      </c>
      <c r="R128" s="81" t="s">
        <v>404</v>
      </c>
      <c r="S128" s="81" t="s">
        <v>121</v>
      </c>
      <c r="T128" s="81" t="s">
        <v>121</v>
      </c>
      <c r="U128" s="84" t="s">
        <v>121</v>
      </c>
    </row>
    <row r="129" spans="1:21" ht="13.2">
      <c r="A129" s="56" t="s">
        <v>121</v>
      </c>
      <c r="B129" s="80"/>
      <c r="C129" s="81" t="s">
        <v>121</v>
      </c>
      <c r="D129" s="88"/>
      <c r="E129" s="87" t="s">
        <v>121</v>
      </c>
      <c r="F129" s="81"/>
      <c r="G129" s="81" t="s">
        <v>121</v>
      </c>
      <c r="H129" s="81" t="s">
        <v>121</v>
      </c>
      <c r="I129" s="84" t="s">
        <v>121</v>
      </c>
      <c r="J129" s="85"/>
      <c r="K129" s="85"/>
      <c r="L129" s="85"/>
      <c r="M129" s="86"/>
      <c r="N129" s="80"/>
      <c r="O129" s="81">
        <v>8</v>
      </c>
      <c r="P129" s="82" t="s">
        <v>419</v>
      </c>
      <c r="Q129" s="87">
        <v>27.6</v>
      </c>
      <c r="R129" s="81" t="s">
        <v>405</v>
      </c>
      <c r="S129" s="81" t="s">
        <v>121</v>
      </c>
      <c r="T129" s="81" t="s">
        <v>121</v>
      </c>
      <c r="U129" s="84" t="s">
        <v>121</v>
      </c>
    </row>
    <row r="130" spans="1:21" ht="13.2">
      <c r="A130" s="56" t="s">
        <v>121</v>
      </c>
      <c r="B130" s="80"/>
      <c r="C130" s="81" t="s">
        <v>121</v>
      </c>
      <c r="D130" s="88"/>
      <c r="E130" s="87" t="s">
        <v>121</v>
      </c>
      <c r="F130" s="81"/>
      <c r="G130" s="81" t="s">
        <v>121</v>
      </c>
      <c r="H130" s="81" t="s">
        <v>121</v>
      </c>
      <c r="I130" s="84" t="s">
        <v>121</v>
      </c>
      <c r="J130" s="85"/>
      <c r="K130" s="85"/>
      <c r="L130" s="85"/>
      <c r="M130" s="86"/>
      <c r="N130" s="80"/>
      <c r="O130" s="81">
        <v>9</v>
      </c>
      <c r="P130" s="82" t="s">
        <v>420</v>
      </c>
      <c r="Q130" s="87" t="s">
        <v>122</v>
      </c>
      <c r="R130" s="81" t="s">
        <v>404</v>
      </c>
      <c r="S130" s="81" t="s">
        <v>121</v>
      </c>
      <c r="T130" s="81" t="s">
        <v>121</v>
      </c>
      <c r="U130" s="84" t="s">
        <v>121</v>
      </c>
    </row>
    <row r="131" spans="1:21" ht="13.2">
      <c r="A131" s="56" t="s">
        <v>121</v>
      </c>
      <c r="B131" s="80"/>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9</v>
      </c>
      <c r="H147" s="90">
        <v>0</v>
      </c>
      <c r="I147" s="84" t="s">
        <v>121</v>
      </c>
      <c r="J147" s="85"/>
      <c r="K147" s="85"/>
      <c r="L147" s="85"/>
      <c r="M147" s="86"/>
      <c r="N147" s="80"/>
      <c r="O147" s="230" t="s">
        <v>185</v>
      </c>
      <c r="P147" s="227"/>
      <c r="Q147" s="227"/>
      <c r="R147" s="227"/>
      <c r="S147" s="90">
        <v>9</v>
      </c>
      <c r="T147" s="90">
        <v>0</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13.2">
      <c r="A151" s="56" t="s">
        <v>151</v>
      </c>
      <c r="B151" s="99"/>
      <c r="C151" s="81">
        <v>1</v>
      </c>
      <c r="D151" s="82" t="s">
        <v>421</v>
      </c>
      <c r="E151" s="83">
        <v>113.2</v>
      </c>
      <c r="F151" s="81" t="s">
        <v>404</v>
      </c>
      <c r="G151" s="81">
        <v>5</v>
      </c>
      <c r="H151" s="81" t="s">
        <v>121</v>
      </c>
      <c r="I151" s="100" t="s">
        <v>121</v>
      </c>
      <c r="J151" s="85"/>
      <c r="K151" s="85"/>
      <c r="L151" s="85"/>
      <c r="M151" s="86"/>
      <c r="N151" s="99"/>
      <c r="O151" s="81">
        <v>1</v>
      </c>
      <c r="P151" s="82" t="s">
        <v>422</v>
      </c>
      <c r="Q151" s="83">
        <v>119.85</v>
      </c>
      <c r="R151" s="81" t="s">
        <v>404</v>
      </c>
      <c r="S151" s="81">
        <v>5</v>
      </c>
      <c r="T151" s="81" t="s">
        <v>121</v>
      </c>
      <c r="U151" s="100" t="s">
        <v>121</v>
      </c>
    </row>
    <row r="152" spans="1:21" ht="13.2">
      <c r="A152" s="56" t="s">
        <v>151</v>
      </c>
      <c r="B152" s="99"/>
      <c r="C152" s="81">
        <v>2</v>
      </c>
      <c r="D152" s="82" t="s">
        <v>423</v>
      </c>
      <c r="E152" s="87">
        <v>89.1</v>
      </c>
      <c r="F152" s="81" t="s">
        <v>405</v>
      </c>
      <c r="G152" s="81" t="s">
        <v>121</v>
      </c>
      <c r="H152" s="81">
        <v>3</v>
      </c>
      <c r="I152" s="100" t="s">
        <v>121</v>
      </c>
      <c r="J152" s="85"/>
      <c r="K152" s="85"/>
      <c r="L152" s="85"/>
      <c r="M152" s="86"/>
      <c r="N152" s="99"/>
      <c r="O152" s="81">
        <v>2</v>
      </c>
      <c r="P152" s="82" t="s">
        <v>424</v>
      </c>
      <c r="Q152" s="87">
        <v>89.95</v>
      </c>
      <c r="R152" s="81" t="s">
        <v>404</v>
      </c>
      <c r="S152" s="81">
        <v>3</v>
      </c>
      <c r="T152" s="81" t="s">
        <v>121</v>
      </c>
      <c r="U152" s="100" t="s">
        <v>121</v>
      </c>
    </row>
    <row r="153" spans="1:21" ht="13.2">
      <c r="A153" s="56" t="s">
        <v>151</v>
      </c>
      <c r="B153" s="99"/>
      <c r="C153" s="81">
        <v>3</v>
      </c>
      <c r="D153" s="82" t="s">
        <v>425</v>
      </c>
      <c r="E153" s="87">
        <v>66.25</v>
      </c>
      <c r="F153" s="81" t="s">
        <v>404</v>
      </c>
      <c r="G153" s="81">
        <v>1</v>
      </c>
      <c r="H153" s="81" t="s">
        <v>121</v>
      </c>
      <c r="I153" s="100" t="s">
        <v>121</v>
      </c>
      <c r="J153" s="85"/>
      <c r="K153" s="85"/>
      <c r="L153" s="85"/>
      <c r="M153" s="86"/>
      <c r="N153" s="99"/>
      <c r="O153" s="81">
        <v>3</v>
      </c>
      <c r="P153" s="82" t="s">
        <v>426</v>
      </c>
      <c r="Q153" s="87">
        <v>85.3</v>
      </c>
      <c r="R153" s="81" t="s">
        <v>404</v>
      </c>
      <c r="S153" s="81">
        <v>1</v>
      </c>
      <c r="T153" s="81" t="s">
        <v>121</v>
      </c>
      <c r="U153" s="100" t="s">
        <v>121</v>
      </c>
    </row>
    <row r="154" spans="1:21" ht="13.2">
      <c r="A154" s="56" t="s">
        <v>151</v>
      </c>
      <c r="B154" s="99"/>
      <c r="C154" s="81">
        <v>4</v>
      </c>
      <c r="D154" s="82" t="s">
        <v>427</v>
      </c>
      <c r="E154" s="87">
        <v>64.099999999999994</v>
      </c>
      <c r="F154" s="81" t="s">
        <v>405</v>
      </c>
      <c r="G154" s="81" t="s">
        <v>121</v>
      </c>
      <c r="H154" s="81" t="s">
        <v>121</v>
      </c>
      <c r="I154" s="100" t="s">
        <v>121</v>
      </c>
      <c r="J154" s="85"/>
      <c r="K154" s="85"/>
      <c r="L154" s="85"/>
      <c r="M154" s="86"/>
      <c r="N154" s="99"/>
      <c r="O154" s="81">
        <v>4</v>
      </c>
      <c r="P154" s="82" t="s">
        <v>428</v>
      </c>
      <c r="Q154" s="87">
        <v>84</v>
      </c>
      <c r="R154" s="81" t="s">
        <v>404</v>
      </c>
      <c r="S154" s="81" t="s">
        <v>121</v>
      </c>
      <c r="T154" s="81" t="s">
        <v>121</v>
      </c>
      <c r="U154" s="100" t="s">
        <v>121</v>
      </c>
    </row>
    <row r="155" spans="1:21" ht="13.2">
      <c r="A155" s="56" t="s">
        <v>151</v>
      </c>
      <c r="B155" s="99"/>
      <c r="C155" s="81">
        <v>5</v>
      </c>
      <c r="D155" s="82" t="s">
        <v>429</v>
      </c>
      <c r="E155" s="87">
        <v>59.45</v>
      </c>
      <c r="F155" s="81" t="s">
        <v>404</v>
      </c>
      <c r="G155" s="81" t="s">
        <v>121</v>
      </c>
      <c r="H155" s="81" t="s">
        <v>121</v>
      </c>
      <c r="I155" s="100" t="s">
        <v>121</v>
      </c>
      <c r="J155" s="85"/>
      <c r="K155" s="85"/>
      <c r="L155" s="85"/>
      <c r="M155" s="86"/>
      <c r="N155" s="99"/>
      <c r="O155" s="81">
        <v>5</v>
      </c>
      <c r="P155" s="82" t="s">
        <v>430</v>
      </c>
      <c r="Q155" s="87">
        <v>83.55</v>
      </c>
      <c r="R155" s="81" t="s">
        <v>405</v>
      </c>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v>6</v>
      </c>
      <c r="P156" s="82" t="s">
        <v>431</v>
      </c>
      <c r="Q156" s="87">
        <v>78.400000000000006</v>
      </c>
      <c r="R156" s="81" t="s">
        <v>405</v>
      </c>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v>7</v>
      </c>
      <c r="P157" s="82" t="s">
        <v>432</v>
      </c>
      <c r="Q157" s="87">
        <v>75.3</v>
      </c>
      <c r="R157" s="81" t="s">
        <v>404</v>
      </c>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v>8</v>
      </c>
      <c r="P158" s="82" t="s">
        <v>433</v>
      </c>
      <c r="Q158" s="87">
        <v>40.799999999999997</v>
      </c>
      <c r="R158" s="81" t="s">
        <v>405</v>
      </c>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6</v>
      </c>
      <c r="H166" s="90">
        <v>3</v>
      </c>
      <c r="I166" s="100" t="s">
        <v>121</v>
      </c>
      <c r="J166" s="85"/>
      <c r="K166" s="85"/>
      <c r="L166" s="85"/>
      <c r="M166" s="86"/>
      <c r="N166" s="99"/>
      <c r="O166" s="230" t="s">
        <v>200</v>
      </c>
      <c r="P166" s="227"/>
      <c r="Q166" s="227"/>
      <c r="R166" s="228"/>
      <c r="S166" s="90">
        <v>9</v>
      </c>
      <c r="T166" s="90">
        <v>0</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155</v>
      </c>
      <c r="B170" s="80"/>
      <c r="C170" s="81">
        <v>1</v>
      </c>
      <c r="D170" s="82" t="s">
        <v>434</v>
      </c>
      <c r="E170" s="83">
        <v>112.8</v>
      </c>
      <c r="F170" s="81" t="s">
        <v>404</v>
      </c>
      <c r="G170" s="81">
        <v>5</v>
      </c>
      <c r="H170" s="81" t="s">
        <v>121</v>
      </c>
      <c r="I170" s="84" t="s">
        <v>121</v>
      </c>
      <c r="J170" s="85"/>
      <c r="K170" s="85"/>
      <c r="L170" s="85"/>
      <c r="M170" s="86"/>
      <c r="N170" s="80"/>
      <c r="O170" s="81">
        <v>1</v>
      </c>
      <c r="P170" s="82" t="s">
        <v>435</v>
      </c>
      <c r="Q170" s="83">
        <v>170.9</v>
      </c>
      <c r="R170" s="81" t="s">
        <v>404</v>
      </c>
      <c r="S170" s="81">
        <v>5</v>
      </c>
      <c r="T170" s="81" t="s">
        <v>121</v>
      </c>
      <c r="U170" s="84" t="s">
        <v>121</v>
      </c>
    </row>
    <row r="171" spans="1:21" ht="13.2">
      <c r="A171" s="56" t="s">
        <v>155</v>
      </c>
      <c r="B171" s="80"/>
      <c r="C171" s="81">
        <v>2</v>
      </c>
      <c r="D171" s="82" t="s">
        <v>436</v>
      </c>
      <c r="E171" s="87">
        <v>97.6</v>
      </c>
      <c r="F171" s="81" t="s">
        <v>404</v>
      </c>
      <c r="G171" s="81">
        <v>3</v>
      </c>
      <c r="H171" s="81" t="s">
        <v>121</v>
      </c>
      <c r="I171" s="84" t="s">
        <v>121</v>
      </c>
      <c r="J171" s="85"/>
      <c r="K171" s="85"/>
      <c r="L171" s="85"/>
      <c r="M171" s="86"/>
      <c r="N171" s="80"/>
      <c r="O171" s="81">
        <v>2</v>
      </c>
      <c r="P171" s="82" t="s">
        <v>437</v>
      </c>
      <c r="Q171" s="87">
        <v>117</v>
      </c>
      <c r="R171" s="81" t="s">
        <v>404</v>
      </c>
      <c r="S171" s="81">
        <v>3</v>
      </c>
      <c r="T171" s="81" t="s">
        <v>121</v>
      </c>
      <c r="U171" s="84" t="s">
        <v>121</v>
      </c>
    </row>
    <row r="172" spans="1:21" ht="13.2">
      <c r="A172" s="56" t="s">
        <v>155</v>
      </c>
      <c r="B172" s="80"/>
      <c r="C172" s="81">
        <v>3</v>
      </c>
      <c r="D172" s="82" t="s">
        <v>438</v>
      </c>
      <c r="E172" s="87">
        <v>89.6</v>
      </c>
      <c r="F172" s="81" t="s">
        <v>405</v>
      </c>
      <c r="G172" s="81" t="s">
        <v>121</v>
      </c>
      <c r="H172" s="81">
        <v>1</v>
      </c>
      <c r="I172" s="84" t="s">
        <v>121</v>
      </c>
      <c r="J172" s="85"/>
      <c r="K172" s="85"/>
      <c r="L172" s="85"/>
      <c r="M172" s="86"/>
      <c r="N172" s="80"/>
      <c r="O172" s="81">
        <v>3</v>
      </c>
      <c r="P172" s="82" t="s">
        <v>439</v>
      </c>
      <c r="Q172" s="87">
        <v>114</v>
      </c>
      <c r="R172" s="81" t="s">
        <v>404</v>
      </c>
      <c r="S172" s="81">
        <v>1</v>
      </c>
      <c r="T172" s="81" t="s">
        <v>121</v>
      </c>
      <c r="U172" s="84" t="s">
        <v>121</v>
      </c>
    </row>
    <row r="173" spans="1:21" ht="13.2">
      <c r="A173" s="56" t="s">
        <v>155</v>
      </c>
      <c r="B173" s="80"/>
      <c r="C173" s="81">
        <v>4</v>
      </c>
      <c r="D173" s="82" t="s">
        <v>440</v>
      </c>
      <c r="E173" s="87">
        <v>84.75</v>
      </c>
      <c r="F173" s="81" t="s">
        <v>405</v>
      </c>
      <c r="G173" s="81" t="s">
        <v>121</v>
      </c>
      <c r="H173" s="81" t="s">
        <v>121</v>
      </c>
      <c r="I173" s="84" t="s">
        <v>121</v>
      </c>
      <c r="J173" s="85"/>
      <c r="K173" s="85"/>
      <c r="L173" s="85"/>
      <c r="M173" s="86"/>
      <c r="N173" s="80"/>
      <c r="O173" s="81">
        <v>4</v>
      </c>
      <c r="P173" s="82" t="s">
        <v>441</v>
      </c>
      <c r="Q173" s="87">
        <v>100.9</v>
      </c>
      <c r="R173" s="81" t="s">
        <v>404</v>
      </c>
      <c r="S173" s="81" t="s">
        <v>121</v>
      </c>
      <c r="T173" s="81" t="s">
        <v>121</v>
      </c>
      <c r="U173" s="84" t="s">
        <v>121</v>
      </c>
    </row>
    <row r="174" spans="1:21" ht="13.2">
      <c r="A174" s="56" t="s">
        <v>155</v>
      </c>
      <c r="B174" s="80"/>
      <c r="C174" s="81">
        <v>5</v>
      </c>
      <c r="D174" s="82" t="s">
        <v>442</v>
      </c>
      <c r="E174" s="87">
        <v>63.05</v>
      </c>
      <c r="F174" s="81" t="s">
        <v>405</v>
      </c>
      <c r="G174" s="81" t="s">
        <v>121</v>
      </c>
      <c r="H174" s="81" t="s">
        <v>121</v>
      </c>
      <c r="I174" s="84" t="s">
        <v>121</v>
      </c>
      <c r="J174" s="85"/>
      <c r="K174" s="85"/>
      <c r="L174" s="85"/>
      <c r="M174" s="86"/>
      <c r="N174" s="80"/>
      <c r="O174" s="81">
        <v>5</v>
      </c>
      <c r="P174" s="82" t="s">
        <v>443</v>
      </c>
      <c r="Q174" s="87">
        <v>91.55</v>
      </c>
      <c r="R174" s="81" t="s">
        <v>404</v>
      </c>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v>6</v>
      </c>
      <c r="P175" s="82" t="s">
        <v>444</v>
      </c>
      <c r="Q175" s="87">
        <v>86.15</v>
      </c>
      <c r="R175" s="81" t="s">
        <v>405</v>
      </c>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v>7</v>
      </c>
      <c r="P176" s="82" t="s">
        <v>445</v>
      </c>
      <c r="Q176" s="87">
        <v>79.7</v>
      </c>
      <c r="R176" s="81" t="s">
        <v>404</v>
      </c>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8</v>
      </c>
      <c r="H180" s="90">
        <v>1</v>
      </c>
      <c r="I180" s="84" t="s">
        <v>121</v>
      </c>
      <c r="J180" s="85"/>
      <c r="K180" s="85"/>
      <c r="L180" s="85"/>
      <c r="M180" s="86"/>
      <c r="N180" s="80"/>
      <c r="O180" s="230" t="s">
        <v>211</v>
      </c>
      <c r="P180" s="227"/>
      <c r="Q180" s="227"/>
      <c r="R180" s="227"/>
      <c r="S180" s="90">
        <v>9</v>
      </c>
      <c r="T180" s="90">
        <v>0</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99"/>
      <c r="C184" s="81">
        <v>1</v>
      </c>
      <c r="D184" s="82" t="s">
        <v>446</v>
      </c>
      <c r="E184" s="83">
        <v>219.9</v>
      </c>
      <c r="F184" s="81" t="s">
        <v>405</v>
      </c>
      <c r="G184" s="81" t="s">
        <v>121</v>
      </c>
      <c r="H184" s="81">
        <v>5</v>
      </c>
      <c r="I184" s="100" t="s">
        <v>121</v>
      </c>
      <c r="J184" s="85"/>
      <c r="K184" s="85"/>
      <c r="L184" s="85"/>
      <c r="M184" s="86"/>
      <c r="N184" s="99"/>
      <c r="O184" s="81">
        <v>1</v>
      </c>
      <c r="P184" s="82" t="s">
        <v>447</v>
      </c>
      <c r="Q184" s="83">
        <v>258.3</v>
      </c>
      <c r="R184" s="81" t="s">
        <v>405</v>
      </c>
      <c r="S184" s="81" t="s">
        <v>121</v>
      </c>
      <c r="T184" s="81">
        <v>5</v>
      </c>
      <c r="U184" s="100" t="s">
        <v>121</v>
      </c>
    </row>
    <row r="185" spans="1:21" ht="13.2">
      <c r="A185" s="56" t="s">
        <v>159</v>
      </c>
      <c r="B185" s="99"/>
      <c r="C185" s="81">
        <v>2</v>
      </c>
      <c r="D185" s="82" t="s">
        <v>448</v>
      </c>
      <c r="E185" s="87">
        <v>176.5</v>
      </c>
      <c r="F185" s="81" t="s">
        <v>404</v>
      </c>
      <c r="G185" s="81">
        <v>3</v>
      </c>
      <c r="H185" s="81" t="s">
        <v>121</v>
      </c>
      <c r="I185" s="100" t="s">
        <v>121</v>
      </c>
      <c r="J185" s="85"/>
      <c r="K185" s="85"/>
      <c r="L185" s="85"/>
      <c r="M185" s="86"/>
      <c r="N185" s="99"/>
      <c r="O185" s="81">
        <v>2</v>
      </c>
      <c r="P185" s="82" t="s">
        <v>449</v>
      </c>
      <c r="Q185" s="87">
        <v>204.5</v>
      </c>
      <c r="R185" s="81" t="s">
        <v>404</v>
      </c>
      <c r="S185" s="81">
        <v>3</v>
      </c>
      <c r="T185" s="81" t="s">
        <v>121</v>
      </c>
      <c r="U185" s="100" t="s">
        <v>121</v>
      </c>
    </row>
    <row r="186" spans="1:21" ht="13.2">
      <c r="A186" s="56" t="s">
        <v>159</v>
      </c>
      <c r="B186" s="99"/>
      <c r="C186" s="81">
        <v>3</v>
      </c>
      <c r="D186" s="82" t="s">
        <v>450</v>
      </c>
      <c r="E186" s="87">
        <v>150.19999999999999</v>
      </c>
      <c r="F186" s="81" t="s">
        <v>404</v>
      </c>
      <c r="G186" s="81">
        <v>1</v>
      </c>
      <c r="H186" s="81" t="s">
        <v>121</v>
      </c>
      <c r="I186" s="100" t="s">
        <v>121</v>
      </c>
      <c r="J186" s="85"/>
      <c r="K186" s="85"/>
      <c r="L186" s="85"/>
      <c r="M186" s="86"/>
      <c r="N186" s="99"/>
      <c r="O186" s="81">
        <v>3</v>
      </c>
      <c r="P186" s="82" t="s">
        <v>451</v>
      </c>
      <c r="Q186" s="87">
        <v>168.8</v>
      </c>
      <c r="R186" s="81" t="s">
        <v>404</v>
      </c>
      <c r="S186" s="81">
        <v>1</v>
      </c>
      <c r="T186" s="81" t="s">
        <v>121</v>
      </c>
      <c r="U186" s="100" t="s">
        <v>121</v>
      </c>
    </row>
    <row r="187" spans="1:21" ht="13.2">
      <c r="A187" s="56" t="s">
        <v>159</v>
      </c>
      <c r="B187" s="99"/>
      <c r="C187" s="81">
        <v>4</v>
      </c>
      <c r="D187" s="82" t="s">
        <v>452</v>
      </c>
      <c r="E187" s="87">
        <v>145.5</v>
      </c>
      <c r="F187" s="81" t="s">
        <v>404</v>
      </c>
      <c r="G187" s="81" t="s">
        <v>121</v>
      </c>
      <c r="H187" s="81" t="s">
        <v>121</v>
      </c>
      <c r="I187" s="100" t="s">
        <v>121</v>
      </c>
      <c r="J187" s="85"/>
      <c r="K187" s="85"/>
      <c r="L187" s="85"/>
      <c r="M187" s="86"/>
      <c r="N187" s="99"/>
      <c r="O187" s="81">
        <v>4</v>
      </c>
      <c r="P187" s="82" t="s">
        <v>453</v>
      </c>
      <c r="Q187" s="87">
        <v>161.94999999999999</v>
      </c>
      <c r="R187" s="81" t="s">
        <v>404</v>
      </c>
      <c r="S187" s="81" t="s">
        <v>121</v>
      </c>
      <c r="T187" s="81" t="s">
        <v>121</v>
      </c>
      <c r="U187" s="100" t="s">
        <v>121</v>
      </c>
    </row>
    <row r="188" spans="1:21" ht="13.2">
      <c r="A188" s="56" t="s">
        <v>159</v>
      </c>
      <c r="B188" s="99"/>
      <c r="C188" s="81">
        <v>5</v>
      </c>
      <c r="D188" s="82" t="s">
        <v>454</v>
      </c>
      <c r="E188" s="87">
        <v>114.2</v>
      </c>
      <c r="F188" s="81" t="s">
        <v>405</v>
      </c>
      <c r="G188" s="81" t="s">
        <v>121</v>
      </c>
      <c r="H188" s="81" t="s">
        <v>121</v>
      </c>
      <c r="I188" s="100" t="s">
        <v>121</v>
      </c>
      <c r="J188" s="85"/>
      <c r="K188" s="85"/>
      <c r="L188" s="85"/>
      <c r="M188" s="86"/>
      <c r="N188" s="99"/>
      <c r="O188" s="81">
        <v>5</v>
      </c>
      <c r="P188" s="88" t="s">
        <v>455</v>
      </c>
      <c r="Q188" s="87">
        <v>117.7</v>
      </c>
      <c r="R188" s="81" t="s">
        <v>405</v>
      </c>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4</v>
      </c>
      <c r="H194" s="90">
        <v>5</v>
      </c>
      <c r="I194" s="100" t="s">
        <v>121</v>
      </c>
      <c r="J194" s="85"/>
      <c r="K194" s="85"/>
      <c r="L194" s="85"/>
      <c r="M194" s="86"/>
      <c r="N194" s="99"/>
      <c r="O194" s="230" t="s">
        <v>221</v>
      </c>
      <c r="P194" s="227"/>
      <c r="Q194" s="227"/>
      <c r="R194" s="227"/>
      <c r="S194" s="90">
        <v>4</v>
      </c>
      <c r="T194" s="90">
        <v>5</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456</v>
      </c>
      <c r="R196" s="227"/>
      <c r="S196" s="227"/>
      <c r="T196" s="228"/>
      <c r="U196" s="4" t="s">
        <v>121</v>
      </c>
    </row>
    <row r="197" spans="1:21" ht="13.2">
      <c r="A197" s="56"/>
      <c r="B197" s="4"/>
      <c r="C197" s="249" t="s">
        <v>457</v>
      </c>
      <c r="D197" s="235"/>
      <c r="E197" s="235"/>
      <c r="F197" s="235"/>
      <c r="G197" s="235"/>
      <c r="H197" s="236"/>
      <c r="I197" s="85" t="s">
        <v>121</v>
      </c>
      <c r="J197" s="85"/>
      <c r="K197" s="85"/>
      <c r="L197" s="85"/>
      <c r="M197" s="86"/>
      <c r="N197" s="107"/>
      <c r="O197" s="110" t="s">
        <v>226</v>
      </c>
      <c r="P197" s="111"/>
      <c r="Q197" s="231" t="s">
        <v>458</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458</v>
      </c>
      <c r="F199" s="227"/>
      <c r="G199" s="227"/>
      <c r="H199" s="228"/>
      <c r="I199" s="85" t="s">
        <v>121</v>
      </c>
      <c r="J199" s="85"/>
      <c r="K199" s="85"/>
      <c r="L199" s="85"/>
      <c r="M199" s="86"/>
      <c r="N199" s="107"/>
      <c r="O199" s="112" t="s">
        <v>229</v>
      </c>
      <c r="P199" s="113"/>
      <c r="Q199" s="233" t="s">
        <v>459</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73" t="s">
        <v>460</v>
      </c>
      <c r="D201" s="235"/>
      <c r="E201" s="235"/>
      <c r="F201" s="235"/>
      <c r="G201" s="235"/>
      <c r="H201" s="236"/>
      <c r="I201" s="4" t="s">
        <v>121</v>
      </c>
      <c r="J201" s="4"/>
      <c r="K201" s="4"/>
      <c r="L201" s="4"/>
      <c r="M201" s="71"/>
      <c r="N201" s="109"/>
      <c r="O201" s="273" t="s">
        <v>121</v>
      </c>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129"/>
      <c r="C209" s="251" t="s">
        <v>130</v>
      </c>
      <c r="D209" s="227"/>
      <c r="E209" s="252" t="s">
        <v>338</v>
      </c>
      <c r="F209" s="227"/>
      <c r="G209" s="228"/>
      <c r="H209" s="130" t="s">
        <v>461</v>
      </c>
      <c r="I209" s="131" t="s">
        <v>121</v>
      </c>
      <c r="J209" s="132"/>
      <c r="K209" s="132"/>
      <c r="L209" s="132"/>
      <c r="M209" s="133"/>
      <c r="N209" s="48"/>
      <c r="O209" s="244" t="s">
        <v>132</v>
      </c>
      <c r="P209" s="227"/>
      <c r="Q209" s="245" t="s">
        <v>339</v>
      </c>
      <c r="R209" s="227"/>
      <c r="S209" s="228"/>
      <c r="T209" s="134" t="s">
        <v>462</v>
      </c>
      <c r="U209" s="135" t="s">
        <v>121</v>
      </c>
    </row>
    <row r="210" spans="1:21" ht="17.399999999999999">
      <c r="A210" s="56"/>
      <c r="B210" s="136"/>
      <c r="C210" s="253" t="s">
        <v>1</v>
      </c>
      <c r="D210" s="228"/>
      <c r="E210" s="254">
        <v>45.5</v>
      </c>
      <c r="F210" s="227"/>
      <c r="G210" s="227"/>
      <c r="H210" s="137"/>
      <c r="I210" s="131" t="s">
        <v>121</v>
      </c>
      <c r="J210" s="138"/>
      <c r="K210" s="138"/>
      <c r="L210" s="138"/>
      <c r="M210" s="139"/>
      <c r="N210" s="48"/>
      <c r="O210" s="246" t="s">
        <v>1</v>
      </c>
      <c r="P210" s="228"/>
      <c r="Q210" s="247">
        <v>26.5</v>
      </c>
      <c r="R210" s="227"/>
      <c r="S210" s="227"/>
      <c r="T210" s="140"/>
      <c r="U210" s="135"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B213" s="4"/>
      <c r="C213" s="62" t="s">
        <v>147</v>
      </c>
      <c r="D213" s="63" t="s">
        <v>148</v>
      </c>
      <c r="E213" s="57"/>
      <c r="F213" s="57"/>
      <c r="G213" s="64">
        <v>3</v>
      </c>
      <c r="H213" s="65">
        <v>6</v>
      </c>
      <c r="I213" s="55" t="s">
        <v>121</v>
      </c>
      <c r="J213" s="55"/>
      <c r="K213" s="55"/>
      <c r="L213" s="55"/>
      <c r="M213" s="61"/>
      <c r="N213" s="4"/>
      <c r="O213" s="62" t="s">
        <v>149</v>
      </c>
      <c r="P213" s="63" t="s">
        <v>150</v>
      </c>
      <c r="Q213" s="57"/>
      <c r="R213" s="57"/>
      <c r="S213" s="64">
        <v>4</v>
      </c>
      <c r="T213" s="65">
        <v>5</v>
      </c>
      <c r="U213" s="55" t="s">
        <v>121</v>
      </c>
    </row>
    <row r="214" spans="1:21" ht="13.2">
      <c r="A214" s="56"/>
      <c r="B214" s="4"/>
      <c r="C214" s="62" t="s">
        <v>151</v>
      </c>
      <c r="D214" s="63" t="s">
        <v>152</v>
      </c>
      <c r="E214" s="57"/>
      <c r="F214" s="57"/>
      <c r="G214" s="64">
        <v>9</v>
      </c>
      <c r="H214" s="65">
        <v>0</v>
      </c>
      <c r="I214" s="55" t="s">
        <v>121</v>
      </c>
      <c r="J214" s="55"/>
      <c r="K214" s="55"/>
      <c r="L214" s="55"/>
      <c r="M214" s="61"/>
      <c r="N214" s="4"/>
      <c r="O214" s="62" t="s">
        <v>153</v>
      </c>
      <c r="P214" s="63" t="s">
        <v>154</v>
      </c>
      <c r="Q214" s="57"/>
      <c r="R214" s="57"/>
      <c r="S214" s="64">
        <v>8</v>
      </c>
      <c r="T214" s="65">
        <v>1</v>
      </c>
      <c r="U214" s="55" t="s">
        <v>121</v>
      </c>
    </row>
    <row r="215" spans="1:21" ht="13.2">
      <c r="A215" s="56"/>
      <c r="B215" s="4"/>
      <c r="C215" s="62" t="s">
        <v>155</v>
      </c>
      <c r="D215" s="63" t="s">
        <v>156</v>
      </c>
      <c r="E215" s="57"/>
      <c r="F215" s="57"/>
      <c r="G215" s="64">
        <v>8.5</v>
      </c>
      <c r="H215" s="65">
        <v>0.5</v>
      </c>
      <c r="I215" s="55" t="s">
        <v>121</v>
      </c>
      <c r="J215" s="55"/>
      <c r="K215" s="55"/>
      <c r="L215" s="55"/>
      <c r="M215" s="61"/>
      <c r="N215" s="4"/>
      <c r="O215" s="62" t="s">
        <v>157</v>
      </c>
      <c r="P215" s="63" t="s">
        <v>158</v>
      </c>
      <c r="Q215" s="57"/>
      <c r="R215" s="57"/>
      <c r="S215" s="64">
        <v>6</v>
      </c>
      <c r="T215" s="65">
        <v>3</v>
      </c>
      <c r="U215" s="55" t="s">
        <v>121</v>
      </c>
    </row>
    <row r="216" spans="1:21" ht="13.2">
      <c r="A216" s="56"/>
      <c r="B216" s="4"/>
      <c r="C216" s="62" t="s">
        <v>159</v>
      </c>
      <c r="D216" s="63" t="s">
        <v>160</v>
      </c>
      <c r="E216" s="57"/>
      <c r="F216" s="57"/>
      <c r="G216" s="64">
        <v>4</v>
      </c>
      <c r="H216" s="65">
        <v>5</v>
      </c>
      <c r="I216" s="55" t="s">
        <v>121</v>
      </c>
      <c r="J216" s="55"/>
      <c r="K216" s="55"/>
      <c r="L216" s="55"/>
      <c r="M216" s="61"/>
      <c r="N216" s="4"/>
      <c r="O216" s="62" t="s">
        <v>161</v>
      </c>
      <c r="P216" s="63" t="s">
        <v>162</v>
      </c>
      <c r="Q216" s="57"/>
      <c r="R216" s="57"/>
      <c r="S216" s="64">
        <v>3</v>
      </c>
      <c r="T216" s="65">
        <v>6</v>
      </c>
      <c r="U216" s="55" t="s">
        <v>121</v>
      </c>
    </row>
    <row r="217" spans="1:21" ht="13.2">
      <c r="A217" s="56"/>
      <c r="B217" s="4"/>
      <c r="C217" s="66"/>
      <c r="D217" s="67" t="s">
        <v>163</v>
      </c>
      <c r="E217" s="68"/>
      <c r="F217" s="68"/>
      <c r="G217" s="69">
        <v>24.5</v>
      </c>
      <c r="H217" s="70">
        <v>11.5</v>
      </c>
      <c r="I217" s="55" t="s">
        <v>121</v>
      </c>
      <c r="J217" s="55"/>
      <c r="K217" s="55"/>
      <c r="L217" s="55"/>
      <c r="M217" s="61"/>
      <c r="N217" s="4"/>
      <c r="O217" s="66"/>
      <c r="P217" s="67" t="s">
        <v>163</v>
      </c>
      <c r="Q217" s="68"/>
      <c r="R217" s="68"/>
      <c r="S217" s="69">
        <v>21</v>
      </c>
      <c r="T217" s="70">
        <v>15</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80"/>
      <c r="C222" s="81">
        <v>1</v>
      </c>
      <c r="D222" s="82" t="s">
        <v>463</v>
      </c>
      <c r="E222" s="83">
        <v>64.7</v>
      </c>
      <c r="F222" s="81" t="s">
        <v>462</v>
      </c>
      <c r="G222" s="81" t="s">
        <v>121</v>
      </c>
      <c r="H222" s="81">
        <v>5</v>
      </c>
      <c r="I222" s="84" t="s">
        <v>121</v>
      </c>
      <c r="J222" s="85"/>
      <c r="K222" s="85"/>
      <c r="L222" s="85"/>
      <c r="M222" s="86"/>
      <c r="N222" s="80"/>
      <c r="O222" s="81">
        <v>1</v>
      </c>
      <c r="P222" s="82" t="s">
        <v>464</v>
      </c>
      <c r="Q222" s="83">
        <v>50.9</v>
      </c>
      <c r="R222" s="81" t="s">
        <v>462</v>
      </c>
      <c r="S222" s="81" t="s">
        <v>121</v>
      </c>
      <c r="T222" s="81">
        <v>5</v>
      </c>
      <c r="U222" s="84" t="s">
        <v>121</v>
      </c>
    </row>
    <row r="223" spans="1:21" ht="13.2">
      <c r="A223" s="56" t="s">
        <v>147</v>
      </c>
      <c r="B223" s="80"/>
      <c r="C223" s="81">
        <v>2</v>
      </c>
      <c r="D223" s="82" t="s">
        <v>465</v>
      </c>
      <c r="E223" s="87">
        <v>53.7</v>
      </c>
      <c r="F223" s="81" t="s">
        <v>461</v>
      </c>
      <c r="G223" s="81">
        <v>3</v>
      </c>
      <c r="H223" s="81" t="s">
        <v>121</v>
      </c>
      <c r="I223" s="84" t="s">
        <v>121</v>
      </c>
      <c r="J223" s="85"/>
      <c r="K223" s="85"/>
      <c r="L223" s="85"/>
      <c r="M223" s="86"/>
      <c r="N223" s="80"/>
      <c r="O223" s="81">
        <v>2</v>
      </c>
      <c r="P223" s="82" t="s">
        <v>466</v>
      </c>
      <c r="Q223" s="87">
        <v>50.1</v>
      </c>
      <c r="R223" s="81" t="s">
        <v>461</v>
      </c>
      <c r="S223" s="81">
        <v>3</v>
      </c>
      <c r="T223" s="81" t="s">
        <v>121</v>
      </c>
      <c r="U223" s="84" t="s">
        <v>121</v>
      </c>
    </row>
    <row r="224" spans="1:21" ht="13.2">
      <c r="A224" s="56" t="s">
        <v>147</v>
      </c>
      <c r="B224" s="80"/>
      <c r="C224" s="81">
        <v>3</v>
      </c>
      <c r="D224" s="82" t="s">
        <v>467</v>
      </c>
      <c r="E224" s="87">
        <v>49.45</v>
      </c>
      <c r="F224" s="81" t="s">
        <v>462</v>
      </c>
      <c r="G224" s="81" t="s">
        <v>121</v>
      </c>
      <c r="H224" s="81">
        <v>1</v>
      </c>
      <c r="I224" s="84" t="s">
        <v>121</v>
      </c>
      <c r="J224" s="85"/>
      <c r="K224" s="85"/>
      <c r="L224" s="85"/>
      <c r="M224" s="86"/>
      <c r="N224" s="80"/>
      <c r="O224" s="81">
        <v>3</v>
      </c>
      <c r="P224" s="82" t="s">
        <v>468</v>
      </c>
      <c r="Q224" s="87">
        <v>48.05</v>
      </c>
      <c r="R224" s="81" t="s">
        <v>461</v>
      </c>
      <c r="S224" s="81">
        <v>1</v>
      </c>
      <c r="T224" s="81" t="s">
        <v>121</v>
      </c>
      <c r="U224" s="84" t="s">
        <v>121</v>
      </c>
    </row>
    <row r="225" spans="1:21" ht="13.2">
      <c r="A225" s="56" t="s">
        <v>147</v>
      </c>
      <c r="B225" s="80"/>
      <c r="C225" s="81">
        <v>4</v>
      </c>
      <c r="D225" s="82" t="s">
        <v>469</v>
      </c>
      <c r="E225" s="87">
        <v>48.25</v>
      </c>
      <c r="F225" s="81" t="s">
        <v>461</v>
      </c>
      <c r="G225" s="81" t="s">
        <v>121</v>
      </c>
      <c r="H225" s="81" t="s">
        <v>121</v>
      </c>
      <c r="I225" s="84" t="s">
        <v>121</v>
      </c>
      <c r="J225" s="85"/>
      <c r="K225" s="85"/>
      <c r="L225" s="85"/>
      <c r="M225" s="86"/>
      <c r="N225" s="80"/>
      <c r="O225" s="81">
        <v>4</v>
      </c>
      <c r="P225" s="82" t="s">
        <v>470</v>
      </c>
      <c r="Q225" s="87">
        <v>43.6</v>
      </c>
      <c r="R225" s="81" t="s">
        <v>461</v>
      </c>
      <c r="S225" s="81" t="s">
        <v>121</v>
      </c>
      <c r="T225" s="81" t="s">
        <v>121</v>
      </c>
      <c r="U225" s="84" t="s">
        <v>121</v>
      </c>
    </row>
    <row r="226" spans="1:21" ht="13.2">
      <c r="A226" s="56" t="s">
        <v>147</v>
      </c>
      <c r="B226" s="80"/>
      <c r="C226" s="81">
        <v>5</v>
      </c>
      <c r="D226" s="82" t="s">
        <v>471</v>
      </c>
      <c r="E226" s="87">
        <v>46.6</v>
      </c>
      <c r="F226" s="81" t="s">
        <v>462</v>
      </c>
      <c r="G226" s="81" t="s">
        <v>121</v>
      </c>
      <c r="H226" s="81" t="s">
        <v>121</v>
      </c>
      <c r="I226" s="84" t="s">
        <v>121</v>
      </c>
      <c r="J226" s="85"/>
      <c r="K226" s="85"/>
      <c r="L226" s="85"/>
      <c r="M226" s="86"/>
      <c r="N226" s="80"/>
      <c r="O226" s="81">
        <v>5</v>
      </c>
      <c r="P226" s="82" t="s">
        <v>472</v>
      </c>
      <c r="Q226" s="87">
        <v>43.55</v>
      </c>
      <c r="R226" s="81" t="s">
        <v>461</v>
      </c>
      <c r="S226" s="81" t="s">
        <v>121</v>
      </c>
      <c r="T226" s="81" t="s">
        <v>121</v>
      </c>
      <c r="U226" s="84" t="s">
        <v>121</v>
      </c>
    </row>
    <row r="227" spans="1:21" ht="13.2">
      <c r="A227" s="56" t="s">
        <v>147</v>
      </c>
      <c r="B227" s="80"/>
      <c r="C227" s="81">
        <v>6</v>
      </c>
      <c r="D227" s="82" t="s">
        <v>473</v>
      </c>
      <c r="E227" s="87">
        <v>44.35</v>
      </c>
      <c r="F227" s="81" t="s">
        <v>462</v>
      </c>
      <c r="G227" s="81" t="s">
        <v>121</v>
      </c>
      <c r="H227" s="81" t="s">
        <v>121</v>
      </c>
      <c r="I227" s="84" t="s">
        <v>121</v>
      </c>
      <c r="J227" s="85"/>
      <c r="K227" s="85"/>
      <c r="L227" s="85"/>
      <c r="M227" s="86"/>
      <c r="N227" s="80"/>
      <c r="O227" s="81">
        <v>6</v>
      </c>
      <c r="P227" s="82" t="s">
        <v>474</v>
      </c>
      <c r="Q227" s="87">
        <v>37.799999999999997</v>
      </c>
      <c r="R227" s="81" t="s">
        <v>461</v>
      </c>
      <c r="S227" s="81" t="s">
        <v>121</v>
      </c>
      <c r="T227" s="81" t="s">
        <v>121</v>
      </c>
      <c r="U227" s="84" t="s">
        <v>121</v>
      </c>
    </row>
    <row r="228" spans="1:21" ht="13.2">
      <c r="A228" s="56" t="s">
        <v>147</v>
      </c>
      <c r="B228" s="80"/>
      <c r="C228" s="81">
        <v>7</v>
      </c>
      <c r="D228" s="82" t="s">
        <v>475</v>
      </c>
      <c r="E228" s="87">
        <v>42.3</v>
      </c>
      <c r="F228" s="81" t="s">
        <v>462</v>
      </c>
      <c r="G228" s="81" t="s">
        <v>121</v>
      </c>
      <c r="H228" s="81" t="s">
        <v>121</v>
      </c>
      <c r="I228" s="84" t="s">
        <v>121</v>
      </c>
      <c r="J228" s="85"/>
      <c r="K228" s="85"/>
      <c r="L228" s="85"/>
      <c r="M228" s="86"/>
      <c r="N228" s="80"/>
      <c r="O228" s="81">
        <v>7</v>
      </c>
      <c r="P228" s="82" t="s">
        <v>476</v>
      </c>
      <c r="Q228" s="87">
        <v>27</v>
      </c>
      <c r="R228" s="81" t="s">
        <v>462</v>
      </c>
      <c r="S228" s="81" t="s">
        <v>121</v>
      </c>
      <c r="T228" s="81" t="s">
        <v>121</v>
      </c>
      <c r="U228" s="84" t="s">
        <v>121</v>
      </c>
    </row>
    <row r="229" spans="1:21" ht="13.2">
      <c r="A229" s="56" t="s">
        <v>147</v>
      </c>
      <c r="B229" s="80"/>
      <c r="C229" s="81">
        <v>8</v>
      </c>
      <c r="D229" s="88" t="s">
        <v>477</v>
      </c>
      <c r="E229" s="87">
        <v>40.25</v>
      </c>
      <c r="F229" s="81" t="s">
        <v>462</v>
      </c>
      <c r="G229" s="81" t="s">
        <v>121</v>
      </c>
      <c r="H229" s="81" t="s">
        <v>121</v>
      </c>
      <c r="I229" s="84" t="s">
        <v>121</v>
      </c>
      <c r="J229" s="85"/>
      <c r="K229" s="85"/>
      <c r="L229" s="85"/>
      <c r="M229" s="86"/>
      <c r="N229" s="80"/>
      <c r="O229" s="81" t="s">
        <v>121</v>
      </c>
      <c r="P229" s="82"/>
      <c r="Q229" s="87" t="s">
        <v>121</v>
      </c>
      <c r="R229" s="81"/>
      <c r="S229" s="81" t="s">
        <v>121</v>
      </c>
      <c r="T229" s="81" t="s">
        <v>121</v>
      </c>
      <c r="U229" s="84" t="s">
        <v>121</v>
      </c>
    </row>
    <row r="230" spans="1:21" ht="13.2">
      <c r="A230" s="56" t="s">
        <v>147</v>
      </c>
      <c r="B230" s="80"/>
      <c r="C230" s="81">
        <v>9</v>
      </c>
      <c r="D230" s="88" t="s">
        <v>478</v>
      </c>
      <c r="E230" s="87">
        <v>38.950000000000003</v>
      </c>
      <c r="F230" s="81" t="s">
        <v>462</v>
      </c>
      <c r="G230" s="81" t="s">
        <v>121</v>
      </c>
      <c r="H230" s="81" t="s">
        <v>121</v>
      </c>
      <c r="I230" s="84" t="s">
        <v>121</v>
      </c>
      <c r="J230" s="85"/>
      <c r="K230" s="85"/>
      <c r="L230" s="85"/>
      <c r="M230" s="86"/>
      <c r="N230" s="80"/>
      <c r="O230" s="81" t="s">
        <v>121</v>
      </c>
      <c r="P230" s="82"/>
      <c r="Q230" s="87" t="s">
        <v>121</v>
      </c>
      <c r="R230" s="81"/>
      <c r="S230" s="81" t="s">
        <v>121</v>
      </c>
      <c r="T230" s="81" t="s">
        <v>121</v>
      </c>
      <c r="U230" s="84" t="s">
        <v>121</v>
      </c>
    </row>
    <row r="231" spans="1:21" ht="13.2">
      <c r="A231" s="56" t="s">
        <v>147</v>
      </c>
      <c r="B231" s="80"/>
      <c r="C231" s="81">
        <v>10</v>
      </c>
      <c r="D231" s="88" t="s">
        <v>479</v>
      </c>
      <c r="E231" s="87">
        <v>34.25</v>
      </c>
      <c r="F231" s="81" t="s">
        <v>462</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147</v>
      </c>
      <c r="B232" s="80"/>
      <c r="C232" s="81">
        <v>11</v>
      </c>
      <c r="D232" s="88" t="s">
        <v>480</v>
      </c>
      <c r="E232" s="87">
        <v>30.35</v>
      </c>
      <c r="F232" s="81" t="s">
        <v>462</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147</v>
      </c>
      <c r="B233" s="80"/>
      <c r="C233" s="81">
        <v>12</v>
      </c>
      <c r="D233" s="88" t="s">
        <v>481</v>
      </c>
      <c r="E233" s="87">
        <v>29.6</v>
      </c>
      <c r="F233" s="81" t="s">
        <v>461</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3</v>
      </c>
      <c r="H247" s="90">
        <v>6</v>
      </c>
      <c r="I247" s="84" t="s">
        <v>121</v>
      </c>
      <c r="J247" s="85"/>
      <c r="K247" s="85"/>
      <c r="L247" s="85"/>
      <c r="M247" s="86"/>
      <c r="N247" s="80"/>
      <c r="O247" s="230" t="s">
        <v>185</v>
      </c>
      <c r="P247" s="227"/>
      <c r="Q247" s="227"/>
      <c r="R247" s="227"/>
      <c r="S247" s="90">
        <v>4</v>
      </c>
      <c r="T247" s="90">
        <v>5</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99"/>
      <c r="C251" s="81">
        <v>1</v>
      </c>
      <c r="D251" s="82" t="s">
        <v>482</v>
      </c>
      <c r="E251" s="83">
        <v>100.75</v>
      </c>
      <c r="F251" s="81" t="s">
        <v>461</v>
      </c>
      <c r="G251" s="81">
        <v>5</v>
      </c>
      <c r="H251" s="81" t="s">
        <v>121</v>
      </c>
      <c r="I251" s="100" t="s">
        <v>121</v>
      </c>
      <c r="J251" s="85"/>
      <c r="K251" s="85"/>
      <c r="L251" s="85"/>
      <c r="M251" s="86"/>
      <c r="N251" s="99"/>
      <c r="O251" s="81">
        <v>1</v>
      </c>
      <c r="P251" s="82" t="s">
        <v>483</v>
      </c>
      <c r="Q251" s="83">
        <v>82.1</v>
      </c>
      <c r="R251" s="81" t="s">
        <v>461</v>
      </c>
      <c r="S251" s="81">
        <v>5</v>
      </c>
      <c r="T251" s="81" t="s">
        <v>121</v>
      </c>
      <c r="U251" s="100" t="s">
        <v>121</v>
      </c>
    </row>
    <row r="252" spans="1:21" ht="13.2">
      <c r="A252" s="56" t="s">
        <v>151</v>
      </c>
      <c r="B252" s="99"/>
      <c r="C252" s="81">
        <v>2</v>
      </c>
      <c r="D252" s="82" t="s">
        <v>484</v>
      </c>
      <c r="E252" s="87">
        <v>98.25</v>
      </c>
      <c r="F252" s="81" t="s">
        <v>461</v>
      </c>
      <c r="G252" s="81">
        <v>3</v>
      </c>
      <c r="H252" s="81" t="s">
        <v>121</v>
      </c>
      <c r="I252" s="100" t="s">
        <v>121</v>
      </c>
      <c r="J252" s="85"/>
      <c r="K252" s="85"/>
      <c r="L252" s="85"/>
      <c r="M252" s="86"/>
      <c r="N252" s="99"/>
      <c r="O252" s="81">
        <v>2</v>
      </c>
      <c r="P252" s="82" t="s">
        <v>485</v>
      </c>
      <c r="Q252" s="87">
        <v>72.3</v>
      </c>
      <c r="R252" s="81" t="s">
        <v>461</v>
      </c>
      <c r="S252" s="81">
        <v>3</v>
      </c>
      <c r="T252" s="81" t="s">
        <v>121</v>
      </c>
      <c r="U252" s="100" t="s">
        <v>121</v>
      </c>
    </row>
    <row r="253" spans="1:21" ht="13.2">
      <c r="A253" s="56" t="s">
        <v>151</v>
      </c>
      <c r="B253" s="99"/>
      <c r="C253" s="81">
        <v>3</v>
      </c>
      <c r="D253" s="82" t="s">
        <v>486</v>
      </c>
      <c r="E253" s="87">
        <v>92.9</v>
      </c>
      <c r="F253" s="81" t="s">
        <v>461</v>
      </c>
      <c r="G253" s="81">
        <v>1</v>
      </c>
      <c r="H253" s="81" t="s">
        <v>121</v>
      </c>
      <c r="I253" s="100" t="s">
        <v>121</v>
      </c>
      <c r="J253" s="85"/>
      <c r="K253" s="85"/>
      <c r="L253" s="85"/>
      <c r="M253" s="86"/>
      <c r="N253" s="99"/>
      <c r="O253" s="81">
        <v>3</v>
      </c>
      <c r="P253" s="82" t="s">
        <v>487</v>
      </c>
      <c r="Q253" s="87">
        <v>68.55</v>
      </c>
      <c r="R253" s="81" t="s">
        <v>462</v>
      </c>
      <c r="S253" s="81" t="s">
        <v>121</v>
      </c>
      <c r="T253" s="81">
        <v>1</v>
      </c>
      <c r="U253" s="100" t="s">
        <v>121</v>
      </c>
    </row>
    <row r="254" spans="1:21" ht="13.2">
      <c r="A254" s="56" t="s">
        <v>151</v>
      </c>
      <c r="B254" s="99"/>
      <c r="C254" s="81">
        <v>4</v>
      </c>
      <c r="D254" s="82" t="s">
        <v>488</v>
      </c>
      <c r="E254" s="87">
        <v>91.15</v>
      </c>
      <c r="F254" s="81" t="s">
        <v>461</v>
      </c>
      <c r="G254" s="81" t="s">
        <v>121</v>
      </c>
      <c r="H254" s="81" t="s">
        <v>121</v>
      </c>
      <c r="I254" s="100" t="s">
        <v>121</v>
      </c>
      <c r="J254" s="85"/>
      <c r="K254" s="85"/>
      <c r="L254" s="85"/>
      <c r="M254" s="86"/>
      <c r="N254" s="99"/>
      <c r="O254" s="81" t="s">
        <v>121</v>
      </c>
      <c r="P254" s="82"/>
      <c r="Q254" s="87" t="s">
        <v>121</v>
      </c>
      <c r="R254" s="81"/>
      <c r="S254" s="81" t="s">
        <v>121</v>
      </c>
      <c r="T254" s="81" t="s">
        <v>121</v>
      </c>
      <c r="U254" s="100" t="s">
        <v>121</v>
      </c>
    </row>
    <row r="255" spans="1:21" ht="13.2">
      <c r="A255" s="56" t="s">
        <v>151</v>
      </c>
      <c r="B255" s="99"/>
      <c r="C255" s="81">
        <v>5</v>
      </c>
      <c r="D255" s="82" t="s">
        <v>489</v>
      </c>
      <c r="E255" s="87">
        <v>86.35</v>
      </c>
      <c r="F255" s="81" t="s">
        <v>462</v>
      </c>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151</v>
      </c>
      <c r="B256" s="99"/>
      <c r="C256" s="81">
        <v>6</v>
      </c>
      <c r="D256" s="82" t="s">
        <v>490</v>
      </c>
      <c r="E256" s="87">
        <v>85</v>
      </c>
      <c r="F256" s="81" t="s">
        <v>461</v>
      </c>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151</v>
      </c>
      <c r="B257" s="99"/>
      <c r="C257" s="81">
        <v>7</v>
      </c>
      <c r="D257" s="82" t="s">
        <v>491</v>
      </c>
      <c r="E257" s="87">
        <v>82.5</v>
      </c>
      <c r="F257" s="81" t="s">
        <v>462</v>
      </c>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151</v>
      </c>
      <c r="B258" s="99"/>
      <c r="C258" s="81">
        <v>8</v>
      </c>
      <c r="D258" s="82" t="s">
        <v>492</v>
      </c>
      <c r="E258" s="87">
        <v>78.3</v>
      </c>
      <c r="F258" s="81" t="s">
        <v>461</v>
      </c>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151</v>
      </c>
      <c r="B259" s="99"/>
      <c r="C259" s="81">
        <v>9</v>
      </c>
      <c r="D259" s="82" t="s">
        <v>493</v>
      </c>
      <c r="E259" s="87">
        <v>78.05</v>
      </c>
      <c r="F259" s="81" t="s">
        <v>461</v>
      </c>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151</v>
      </c>
      <c r="B260" s="99"/>
      <c r="C260" s="81">
        <v>10</v>
      </c>
      <c r="D260" s="88" t="s">
        <v>494</v>
      </c>
      <c r="E260" s="87">
        <v>76.55</v>
      </c>
      <c r="F260" s="81" t="s">
        <v>462</v>
      </c>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151</v>
      </c>
      <c r="B261" s="99"/>
      <c r="C261" s="81">
        <v>11</v>
      </c>
      <c r="D261" s="88" t="s">
        <v>495</v>
      </c>
      <c r="E261" s="87">
        <v>67.95</v>
      </c>
      <c r="F261" s="81" t="s">
        <v>461</v>
      </c>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9</v>
      </c>
      <c r="H266" s="90">
        <v>0</v>
      </c>
      <c r="I266" s="100" t="s">
        <v>121</v>
      </c>
      <c r="J266" s="85"/>
      <c r="K266" s="85"/>
      <c r="L266" s="85"/>
      <c r="M266" s="86"/>
      <c r="N266" s="99"/>
      <c r="O266" s="230" t="s">
        <v>200</v>
      </c>
      <c r="P266" s="227"/>
      <c r="Q266" s="227"/>
      <c r="R266" s="228"/>
      <c r="S266" s="90">
        <v>8</v>
      </c>
      <c r="T266" s="90">
        <v>1</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80"/>
      <c r="C270" s="81">
        <v>1</v>
      </c>
      <c r="D270" s="82" t="s">
        <v>496</v>
      </c>
      <c r="E270" s="83">
        <v>123.95</v>
      </c>
      <c r="F270" s="81" t="s">
        <v>461</v>
      </c>
      <c r="G270" s="81">
        <v>5</v>
      </c>
      <c r="H270" s="81" t="s">
        <v>121</v>
      </c>
      <c r="I270" s="84" t="s">
        <v>121</v>
      </c>
      <c r="J270" s="85"/>
      <c r="K270" s="85"/>
      <c r="L270" s="85"/>
      <c r="M270" s="86"/>
      <c r="N270" s="80"/>
      <c r="O270" s="81">
        <v>1</v>
      </c>
      <c r="P270" s="82" t="s">
        <v>497</v>
      </c>
      <c r="Q270" s="83">
        <v>103.5</v>
      </c>
      <c r="R270" s="81" t="s">
        <v>461</v>
      </c>
      <c r="S270" s="81">
        <v>5</v>
      </c>
      <c r="T270" s="81" t="s">
        <v>121</v>
      </c>
      <c r="U270" s="84" t="s">
        <v>121</v>
      </c>
    </row>
    <row r="271" spans="1:21" ht="13.2">
      <c r="A271" s="56" t="s">
        <v>155</v>
      </c>
      <c r="B271" s="80"/>
      <c r="C271" s="81">
        <v>2</v>
      </c>
      <c r="D271" s="82" t="s">
        <v>498</v>
      </c>
      <c r="E271" s="87">
        <v>108.65</v>
      </c>
      <c r="F271" s="81" t="s">
        <v>461</v>
      </c>
      <c r="G271" s="81">
        <v>3</v>
      </c>
      <c r="H271" s="81" t="s">
        <v>121</v>
      </c>
      <c r="I271" s="84" t="s">
        <v>121</v>
      </c>
      <c r="J271" s="85"/>
      <c r="K271" s="85"/>
      <c r="L271" s="85"/>
      <c r="M271" s="86"/>
      <c r="N271" s="80"/>
      <c r="O271" s="81">
        <v>2</v>
      </c>
      <c r="P271" s="82" t="s">
        <v>499</v>
      </c>
      <c r="Q271" s="87">
        <v>103.15</v>
      </c>
      <c r="R271" s="81" t="s">
        <v>462</v>
      </c>
      <c r="S271" s="81" t="s">
        <v>121</v>
      </c>
      <c r="T271" s="81">
        <v>3</v>
      </c>
      <c r="U271" s="84" t="s">
        <v>121</v>
      </c>
    </row>
    <row r="272" spans="1:21" ht="13.2">
      <c r="A272" s="56" t="s">
        <v>155</v>
      </c>
      <c r="B272" s="80"/>
      <c r="C272" s="81" t="s">
        <v>500</v>
      </c>
      <c r="D272" s="82" t="s">
        <v>501</v>
      </c>
      <c r="E272" s="87">
        <v>107.4</v>
      </c>
      <c r="F272" s="81" t="s">
        <v>461</v>
      </c>
      <c r="G272" s="81">
        <v>0.5</v>
      </c>
      <c r="H272" s="81" t="s">
        <v>121</v>
      </c>
      <c r="I272" s="84" t="s">
        <v>121</v>
      </c>
      <c r="J272" s="85"/>
      <c r="K272" s="85"/>
      <c r="L272" s="85"/>
      <c r="M272" s="86"/>
      <c r="N272" s="80"/>
      <c r="O272" s="81">
        <v>3</v>
      </c>
      <c r="P272" s="82" t="s">
        <v>502</v>
      </c>
      <c r="Q272" s="87">
        <v>102.9</v>
      </c>
      <c r="R272" s="81" t="s">
        <v>461</v>
      </c>
      <c r="S272" s="81">
        <v>1</v>
      </c>
      <c r="T272" s="81" t="s">
        <v>121</v>
      </c>
      <c r="U272" s="84" t="s">
        <v>121</v>
      </c>
    </row>
    <row r="273" spans="1:21" ht="13.2">
      <c r="A273" s="56" t="s">
        <v>155</v>
      </c>
      <c r="B273" s="80"/>
      <c r="C273" s="81" t="s">
        <v>500</v>
      </c>
      <c r="D273" s="82" t="s">
        <v>503</v>
      </c>
      <c r="E273" s="87">
        <v>107.4</v>
      </c>
      <c r="F273" s="81" t="s">
        <v>462</v>
      </c>
      <c r="G273" s="81" t="s">
        <v>121</v>
      </c>
      <c r="H273" s="81">
        <v>0.5</v>
      </c>
      <c r="I273" s="84" t="s">
        <v>121</v>
      </c>
      <c r="J273" s="85"/>
      <c r="K273" s="85"/>
      <c r="L273" s="85"/>
      <c r="M273" s="86"/>
      <c r="N273" s="80"/>
      <c r="O273" s="81" t="s">
        <v>121</v>
      </c>
      <c r="P273" s="82"/>
      <c r="Q273" s="87" t="s">
        <v>121</v>
      </c>
      <c r="R273" s="81"/>
      <c r="S273" s="81" t="s">
        <v>121</v>
      </c>
      <c r="T273" s="81" t="s">
        <v>121</v>
      </c>
      <c r="U273" s="84" t="s">
        <v>121</v>
      </c>
    </row>
    <row r="274" spans="1:21" ht="13.2">
      <c r="A274" s="56" t="s">
        <v>155</v>
      </c>
      <c r="B274" s="80"/>
      <c r="C274" s="81">
        <v>5</v>
      </c>
      <c r="D274" s="82" t="s">
        <v>504</v>
      </c>
      <c r="E274" s="87">
        <v>105.3</v>
      </c>
      <c r="F274" s="81" t="s">
        <v>461</v>
      </c>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155</v>
      </c>
      <c r="B275" s="80"/>
      <c r="C275" s="81">
        <v>6</v>
      </c>
      <c r="D275" s="82" t="s">
        <v>505</v>
      </c>
      <c r="E275" s="87">
        <v>103.9</v>
      </c>
      <c r="F275" s="81" t="s">
        <v>461</v>
      </c>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155</v>
      </c>
      <c r="B276" s="80"/>
      <c r="C276" s="81">
        <v>7</v>
      </c>
      <c r="D276" s="82" t="s">
        <v>506</v>
      </c>
      <c r="E276" s="87">
        <v>94.8</v>
      </c>
      <c r="F276" s="81" t="s">
        <v>461</v>
      </c>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8.5</v>
      </c>
      <c r="H280" s="90">
        <v>0.5</v>
      </c>
      <c r="I280" s="84" t="s">
        <v>121</v>
      </c>
      <c r="J280" s="85"/>
      <c r="K280" s="85"/>
      <c r="L280" s="85"/>
      <c r="M280" s="86"/>
      <c r="N280" s="80"/>
      <c r="O280" s="230" t="s">
        <v>211</v>
      </c>
      <c r="P280" s="227"/>
      <c r="Q280" s="227"/>
      <c r="R280" s="227"/>
      <c r="S280" s="90">
        <v>6</v>
      </c>
      <c r="T280" s="90">
        <v>3</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99"/>
      <c r="C284" s="81">
        <v>1</v>
      </c>
      <c r="D284" s="82" t="s">
        <v>507</v>
      </c>
      <c r="E284" s="83">
        <v>206.05</v>
      </c>
      <c r="F284" s="81" t="s">
        <v>462</v>
      </c>
      <c r="G284" s="81" t="s">
        <v>121</v>
      </c>
      <c r="H284" s="81">
        <v>5</v>
      </c>
      <c r="I284" s="100" t="s">
        <v>121</v>
      </c>
      <c r="J284" s="85"/>
      <c r="K284" s="85"/>
      <c r="L284" s="85"/>
      <c r="M284" s="86"/>
      <c r="N284" s="99"/>
      <c r="O284" s="81">
        <v>1</v>
      </c>
      <c r="P284" s="82" t="s">
        <v>508</v>
      </c>
      <c r="Q284" s="83">
        <v>217.2</v>
      </c>
      <c r="R284" s="81" t="s">
        <v>462</v>
      </c>
      <c r="S284" s="81" t="s">
        <v>121</v>
      </c>
      <c r="T284" s="81">
        <v>5</v>
      </c>
      <c r="U284" s="100" t="s">
        <v>121</v>
      </c>
    </row>
    <row r="285" spans="1:21" ht="13.2">
      <c r="A285" s="56" t="s">
        <v>159</v>
      </c>
      <c r="B285" s="99"/>
      <c r="C285" s="81">
        <v>2</v>
      </c>
      <c r="D285" s="82" t="s">
        <v>509</v>
      </c>
      <c r="E285" s="87">
        <v>141.9</v>
      </c>
      <c r="F285" s="81" t="s">
        <v>461</v>
      </c>
      <c r="G285" s="81">
        <v>3</v>
      </c>
      <c r="H285" s="81" t="s">
        <v>121</v>
      </c>
      <c r="I285" s="100" t="s">
        <v>121</v>
      </c>
      <c r="J285" s="85"/>
      <c r="K285" s="85"/>
      <c r="L285" s="85"/>
      <c r="M285" s="86"/>
      <c r="N285" s="99"/>
      <c r="O285" s="81">
        <v>2</v>
      </c>
      <c r="P285" s="82" t="s">
        <v>510</v>
      </c>
      <c r="Q285" s="87">
        <v>157.44999999999999</v>
      </c>
      <c r="R285" s="81" t="s">
        <v>461</v>
      </c>
      <c r="S285" s="81">
        <v>3</v>
      </c>
      <c r="T285" s="81" t="s">
        <v>121</v>
      </c>
      <c r="U285" s="100" t="s">
        <v>121</v>
      </c>
    </row>
    <row r="286" spans="1:21" ht="13.2">
      <c r="A286" s="56" t="s">
        <v>159</v>
      </c>
      <c r="B286" s="99"/>
      <c r="C286" s="81">
        <v>3</v>
      </c>
      <c r="D286" s="82" t="s">
        <v>511</v>
      </c>
      <c r="E286" s="87">
        <v>124.8</v>
      </c>
      <c r="F286" s="81" t="s">
        <v>461</v>
      </c>
      <c r="G286" s="81">
        <v>1</v>
      </c>
      <c r="H286" s="81" t="s">
        <v>121</v>
      </c>
      <c r="I286" s="100" t="s">
        <v>121</v>
      </c>
      <c r="J286" s="85"/>
      <c r="K286" s="85"/>
      <c r="L286" s="85"/>
      <c r="M286" s="86"/>
      <c r="N286" s="99"/>
      <c r="O286" s="81">
        <v>3</v>
      </c>
      <c r="P286" s="82" t="s">
        <v>512</v>
      </c>
      <c r="Q286" s="87">
        <v>149.55000000000001</v>
      </c>
      <c r="R286" s="81" t="s">
        <v>462</v>
      </c>
      <c r="S286" s="81" t="s">
        <v>121</v>
      </c>
      <c r="T286" s="81">
        <v>1</v>
      </c>
      <c r="U286" s="100" t="s">
        <v>121</v>
      </c>
    </row>
    <row r="287" spans="1:21" ht="13.2">
      <c r="A287" s="56" t="s">
        <v>159</v>
      </c>
      <c r="B287" s="99"/>
      <c r="C287" s="81">
        <v>4</v>
      </c>
      <c r="D287" s="82" t="s">
        <v>513</v>
      </c>
      <c r="E287" s="87">
        <v>116.7</v>
      </c>
      <c r="F287" s="81" t="s">
        <v>462</v>
      </c>
      <c r="G287" s="81" t="s">
        <v>121</v>
      </c>
      <c r="H287" s="81" t="s">
        <v>121</v>
      </c>
      <c r="I287" s="100" t="s">
        <v>121</v>
      </c>
      <c r="J287" s="85"/>
      <c r="K287" s="85"/>
      <c r="L287" s="85"/>
      <c r="M287" s="86"/>
      <c r="N287" s="99"/>
      <c r="O287" s="81">
        <v>4</v>
      </c>
      <c r="P287" s="82" t="s">
        <v>514</v>
      </c>
      <c r="Q287" s="87">
        <v>111.65</v>
      </c>
      <c r="R287" s="81" t="s">
        <v>461</v>
      </c>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c r="N288" s="99"/>
      <c r="O288" s="81">
        <v>5</v>
      </c>
      <c r="P288" s="88" t="s">
        <v>515</v>
      </c>
      <c r="Q288" s="87">
        <v>94.25</v>
      </c>
      <c r="R288" s="81" t="s">
        <v>461</v>
      </c>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v>6</v>
      </c>
      <c r="P289" s="88" t="s">
        <v>516</v>
      </c>
      <c r="Q289" s="87">
        <v>82.05</v>
      </c>
      <c r="R289" s="81" t="s">
        <v>461</v>
      </c>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4</v>
      </c>
      <c r="H294" s="90">
        <v>5</v>
      </c>
      <c r="I294" s="100" t="s">
        <v>121</v>
      </c>
      <c r="J294" s="85"/>
      <c r="K294" s="85"/>
      <c r="L294" s="85"/>
      <c r="M294" s="86"/>
      <c r="N294" s="99"/>
      <c r="O294" s="230" t="s">
        <v>221</v>
      </c>
      <c r="P294" s="227"/>
      <c r="Q294" s="227"/>
      <c r="R294" s="227"/>
      <c r="S294" s="90">
        <v>3</v>
      </c>
      <c r="T294" s="90">
        <v>6</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517</v>
      </c>
      <c r="R296" s="227"/>
      <c r="S296" s="227"/>
      <c r="T296" s="228"/>
      <c r="U296" s="4" t="s">
        <v>121</v>
      </c>
    </row>
    <row r="297" spans="1:21" ht="13.2">
      <c r="A297" s="56"/>
      <c r="B297" s="4"/>
      <c r="C297" s="249" t="s">
        <v>518</v>
      </c>
      <c r="D297" s="235"/>
      <c r="E297" s="235"/>
      <c r="F297" s="235"/>
      <c r="G297" s="235"/>
      <c r="H297" s="236"/>
      <c r="I297" s="85" t="s">
        <v>121</v>
      </c>
      <c r="J297" s="85"/>
      <c r="K297" s="85"/>
      <c r="L297" s="85"/>
      <c r="M297" s="86"/>
      <c r="N297" s="107"/>
      <c r="O297" s="110" t="s">
        <v>226</v>
      </c>
      <c r="P297" s="111"/>
      <c r="Q297" s="231" t="s">
        <v>519</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520</v>
      </c>
      <c r="F299" s="227"/>
      <c r="G299" s="227"/>
      <c r="H299" s="228"/>
      <c r="I299" s="85" t="s">
        <v>121</v>
      </c>
      <c r="J299" s="85"/>
      <c r="K299" s="85"/>
      <c r="L299" s="85"/>
      <c r="M299" s="86"/>
      <c r="N299" s="107"/>
      <c r="O299" s="112" t="s">
        <v>229</v>
      </c>
      <c r="P299" s="113"/>
      <c r="Q299" s="233" t="s">
        <v>521</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50" t="s">
        <v>522</v>
      </c>
      <c r="D301" s="235"/>
      <c r="E301" s="235"/>
      <c r="F301" s="235"/>
      <c r="G301" s="235"/>
      <c r="H301" s="236"/>
      <c r="I301" s="4" t="s">
        <v>121</v>
      </c>
      <c r="J301" s="4"/>
      <c r="K301" s="4"/>
      <c r="L301" s="4"/>
      <c r="M301" s="71"/>
      <c r="N301" s="109"/>
      <c r="O301" s="234" t="s">
        <v>121</v>
      </c>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2"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115"/>
      <c r="D1" s="26">
        <v>44383</v>
      </c>
      <c r="E1" s="9"/>
      <c r="F1" s="27" t="s">
        <v>128</v>
      </c>
      <c r="G1" s="10"/>
      <c r="H1" s="9"/>
      <c r="I1" s="11"/>
      <c r="J1" s="11"/>
      <c r="K1" s="11"/>
      <c r="L1" s="11"/>
      <c r="M1" s="11"/>
      <c r="N1" s="11"/>
      <c r="O1" s="124"/>
      <c r="P1" s="11"/>
      <c r="Q1" s="28" t="s">
        <v>0</v>
      </c>
      <c r="R1" s="255">
        <v>3</v>
      </c>
      <c r="S1" s="227"/>
      <c r="T1" s="227"/>
      <c r="U1" s="12"/>
    </row>
    <row r="2" spans="1:21" ht="15.6">
      <c r="B2" s="256" t="s">
        <v>129</v>
      </c>
      <c r="C2" s="226"/>
      <c r="D2" s="13" t="s">
        <v>130</v>
      </c>
      <c r="E2" s="10"/>
      <c r="F2" s="225" t="s">
        <v>1</v>
      </c>
      <c r="G2" s="226"/>
      <c r="H2" s="226"/>
      <c r="I2" s="257" t="s">
        <v>131</v>
      </c>
      <c r="J2" s="226"/>
      <c r="K2" s="226"/>
      <c r="L2" s="9"/>
      <c r="M2" s="9"/>
      <c r="N2" s="9"/>
      <c r="O2" s="18"/>
      <c r="P2" s="13" t="s">
        <v>132</v>
      </c>
      <c r="Q2" s="10"/>
      <c r="R2" s="225" t="s">
        <v>1</v>
      </c>
      <c r="S2" s="226"/>
      <c r="T2" s="226"/>
      <c r="U2" s="10" t="s">
        <v>131</v>
      </c>
    </row>
    <row r="3" spans="1:21">
      <c r="A3" s="29">
        <v>1</v>
      </c>
      <c r="B3" s="30">
        <v>1</v>
      </c>
      <c r="C3" s="18"/>
      <c r="D3" s="258" t="s">
        <v>523</v>
      </c>
      <c r="E3" s="228"/>
      <c r="F3" s="259">
        <v>24</v>
      </c>
      <c r="G3" s="227"/>
      <c r="H3" s="228"/>
      <c r="I3" s="31">
        <v>0</v>
      </c>
      <c r="J3" s="9"/>
      <c r="K3" s="32"/>
      <c r="L3" s="32" t="s">
        <v>3</v>
      </c>
      <c r="M3" s="9"/>
      <c r="N3" s="9"/>
      <c r="O3" s="18"/>
      <c r="P3" s="260" t="s">
        <v>524</v>
      </c>
      <c r="Q3" s="227"/>
      <c r="R3" s="261">
        <v>48</v>
      </c>
      <c r="S3" s="227"/>
      <c r="T3" s="228"/>
      <c r="U3" s="31">
        <v>0</v>
      </c>
    </row>
    <row r="4" spans="1:21">
      <c r="A4" s="29">
        <v>2</v>
      </c>
      <c r="B4" s="30">
        <v>2</v>
      </c>
      <c r="C4" s="141"/>
      <c r="D4" s="258" t="s">
        <v>525</v>
      </c>
      <c r="E4" s="228"/>
      <c r="F4" s="259">
        <v>36</v>
      </c>
      <c r="G4" s="227"/>
      <c r="H4" s="227"/>
      <c r="I4" s="31">
        <v>1</v>
      </c>
      <c r="J4" s="14"/>
      <c r="K4" s="32"/>
      <c r="L4" s="32" t="s">
        <v>3</v>
      </c>
      <c r="M4" s="14"/>
      <c r="N4" s="14"/>
      <c r="O4" s="142"/>
      <c r="P4" s="260" t="s">
        <v>526</v>
      </c>
      <c r="Q4" s="227"/>
      <c r="R4" s="261">
        <v>35</v>
      </c>
      <c r="S4" s="227"/>
      <c r="T4" s="227"/>
      <c r="U4" s="31">
        <v>0</v>
      </c>
    </row>
    <row r="5" spans="1:21">
      <c r="A5" s="29">
        <v>3</v>
      </c>
      <c r="B5" s="30">
        <v>3</v>
      </c>
      <c r="C5" s="141"/>
      <c r="D5" s="264" t="s">
        <v>527</v>
      </c>
      <c r="E5" s="236"/>
      <c r="F5" s="259">
        <v>44</v>
      </c>
      <c r="G5" s="227"/>
      <c r="H5" s="228"/>
      <c r="I5" s="31">
        <v>0</v>
      </c>
      <c r="J5" s="14"/>
      <c r="K5" s="32"/>
      <c r="L5" s="32" t="s">
        <v>3</v>
      </c>
      <c r="M5" s="14"/>
      <c r="N5" s="14"/>
      <c r="O5" s="142"/>
      <c r="P5" s="262" t="s">
        <v>528</v>
      </c>
      <c r="Q5" s="235"/>
      <c r="R5" s="263">
        <v>28</v>
      </c>
      <c r="S5" s="235"/>
      <c r="T5" s="236"/>
      <c r="U5" s="31">
        <v>1</v>
      </c>
    </row>
    <row r="6" spans="1:21">
      <c r="B6" s="33"/>
      <c r="C6" s="115"/>
      <c r="D6" s="34" t="s">
        <v>139</v>
      </c>
      <c r="E6" s="35">
        <v>1</v>
      </c>
      <c r="F6" s="10"/>
      <c r="G6" s="10"/>
      <c r="H6" s="10"/>
      <c r="I6" s="36"/>
      <c r="J6" s="36"/>
      <c r="K6" s="36"/>
      <c r="L6" s="36"/>
      <c r="M6" s="36"/>
      <c r="N6" s="36"/>
      <c r="O6" s="118"/>
      <c r="P6" s="34" t="s">
        <v>140</v>
      </c>
      <c r="Q6" s="267">
        <v>44383</v>
      </c>
      <c r="R6" s="226"/>
      <c r="S6" s="226"/>
      <c r="T6" s="226"/>
      <c r="U6" s="37"/>
    </row>
    <row r="7" spans="1:21">
      <c r="B7" s="38"/>
      <c r="C7" s="122"/>
      <c r="D7" s="39" t="s">
        <v>141</v>
      </c>
      <c r="E7" s="11"/>
      <c r="F7" s="9"/>
      <c r="G7" s="9"/>
      <c r="H7" s="9"/>
      <c r="I7" s="9"/>
      <c r="J7" s="9"/>
      <c r="K7" s="9"/>
      <c r="L7" s="9"/>
      <c r="M7" s="9"/>
      <c r="N7" s="9"/>
      <c r="O7" s="18"/>
      <c r="P7" s="40" t="s">
        <v>2</v>
      </c>
      <c r="Q7" s="268" t="s">
        <v>142</v>
      </c>
      <c r="R7" s="226"/>
      <c r="S7" s="226"/>
      <c r="T7" s="226"/>
      <c r="U7" s="9"/>
    </row>
    <row r="8" spans="1:21" ht="15.75" customHeight="1">
      <c r="B8" s="41"/>
      <c r="C8" s="128"/>
      <c r="D8" s="11"/>
      <c r="E8" s="11"/>
      <c r="F8" s="9"/>
      <c r="G8" s="9"/>
      <c r="H8" s="9"/>
      <c r="I8" s="9"/>
      <c r="J8" s="9"/>
      <c r="K8" s="9"/>
      <c r="L8" s="9"/>
      <c r="M8" s="9"/>
      <c r="N8" s="9"/>
      <c r="O8" s="18"/>
      <c r="P8" s="11"/>
      <c r="Q8" s="11"/>
      <c r="R8" s="11"/>
      <c r="S8" s="9"/>
      <c r="T8" s="9"/>
      <c r="U8" s="9"/>
    </row>
    <row r="9" spans="1:21" ht="63.6" customHeight="1">
      <c r="B9" s="43"/>
      <c r="C9" s="251" t="s">
        <v>130</v>
      </c>
      <c r="D9" s="227"/>
      <c r="E9" s="252" t="s">
        <v>523</v>
      </c>
      <c r="F9" s="227"/>
      <c r="G9" s="228"/>
      <c r="H9" s="130" t="s">
        <v>529</v>
      </c>
      <c r="I9" s="131"/>
      <c r="J9" s="132"/>
      <c r="K9" s="132"/>
      <c r="L9" s="132"/>
      <c r="M9" s="132"/>
      <c r="N9" s="48"/>
      <c r="O9" s="244" t="s">
        <v>132</v>
      </c>
      <c r="P9" s="227"/>
      <c r="Q9" s="245" t="s">
        <v>524</v>
      </c>
      <c r="R9" s="227"/>
      <c r="S9" s="228"/>
      <c r="T9" s="134" t="s">
        <v>530</v>
      </c>
      <c r="U9" s="135"/>
    </row>
    <row r="10" spans="1:21" ht="15.75" customHeight="1">
      <c r="B10" s="51"/>
      <c r="C10" s="253" t="s">
        <v>1</v>
      </c>
      <c r="D10" s="228"/>
      <c r="E10" s="254">
        <v>24</v>
      </c>
      <c r="F10" s="227"/>
      <c r="G10" s="227"/>
      <c r="H10" s="137"/>
      <c r="I10" s="131"/>
      <c r="J10" s="138"/>
      <c r="K10" s="138"/>
      <c r="L10" s="138"/>
      <c r="M10" s="138"/>
      <c r="N10" s="48"/>
      <c r="O10" s="246" t="s">
        <v>1</v>
      </c>
      <c r="P10" s="228"/>
      <c r="Q10" s="247">
        <v>48</v>
      </c>
      <c r="R10" s="227"/>
      <c r="S10" s="227"/>
      <c r="T10" s="140"/>
      <c r="U10" s="135"/>
    </row>
    <row r="11" spans="1:21" ht="15.75" customHeight="1">
      <c r="B11" s="6"/>
      <c r="C11" s="55"/>
      <c r="D11" s="55"/>
      <c r="E11" s="55"/>
      <c r="F11" s="55"/>
      <c r="G11" s="55"/>
      <c r="H11" s="55"/>
      <c r="I11" s="55"/>
      <c r="J11" s="55"/>
      <c r="K11" s="55"/>
      <c r="L11" s="55"/>
      <c r="M11" s="55"/>
      <c r="N11" s="55"/>
      <c r="O11" s="55"/>
      <c r="P11" s="55"/>
      <c r="Q11" s="55"/>
      <c r="R11" s="55"/>
      <c r="S11" s="55"/>
      <c r="T11" s="55"/>
      <c r="U11" s="55"/>
    </row>
    <row r="12" spans="1:21" ht="15.75" customHeight="1">
      <c r="A12" s="56"/>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C13" s="62" t="s">
        <v>147</v>
      </c>
      <c r="D13" s="63" t="s">
        <v>148</v>
      </c>
      <c r="E13" s="57"/>
      <c r="F13" s="57"/>
      <c r="G13" s="64">
        <v>0</v>
      </c>
      <c r="H13" s="65">
        <v>9</v>
      </c>
      <c r="I13" s="55"/>
      <c r="J13" s="55"/>
      <c r="K13" s="55"/>
      <c r="L13" s="55"/>
      <c r="M13" s="61"/>
      <c r="N13" s="4"/>
      <c r="O13" s="62" t="s">
        <v>149</v>
      </c>
      <c r="P13" s="63" t="s">
        <v>150</v>
      </c>
      <c r="Q13" s="57"/>
      <c r="R13" s="57"/>
      <c r="S13" s="64">
        <v>8</v>
      </c>
      <c r="T13" s="65">
        <v>1</v>
      </c>
      <c r="U13" s="55"/>
    </row>
    <row r="14" spans="1:21" ht="15.75" customHeight="1">
      <c r="A14" s="56"/>
      <c r="C14" s="62" t="s">
        <v>151</v>
      </c>
      <c r="D14" s="63" t="s">
        <v>152</v>
      </c>
      <c r="E14" s="57"/>
      <c r="F14" s="57"/>
      <c r="G14" s="64">
        <v>0</v>
      </c>
      <c r="H14" s="65">
        <v>9</v>
      </c>
      <c r="I14" s="55"/>
      <c r="J14" s="55"/>
      <c r="K14" s="55"/>
      <c r="L14" s="55"/>
      <c r="M14" s="61"/>
      <c r="N14" s="4"/>
      <c r="O14" s="62" t="s">
        <v>153</v>
      </c>
      <c r="P14" s="63" t="s">
        <v>154</v>
      </c>
      <c r="Q14" s="57"/>
      <c r="R14" s="57"/>
      <c r="S14" s="64">
        <v>1</v>
      </c>
      <c r="T14" s="65">
        <v>8</v>
      </c>
      <c r="U14" s="55"/>
    </row>
    <row r="15" spans="1:21" ht="15.75" customHeight="1">
      <c r="A15" s="56"/>
      <c r="C15" s="62" t="s">
        <v>155</v>
      </c>
      <c r="D15" s="63" t="s">
        <v>156</v>
      </c>
      <c r="E15" s="57"/>
      <c r="F15" s="57"/>
      <c r="G15" s="64">
        <v>6</v>
      </c>
      <c r="H15" s="65">
        <v>3</v>
      </c>
      <c r="I15" s="55"/>
      <c r="J15" s="55"/>
      <c r="K15" s="55"/>
      <c r="L15" s="55"/>
      <c r="M15" s="61"/>
      <c r="N15" s="4"/>
      <c r="O15" s="62" t="s">
        <v>157</v>
      </c>
      <c r="P15" s="63" t="s">
        <v>158</v>
      </c>
      <c r="Q15" s="57"/>
      <c r="R15" s="57"/>
      <c r="S15" s="64">
        <v>4</v>
      </c>
      <c r="T15" s="65">
        <v>5</v>
      </c>
      <c r="U15" s="55"/>
    </row>
    <row r="16" spans="1:21" ht="15.75" customHeight="1">
      <c r="A16" s="56"/>
      <c r="C16" s="62" t="s">
        <v>159</v>
      </c>
      <c r="D16" s="63" t="s">
        <v>160</v>
      </c>
      <c r="E16" s="57"/>
      <c r="F16" s="57"/>
      <c r="G16" s="64">
        <v>1</v>
      </c>
      <c r="H16" s="65">
        <v>8</v>
      </c>
      <c r="I16" s="55"/>
      <c r="J16" s="55"/>
      <c r="K16" s="55"/>
      <c r="L16" s="55"/>
      <c r="M16" s="61"/>
      <c r="N16" s="4"/>
      <c r="O16" s="62" t="s">
        <v>161</v>
      </c>
      <c r="P16" s="63" t="s">
        <v>162</v>
      </c>
      <c r="Q16" s="57"/>
      <c r="R16" s="57"/>
      <c r="S16" s="64">
        <v>4</v>
      </c>
      <c r="T16" s="65">
        <v>5</v>
      </c>
      <c r="U16" s="55"/>
    </row>
    <row r="17" spans="1:21" ht="15.75" customHeight="1">
      <c r="A17" s="56"/>
      <c r="C17" s="66"/>
      <c r="D17" s="67" t="s">
        <v>163</v>
      </c>
      <c r="E17" s="68"/>
      <c r="F17" s="68"/>
      <c r="G17" s="69">
        <v>7</v>
      </c>
      <c r="H17" s="70">
        <v>29</v>
      </c>
      <c r="I17" s="55"/>
      <c r="J17" s="55"/>
      <c r="K17" s="55"/>
      <c r="L17" s="55"/>
      <c r="M17" s="61"/>
      <c r="N17" s="4"/>
      <c r="O17" s="66"/>
      <c r="P17" s="67" t="s">
        <v>163</v>
      </c>
      <c r="Q17" s="68"/>
      <c r="R17" s="68"/>
      <c r="S17" s="69">
        <v>17</v>
      </c>
      <c r="T17" s="70">
        <v>19</v>
      </c>
      <c r="U17" s="55"/>
    </row>
    <row r="18" spans="1:21" ht="15.75" customHeight="1">
      <c r="A18" s="56"/>
      <c r="C18" s="4"/>
      <c r="D18" s="4"/>
      <c r="E18" s="4"/>
      <c r="F18" s="4"/>
      <c r="G18" s="4"/>
      <c r="H18" s="4"/>
      <c r="I18" s="55"/>
      <c r="J18" s="55"/>
      <c r="K18" s="55"/>
      <c r="L18" s="55"/>
      <c r="M18" s="61"/>
      <c r="N18" s="4"/>
      <c r="O18" s="55"/>
      <c r="P18" s="55"/>
      <c r="Q18" s="55"/>
      <c r="R18" s="55"/>
      <c r="S18" s="55"/>
      <c r="T18" s="55"/>
      <c r="U18" s="55"/>
    </row>
    <row r="19" spans="1:21" ht="15.75" customHeight="1">
      <c r="A19" s="56"/>
      <c r="C19" s="4"/>
      <c r="D19" s="4"/>
      <c r="E19" s="4"/>
      <c r="F19" s="4"/>
      <c r="G19" s="4"/>
      <c r="H19" s="4"/>
      <c r="I19" s="4"/>
      <c r="J19" s="4"/>
      <c r="K19" s="4"/>
      <c r="L19" s="4"/>
      <c r="M19" s="71"/>
      <c r="N19" s="4"/>
      <c r="O19" s="4"/>
      <c r="P19" s="4"/>
      <c r="Q19" s="4"/>
      <c r="R19" s="4"/>
      <c r="S19" s="4"/>
      <c r="T19" s="72"/>
      <c r="U19" s="4"/>
    </row>
    <row r="20" spans="1:21" ht="15.75" customHeight="1">
      <c r="A20" s="56"/>
      <c r="C20" s="4"/>
      <c r="D20" s="4"/>
      <c r="E20" s="4"/>
      <c r="F20" s="4"/>
      <c r="G20" s="4"/>
      <c r="H20" s="4"/>
      <c r="I20" s="4"/>
      <c r="J20" s="4"/>
      <c r="K20" s="4"/>
      <c r="L20" s="4"/>
      <c r="M20" s="71"/>
      <c r="N20" s="4"/>
      <c r="O20" s="4"/>
      <c r="P20" s="4"/>
      <c r="Q20" s="4"/>
      <c r="R20" s="4"/>
      <c r="S20" s="4"/>
      <c r="T20" s="4"/>
      <c r="U20" s="4"/>
    </row>
    <row r="21" spans="1:21" ht="15.75" customHeight="1">
      <c r="A21" s="56" t="s">
        <v>147</v>
      </c>
      <c r="B21" s="14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144"/>
      <c r="C22" s="81">
        <v>1</v>
      </c>
      <c r="D22" s="82" t="s">
        <v>531</v>
      </c>
      <c r="E22" s="83">
        <v>68.75</v>
      </c>
      <c r="F22" s="81" t="s">
        <v>530</v>
      </c>
      <c r="G22" s="81" t="s">
        <v>121</v>
      </c>
      <c r="H22" s="81">
        <v>5</v>
      </c>
      <c r="I22" s="84" t="s">
        <v>121</v>
      </c>
      <c r="J22" s="85"/>
      <c r="K22" s="85"/>
      <c r="L22" s="85"/>
      <c r="M22" s="86"/>
      <c r="N22" s="80"/>
      <c r="O22" s="81">
        <v>1</v>
      </c>
      <c r="P22" s="82" t="s">
        <v>532</v>
      </c>
      <c r="Q22" s="83">
        <v>66.650000000000006</v>
      </c>
      <c r="R22" s="81" t="s">
        <v>529</v>
      </c>
      <c r="S22" s="81">
        <v>5</v>
      </c>
      <c r="T22" s="81" t="s">
        <v>121</v>
      </c>
      <c r="U22" s="84" t="s">
        <v>121</v>
      </c>
    </row>
    <row r="23" spans="1:21" ht="15.75" customHeight="1">
      <c r="A23" s="56" t="s">
        <v>147</v>
      </c>
      <c r="B23" s="144"/>
      <c r="C23" s="81">
        <v>2</v>
      </c>
      <c r="D23" s="82" t="s">
        <v>533</v>
      </c>
      <c r="E23" s="87">
        <v>63.95</v>
      </c>
      <c r="F23" s="81" t="s">
        <v>530</v>
      </c>
      <c r="G23" s="81" t="s">
        <v>121</v>
      </c>
      <c r="H23" s="81">
        <v>3</v>
      </c>
      <c r="I23" s="84" t="s">
        <v>121</v>
      </c>
      <c r="J23" s="85"/>
      <c r="K23" s="85"/>
      <c r="L23" s="85"/>
      <c r="M23" s="86"/>
      <c r="N23" s="80"/>
      <c r="O23" s="81">
        <v>2</v>
      </c>
      <c r="P23" s="82" t="s">
        <v>534</v>
      </c>
      <c r="Q23" s="87">
        <v>57.1</v>
      </c>
      <c r="R23" s="81" t="s">
        <v>529</v>
      </c>
      <c r="S23" s="81">
        <v>3</v>
      </c>
      <c r="T23" s="81" t="s">
        <v>121</v>
      </c>
      <c r="U23" s="84" t="s">
        <v>121</v>
      </c>
    </row>
    <row r="24" spans="1:21" ht="15.75" customHeight="1">
      <c r="A24" s="56" t="s">
        <v>147</v>
      </c>
      <c r="B24" s="144"/>
      <c r="C24" s="81">
        <v>3</v>
      </c>
      <c r="D24" s="82" t="s">
        <v>535</v>
      </c>
      <c r="E24" s="87">
        <v>62.25</v>
      </c>
      <c r="F24" s="81" t="s">
        <v>530</v>
      </c>
      <c r="G24" s="81" t="s">
        <v>121</v>
      </c>
      <c r="H24" s="81">
        <v>1</v>
      </c>
      <c r="I24" s="84" t="s">
        <v>121</v>
      </c>
      <c r="J24" s="85"/>
      <c r="K24" s="85"/>
      <c r="L24" s="85"/>
      <c r="M24" s="86"/>
      <c r="N24" s="80"/>
      <c r="O24" s="81">
        <v>3</v>
      </c>
      <c r="P24" s="82" t="s">
        <v>536</v>
      </c>
      <c r="Q24" s="87">
        <v>48.6</v>
      </c>
      <c r="R24" s="81" t="s">
        <v>530</v>
      </c>
      <c r="S24" s="81" t="s">
        <v>121</v>
      </c>
      <c r="T24" s="81">
        <v>1</v>
      </c>
      <c r="U24" s="84" t="s">
        <v>121</v>
      </c>
    </row>
    <row r="25" spans="1:21" ht="15.75" customHeight="1">
      <c r="A25" s="56" t="s">
        <v>147</v>
      </c>
      <c r="B25" s="144"/>
      <c r="C25" s="81">
        <v>4</v>
      </c>
      <c r="D25" s="82" t="s">
        <v>537</v>
      </c>
      <c r="E25" s="87">
        <v>56.5</v>
      </c>
      <c r="F25" s="81" t="s">
        <v>530</v>
      </c>
      <c r="G25" s="81" t="s">
        <v>121</v>
      </c>
      <c r="H25" s="81" t="s">
        <v>121</v>
      </c>
      <c r="I25" s="84" t="s">
        <v>121</v>
      </c>
      <c r="J25" s="85"/>
      <c r="K25" s="85"/>
      <c r="L25" s="85"/>
      <c r="M25" s="86"/>
      <c r="N25" s="80"/>
      <c r="O25" s="81">
        <v>4</v>
      </c>
      <c r="P25" s="82" t="s">
        <v>538</v>
      </c>
      <c r="Q25" s="87">
        <v>31.45</v>
      </c>
      <c r="R25" s="81" t="s">
        <v>529</v>
      </c>
      <c r="S25" s="81" t="s">
        <v>121</v>
      </c>
      <c r="T25" s="81" t="s">
        <v>121</v>
      </c>
      <c r="U25" s="84" t="s">
        <v>121</v>
      </c>
    </row>
    <row r="26" spans="1:21" ht="15.75" customHeight="1">
      <c r="A26" s="56" t="s">
        <v>147</v>
      </c>
      <c r="B26" s="144"/>
      <c r="C26" s="81">
        <v>5</v>
      </c>
      <c r="D26" s="82" t="s">
        <v>539</v>
      </c>
      <c r="E26" s="87">
        <v>54.45</v>
      </c>
      <c r="F26" s="81" t="s">
        <v>530</v>
      </c>
      <c r="G26" s="81" t="s">
        <v>121</v>
      </c>
      <c r="H26" s="81" t="s">
        <v>121</v>
      </c>
      <c r="I26" s="84" t="s">
        <v>121</v>
      </c>
      <c r="J26" s="85"/>
      <c r="K26" s="85"/>
      <c r="L26" s="85"/>
      <c r="M26" s="86"/>
      <c r="N26" s="80"/>
      <c r="O26" s="81">
        <v>5</v>
      </c>
      <c r="P26" s="82" t="s">
        <v>540</v>
      </c>
      <c r="Q26" s="87">
        <v>29.95</v>
      </c>
      <c r="R26" s="81" t="s">
        <v>530</v>
      </c>
      <c r="S26" s="81" t="s">
        <v>121</v>
      </c>
      <c r="T26" s="81" t="s">
        <v>121</v>
      </c>
      <c r="U26" s="84" t="s">
        <v>121</v>
      </c>
    </row>
    <row r="27" spans="1:21" ht="15.75" customHeight="1">
      <c r="A27" s="56" t="s">
        <v>147</v>
      </c>
      <c r="B27" s="144"/>
      <c r="C27" s="81">
        <v>6</v>
      </c>
      <c r="D27" s="82" t="s">
        <v>541</v>
      </c>
      <c r="E27" s="87">
        <v>54.25</v>
      </c>
      <c r="F27" s="81" t="s">
        <v>529</v>
      </c>
      <c r="G27" s="81" t="s">
        <v>121</v>
      </c>
      <c r="H27" s="81" t="s">
        <v>121</v>
      </c>
      <c r="I27" s="84" t="s">
        <v>121</v>
      </c>
      <c r="J27" s="85"/>
      <c r="K27" s="85"/>
      <c r="L27" s="85"/>
      <c r="M27" s="86"/>
      <c r="N27" s="80"/>
      <c r="O27" s="81" t="s">
        <v>121</v>
      </c>
      <c r="P27" s="82"/>
      <c r="Q27" s="87" t="s">
        <v>121</v>
      </c>
      <c r="R27" s="81"/>
      <c r="S27" s="81" t="s">
        <v>121</v>
      </c>
      <c r="T27" s="81" t="s">
        <v>121</v>
      </c>
      <c r="U27" s="84" t="s">
        <v>121</v>
      </c>
    </row>
    <row r="28" spans="1:21" ht="15.75" customHeight="1">
      <c r="A28" s="56" t="s">
        <v>147</v>
      </c>
      <c r="B28" s="144"/>
      <c r="C28" s="81">
        <v>7</v>
      </c>
      <c r="D28" s="82" t="s">
        <v>542</v>
      </c>
      <c r="E28" s="87">
        <v>48.9</v>
      </c>
      <c r="F28" s="81" t="s">
        <v>530</v>
      </c>
      <c r="G28" s="81" t="s">
        <v>121</v>
      </c>
      <c r="H28" s="81" t="s">
        <v>121</v>
      </c>
      <c r="I28" s="84" t="s">
        <v>121</v>
      </c>
      <c r="J28" s="85"/>
      <c r="K28" s="85"/>
      <c r="L28" s="85"/>
      <c r="M28" s="86"/>
      <c r="N28" s="80"/>
      <c r="O28" s="81" t="s">
        <v>121</v>
      </c>
      <c r="P28" s="82"/>
      <c r="Q28" s="87" t="s">
        <v>121</v>
      </c>
      <c r="R28" s="81"/>
      <c r="S28" s="81" t="s">
        <v>121</v>
      </c>
      <c r="T28" s="81" t="s">
        <v>121</v>
      </c>
      <c r="U28" s="84" t="s">
        <v>121</v>
      </c>
    </row>
    <row r="29" spans="1:21" ht="15.75" customHeight="1">
      <c r="A29" s="56" t="s">
        <v>147</v>
      </c>
      <c r="B29" s="144"/>
      <c r="C29" s="81">
        <v>8</v>
      </c>
      <c r="D29" s="88" t="s">
        <v>543</v>
      </c>
      <c r="E29" s="87">
        <v>46.05</v>
      </c>
      <c r="F29" s="81" t="s">
        <v>529</v>
      </c>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147</v>
      </c>
      <c r="B30" s="144"/>
      <c r="C30" s="81">
        <v>9</v>
      </c>
      <c r="D30" s="88" t="s">
        <v>544</v>
      </c>
      <c r="E30" s="87">
        <v>34.35</v>
      </c>
      <c r="F30" s="81" t="s">
        <v>530</v>
      </c>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147</v>
      </c>
      <c r="B31" s="144"/>
      <c r="C31" s="81">
        <v>10</v>
      </c>
      <c r="D31" s="88" t="s">
        <v>545</v>
      </c>
      <c r="E31" s="87">
        <v>33.799999999999997</v>
      </c>
      <c r="F31" s="81" t="s">
        <v>530</v>
      </c>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121</v>
      </c>
      <c r="B32" s="144"/>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144"/>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144"/>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144"/>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144"/>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144"/>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144"/>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144"/>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144"/>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144"/>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144"/>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144"/>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144"/>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144"/>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144"/>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144"/>
      <c r="C47" s="230" t="s">
        <v>184</v>
      </c>
      <c r="D47" s="227"/>
      <c r="E47" s="227"/>
      <c r="F47" s="227"/>
      <c r="G47" s="90">
        <v>0</v>
      </c>
      <c r="H47" s="90">
        <v>9</v>
      </c>
      <c r="I47" s="84" t="s">
        <v>121</v>
      </c>
      <c r="J47" s="85"/>
      <c r="K47" s="85"/>
      <c r="L47" s="85"/>
      <c r="M47" s="86"/>
      <c r="N47" s="80"/>
      <c r="O47" s="230" t="s">
        <v>185</v>
      </c>
      <c r="P47" s="227"/>
      <c r="Q47" s="227"/>
      <c r="R47" s="227"/>
      <c r="S47" s="90">
        <v>8</v>
      </c>
      <c r="T47" s="90">
        <v>1</v>
      </c>
      <c r="U47" s="84" t="s">
        <v>121</v>
      </c>
    </row>
    <row r="48" spans="1:21" ht="13.2">
      <c r="A48" s="56" t="s">
        <v>121</v>
      </c>
      <c r="B48" s="14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146"/>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147"/>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148"/>
      <c r="C51" s="81">
        <v>1</v>
      </c>
      <c r="D51" s="82" t="s">
        <v>546</v>
      </c>
      <c r="E51" s="83">
        <v>82.95</v>
      </c>
      <c r="F51" s="81" t="s">
        <v>530</v>
      </c>
      <c r="G51" s="81" t="s">
        <v>121</v>
      </c>
      <c r="H51" s="81">
        <v>5</v>
      </c>
      <c r="I51" s="100" t="s">
        <v>121</v>
      </c>
      <c r="J51" s="85"/>
      <c r="K51" s="85"/>
      <c r="L51" s="85"/>
      <c r="M51" s="86"/>
      <c r="N51" s="99"/>
      <c r="O51" s="81">
        <v>1</v>
      </c>
      <c r="P51" s="82" t="s">
        <v>547</v>
      </c>
      <c r="Q51" s="83">
        <v>79.400000000000006</v>
      </c>
      <c r="R51" s="81" t="s">
        <v>530</v>
      </c>
      <c r="S51" s="81" t="s">
        <v>121</v>
      </c>
      <c r="T51" s="81">
        <v>5</v>
      </c>
      <c r="U51" s="100" t="s">
        <v>121</v>
      </c>
    </row>
    <row r="52" spans="1:21" ht="13.2">
      <c r="A52" s="56" t="s">
        <v>151</v>
      </c>
      <c r="B52" s="148"/>
      <c r="C52" s="81">
        <v>2</v>
      </c>
      <c r="D52" s="82" t="s">
        <v>548</v>
      </c>
      <c r="E52" s="87">
        <v>81.05</v>
      </c>
      <c r="F52" s="81" t="s">
        <v>530</v>
      </c>
      <c r="G52" s="81" t="s">
        <v>121</v>
      </c>
      <c r="H52" s="81">
        <v>3</v>
      </c>
      <c r="I52" s="100" t="s">
        <v>121</v>
      </c>
      <c r="J52" s="85"/>
      <c r="K52" s="85"/>
      <c r="L52" s="85"/>
      <c r="M52" s="86"/>
      <c r="N52" s="99"/>
      <c r="O52" s="81">
        <v>2</v>
      </c>
      <c r="P52" s="82" t="s">
        <v>549</v>
      </c>
      <c r="Q52" s="87">
        <v>79.2</v>
      </c>
      <c r="R52" s="81" t="s">
        <v>530</v>
      </c>
      <c r="S52" s="81" t="s">
        <v>121</v>
      </c>
      <c r="T52" s="81">
        <v>3</v>
      </c>
      <c r="U52" s="100" t="s">
        <v>121</v>
      </c>
    </row>
    <row r="53" spans="1:21" ht="13.2">
      <c r="A53" s="56" t="s">
        <v>151</v>
      </c>
      <c r="B53" s="148"/>
      <c r="C53" s="81">
        <v>3</v>
      </c>
      <c r="D53" s="82" t="s">
        <v>550</v>
      </c>
      <c r="E53" s="87">
        <v>79.95</v>
      </c>
      <c r="F53" s="81" t="s">
        <v>530</v>
      </c>
      <c r="G53" s="81" t="s">
        <v>121</v>
      </c>
      <c r="H53" s="81">
        <v>1</v>
      </c>
      <c r="I53" s="100" t="s">
        <v>121</v>
      </c>
      <c r="J53" s="85"/>
      <c r="K53" s="85"/>
      <c r="L53" s="85"/>
      <c r="M53" s="86"/>
      <c r="N53" s="99"/>
      <c r="O53" s="81">
        <v>3</v>
      </c>
      <c r="P53" s="82" t="s">
        <v>551</v>
      </c>
      <c r="Q53" s="87">
        <v>75.349999999999994</v>
      </c>
      <c r="R53" s="81" t="s">
        <v>529</v>
      </c>
      <c r="S53" s="81">
        <v>1</v>
      </c>
      <c r="T53" s="81" t="s">
        <v>121</v>
      </c>
      <c r="U53" s="100" t="s">
        <v>121</v>
      </c>
    </row>
    <row r="54" spans="1:21" ht="13.2">
      <c r="A54" s="56" t="s">
        <v>151</v>
      </c>
      <c r="B54" s="148"/>
      <c r="C54" s="81">
        <v>4</v>
      </c>
      <c r="D54" s="82" t="s">
        <v>552</v>
      </c>
      <c r="E54" s="87">
        <v>69.2</v>
      </c>
      <c r="F54" s="81" t="s">
        <v>530</v>
      </c>
      <c r="G54" s="81" t="s">
        <v>121</v>
      </c>
      <c r="H54" s="81" t="s">
        <v>121</v>
      </c>
      <c r="I54" s="100" t="s">
        <v>121</v>
      </c>
      <c r="J54" s="85"/>
      <c r="K54" s="85"/>
      <c r="L54" s="85"/>
      <c r="M54" s="86"/>
      <c r="N54" s="99"/>
      <c r="O54" s="81" t="s">
        <v>121</v>
      </c>
      <c r="P54" s="82"/>
      <c r="Q54" s="87" t="s">
        <v>121</v>
      </c>
      <c r="R54" s="81"/>
      <c r="S54" s="81" t="s">
        <v>121</v>
      </c>
      <c r="T54" s="81" t="s">
        <v>121</v>
      </c>
      <c r="U54" s="100" t="s">
        <v>121</v>
      </c>
    </row>
    <row r="55" spans="1:21" ht="13.2">
      <c r="A55" s="56" t="s">
        <v>151</v>
      </c>
      <c r="B55" s="148"/>
      <c r="C55" s="81">
        <v>5</v>
      </c>
      <c r="D55" s="82" t="s">
        <v>553</v>
      </c>
      <c r="E55" s="87">
        <v>53.2</v>
      </c>
      <c r="F55" s="81" t="s">
        <v>530</v>
      </c>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148"/>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148"/>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148"/>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148"/>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148"/>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148"/>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148"/>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148"/>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148"/>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148"/>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148"/>
      <c r="C66" s="230" t="s">
        <v>199</v>
      </c>
      <c r="D66" s="227"/>
      <c r="E66" s="227"/>
      <c r="F66" s="228"/>
      <c r="G66" s="90">
        <v>0</v>
      </c>
      <c r="H66" s="90">
        <v>9</v>
      </c>
      <c r="I66" s="100" t="s">
        <v>121</v>
      </c>
      <c r="J66" s="85"/>
      <c r="K66" s="85"/>
      <c r="L66" s="85"/>
      <c r="M66" s="86"/>
      <c r="N66" s="99"/>
      <c r="O66" s="230" t="s">
        <v>200</v>
      </c>
      <c r="P66" s="227"/>
      <c r="Q66" s="227"/>
      <c r="R66" s="228"/>
      <c r="S66" s="90">
        <v>1</v>
      </c>
      <c r="T66" s="90">
        <v>8</v>
      </c>
      <c r="U66" s="100" t="s">
        <v>121</v>
      </c>
    </row>
    <row r="67" spans="1:21" ht="13.2">
      <c r="A67" s="56" t="s">
        <v>121</v>
      </c>
      <c r="B67" s="14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146"/>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49"/>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13.2">
      <c r="A70" s="56" t="s">
        <v>155</v>
      </c>
      <c r="B70" s="144"/>
      <c r="C70" s="81">
        <v>1</v>
      </c>
      <c r="D70" s="82" t="s">
        <v>554</v>
      </c>
      <c r="E70" s="83">
        <v>123.7</v>
      </c>
      <c r="F70" s="81" t="s">
        <v>529</v>
      </c>
      <c r="G70" s="81">
        <v>5</v>
      </c>
      <c r="H70" s="81" t="s">
        <v>121</v>
      </c>
      <c r="I70" s="84" t="s">
        <v>121</v>
      </c>
      <c r="J70" s="85"/>
      <c r="K70" s="85"/>
      <c r="L70" s="85"/>
      <c r="M70" s="86"/>
      <c r="N70" s="80"/>
      <c r="O70" s="81">
        <v>1</v>
      </c>
      <c r="P70" s="82" t="s">
        <v>555</v>
      </c>
      <c r="Q70" s="83">
        <v>124</v>
      </c>
      <c r="R70" s="81" t="s">
        <v>530</v>
      </c>
      <c r="S70" s="81" t="s">
        <v>121</v>
      </c>
      <c r="T70" s="81">
        <v>5</v>
      </c>
      <c r="U70" s="84" t="s">
        <v>121</v>
      </c>
    </row>
    <row r="71" spans="1:21" ht="13.2">
      <c r="A71" s="56" t="s">
        <v>155</v>
      </c>
      <c r="B71" s="144"/>
      <c r="C71" s="81">
        <v>2</v>
      </c>
      <c r="D71" s="82" t="s">
        <v>556</v>
      </c>
      <c r="E71" s="87">
        <v>103.9</v>
      </c>
      <c r="F71" s="81" t="s">
        <v>530</v>
      </c>
      <c r="G71" s="81" t="s">
        <v>121</v>
      </c>
      <c r="H71" s="81">
        <v>3</v>
      </c>
      <c r="I71" s="84" t="s">
        <v>121</v>
      </c>
      <c r="J71" s="85"/>
      <c r="K71" s="85"/>
      <c r="L71" s="85"/>
      <c r="M71" s="86"/>
      <c r="N71" s="80"/>
      <c r="O71" s="81">
        <v>2</v>
      </c>
      <c r="P71" s="82" t="s">
        <v>557</v>
      </c>
      <c r="Q71" s="87">
        <v>119.9</v>
      </c>
      <c r="R71" s="81" t="s">
        <v>529</v>
      </c>
      <c r="S71" s="81">
        <v>3</v>
      </c>
      <c r="T71" s="81" t="s">
        <v>121</v>
      </c>
      <c r="U71" s="84" t="s">
        <v>121</v>
      </c>
    </row>
    <row r="72" spans="1:21" ht="13.2">
      <c r="A72" s="56" t="s">
        <v>155</v>
      </c>
      <c r="B72" s="144"/>
      <c r="C72" s="81">
        <v>3</v>
      </c>
      <c r="D72" s="82" t="s">
        <v>558</v>
      </c>
      <c r="E72" s="87">
        <v>86.15</v>
      </c>
      <c r="F72" s="81" t="s">
        <v>529</v>
      </c>
      <c r="G72" s="81">
        <v>1</v>
      </c>
      <c r="H72" s="81" t="s">
        <v>121</v>
      </c>
      <c r="I72" s="84" t="s">
        <v>121</v>
      </c>
      <c r="J72" s="85"/>
      <c r="K72" s="85"/>
      <c r="L72" s="85"/>
      <c r="M72" s="86"/>
      <c r="N72" s="80"/>
      <c r="O72" s="81">
        <v>3</v>
      </c>
      <c r="P72" s="82" t="s">
        <v>559</v>
      </c>
      <c r="Q72" s="87">
        <v>98.5</v>
      </c>
      <c r="R72" s="81" t="s">
        <v>529</v>
      </c>
      <c r="S72" s="81">
        <v>1</v>
      </c>
      <c r="T72" s="81" t="s">
        <v>121</v>
      </c>
      <c r="U72" s="84" t="s">
        <v>121</v>
      </c>
    </row>
    <row r="73" spans="1:21" ht="13.2">
      <c r="A73" s="56" t="s">
        <v>121</v>
      </c>
      <c r="B73" s="144"/>
      <c r="C73" s="81" t="s">
        <v>121</v>
      </c>
      <c r="D73" s="82"/>
      <c r="E73" s="87" t="s">
        <v>121</v>
      </c>
      <c r="F73" s="81"/>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121</v>
      </c>
      <c r="B74" s="144"/>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144"/>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144"/>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144"/>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144"/>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144"/>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144"/>
      <c r="C80" s="230" t="s">
        <v>210</v>
      </c>
      <c r="D80" s="227"/>
      <c r="E80" s="227"/>
      <c r="F80" s="227"/>
      <c r="G80" s="90">
        <v>6</v>
      </c>
      <c r="H80" s="90">
        <v>3</v>
      </c>
      <c r="I80" s="84" t="s">
        <v>121</v>
      </c>
      <c r="J80" s="85"/>
      <c r="K80" s="85"/>
      <c r="L80" s="85"/>
      <c r="M80" s="86"/>
      <c r="N80" s="80"/>
      <c r="O80" s="230" t="s">
        <v>211</v>
      </c>
      <c r="P80" s="227"/>
      <c r="Q80" s="227"/>
      <c r="R80" s="227"/>
      <c r="S80" s="90">
        <v>4</v>
      </c>
      <c r="T80" s="90">
        <v>5</v>
      </c>
      <c r="U80" s="84" t="s">
        <v>121</v>
      </c>
    </row>
    <row r="81" spans="1:21" ht="13.2">
      <c r="A81" s="56" t="s">
        <v>121</v>
      </c>
      <c r="B81" s="14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146"/>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147"/>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148"/>
      <c r="C84" s="81">
        <v>1</v>
      </c>
      <c r="D84" s="82" t="s">
        <v>560</v>
      </c>
      <c r="E84" s="83">
        <v>181.85</v>
      </c>
      <c r="F84" s="81" t="s">
        <v>530</v>
      </c>
      <c r="G84" s="81" t="s">
        <v>121</v>
      </c>
      <c r="H84" s="81">
        <v>5</v>
      </c>
      <c r="I84" s="100" t="s">
        <v>121</v>
      </c>
      <c r="J84" s="85"/>
      <c r="K84" s="85"/>
      <c r="L84" s="85"/>
      <c r="M84" s="86"/>
      <c r="N84" s="99"/>
      <c r="O84" s="81">
        <v>1</v>
      </c>
      <c r="P84" s="82" t="s">
        <v>561</v>
      </c>
      <c r="Q84" s="83">
        <v>167.5</v>
      </c>
      <c r="R84" s="81" t="s">
        <v>530</v>
      </c>
      <c r="S84" s="81" t="s">
        <v>121</v>
      </c>
      <c r="T84" s="81">
        <v>5</v>
      </c>
      <c r="U84" s="100" t="s">
        <v>121</v>
      </c>
    </row>
    <row r="85" spans="1:21" ht="13.2">
      <c r="A85" s="56" t="s">
        <v>159</v>
      </c>
      <c r="B85" s="148"/>
      <c r="C85" s="81">
        <v>2</v>
      </c>
      <c r="D85" s="82" t="s">
        <v>562</v>
      </c>
      <c r="E85" s="87">
        <v>179.35</v>
      </c>
      <c r="F85" s="81" t="s">
        <v>530</v>
      </c>
      <c r="G85" s="81" t="s">
        <v>121</v>
      </c>
      <c r="H85" s="81">
        <v>3</v>
      </c>
      <c r="I85" s="100" t="s">
        <v>121</v>
      </c>
      <c r="J85" s="85"/>
      <c r="K85" s="85"/>
      <c r="L85" s="85"/>
      <c r="M85" s="86"/>
      <c r="N85" s="99"/>
      <c r="O85" s="81">
        <v>2</v>
      </c>
      <c r="P85" s="82" t="s">
        <v>563</v>
      </c>
      <c r="Q85" s="87">
        <v>148.35</v>
      </c>
      <c r="R85" s="81" t="s">
        <v>529</v>
      </c>
      <c r="S85" s="81">
        <v>3</v>
      </c>
      <c r="T85" s="81" t="s">
        <v>121</v>
      </c>
      <c r="U85" s="100" t="s">
        <v>121</v>
      </c>
    </row>
    <row r="86" spans="1:21" ht="13.2">
      <c r="A86" s="56" t="s">
        <v>159</v>
      </c>
      <c r="B86" s="148"/>
      <c r="C86" s="81">
        <v>3</v>
      </c>
      <c r="D86" s="82" t="s">
        <v>564</v>
      </c>
      <c r="E86" s="87">
        <v>139.55000000000001</v>
      </c>
      <c r="F86" s="81" t="s">
        <v>529</v>
      </c>
      <c r="G86" s="81">
        <v>1</v>
      </c>
      <c r="H86" s="81" t="s">
        <v>121</v>
      </c>
      <c r="I86" s="100" t="s">
        <v>121</v>
      </c>
      <c r="J86" s="85"/>
      <c r="K86" s="85"/>
      <c r="L86" s="85"/>
      <c r="M86" s="86"/>
      <c r="N86" s="99"/>
      <c r="O86" s="81">
        <v>3</v>
      </c>
      <c r="P86" s="82" t="s">
        <v>565</v>
      </c>
      <c r="Q86" s="87">
        <v>131.30000000000001</v>
      </c>
      <c r="R86" s="81" t="s">
        <v>529</v>
      </c>
      <c r="S86" s="81">
        <v>1</v>
      </c>
      <c r="T86" s="81" t="s">
        <v>121</v>
      </c>
      <c r="U86" s="100" t="s">
        <v>121</v>
      </c>
    </row>
    <row r="87" spans="1:21" ht="13.2">
      <c r="A87" s="56" t="s">
        <v>121</v>
      </c>
      <c r="B87" s="148"/>
      <c r="C87" s="81" t="s">
        <v>121</v>
      </c>
      <c r="D87" s="82"/>
      <c r="E87" s="87" t="s">
        <v>121</v>
      </c>
      <c r="F87" s="81"/>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121</v>
      </c>
      <c r="B88" s="148"/>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148"/>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148"/>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148"/>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148"/>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148"/>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148"/>
      <c r="C94" s="230" t="s">
        <v>220</v>
      </c>
      <c r="D94" s="227"/>
      <c r="E94" s="227"/>
      <c r="F94" s="227"/>
      <c r="G94" s="90">
        <v>1</v>
      </c>
      <c r="H94" s="90">
        <v>8</v>
      </c>
      <c r="I94" s="100" t="s">
        <v>121</v>
      </c>
      <c r="J94" s="85"/>
      <c r="K94" s="85"/>
      <c r="L94" s="85"/>
      <c r="M94" s="86"/>
      <c r="N94" s="99"/>
      <c r="O94" s="230" t="s">
        <v>221</v>
      </c>
      <c r="P94" s="227"/>
      <c r="Q94" s="227"/>
      <c r="R94" s="227"/>
      <c r="S94" s="90">
        <v>4</v>
      </c>
      <c r="T94" s="90">
        <v>5</v>
      </c>
      <c r="U94" s="100" t="s">
        <v>121</v>
      </c>
    </row>
    <row r="95" spans="1:21" ht="13.2">
      <c r="A95" s="56"/>
      <c r="C95" s="24"/>
      <c r="D95" s="4"/>
      <c r="E95" s="4"/>
      <c r="F95" s="4"/>
      <c r="G95" s="4"/>
      <c r="H95" s="4"/>
      <c r="I95" s="4" t="s">
        <v>121</v>
      </c>
      <c r="J95" s="4"/>
      <c r="K95" s="4"/>
      <c r="L95" s="4"/>
      <c r="M95" s="71"/>
      <c r="N95" s="4"/>
      <c r="O95" s="4"/>
      <c r="P95" s="4"/>
      <c r="Q95" s="4"/>
      <c r="R95" s="4"/>
      <c r="S95" s="4"/>
      <c r="T95" s="4"/>
      <c r="U95" s="4" t="s">
        <v>121</v>
      </c>
    </row>
    <row r="96" spans="1:21" ht="13.2">
      <c r="A96" s="56"/>
      <c r="C96" s="106" t="s">
        <v>222</v>
      </c>
      <c r="D96" s="85"/>
      <c r="E96" s="85"/>
      <c r="F96" s="85"/>
      <c r="G96" s="85"/>
      <c r="H96" s="85"/>
      <c r="I96" s="85" t="s">
        <v>121</v>
      </c>
      <c r="J96" s="85"/>
      <c r="K96" s="85"/>
      <c r="L96" s="85"/>
      <c r="M96" s="86"/>
      <c r="N96" s="107"/>
      <c r="O96" s="108" t="s">
        <v>223</v>
      </c>
      <c r="P96" s="107"/>
      <c r="Q96" s="231" t="s">
        <v>566</v>
      </c>
      <c r="R96" s="227"/>
      <c r="S96" s="227"/>
      <c r="T96" s="228"/>
      <c r="U96" s="4" t="s">
        <v>121</v>
      </c>
    </row>
    <row r="97" spans="1:21" ht="13.2">
      <c r="A97" s="56"/>
      <c r="C97" s="249" t="s">
        <v>567</v>
      </c>
      <c r="D97" s="235"/>
      <c r="E97" s="235"/>
      <c r="F97" s="235"/>
      <c r="G97" s="235"/>
      <c r="H97" s="236"/>
      <c r="I97" s="85" t="s">
        <v>121</v>
      </c>
      <c r="J97" s="85"/>
      <c r="K97" s="85"/>
      <c r="L97" s="85"/>
      <c r="M97" s="86"/>
      <c r="N97" s="107"/>
      <c r="O97" s="110" t="s">
        <v>226</v>
      </c>
      <c r="P97" s="111"/>
      <c r="Q97" s="231" t="s">
        <v>568</v>
      </c>
      <c r="R97" s="227"/>
      <c r="S97" s="227"/>
      <c r="T97" s="228"/>
      <c r="U97" s="4" t="s">
        <v>121</v>
      </c>
    </row>
    <row r="98" spans="1:21" ht="13.2">
      <c r="A98" s="56"/>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C99" s="112" t="s">
        <v>228</v>
      </c>
      <c r="D99" s="113"/>
      <c r="E99" s="233" t="s">
        <v>568</v>
      </c>
      <c r="F99" s="227"/>
      <c r="G99" s="227"/>
      <c r="H99" s="228"/>
      <c r="I99" s="85" t="s">
        <v>121</v>
      </c>
      <c r="J99" s="85"/>
      <c r="K99" s="85"/>
      <c r="L99" s="85"/>
      <c r="M99" s="86"/>
      <c r="N99" s="107"/>
      <c r="O99" s="112" t="s">
        <v>229</v>
      </c>
      <c r="P99" s="113"/>
      <c r="Q99" s="233" t="s">
        <v>569</v>
      </c>
      <c r="R99" s="227"/>
      <c r="S99" s="227"/>
      <c r="T99" s="228"/>
      <c r="U99" s="4" t="s">
        <v>121</v>
      </c>
    </row>
    <row r="100" spans="1:21" ht="13.2">
      <c r="A100" s="56"/>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C101" s="273" t="s">
        <v>570</v>
      </c>
      <c r="D101" s="235"/>
      <c r="E101" s="235"/>
      <c r="F101" s="235"/>
      <c r="G101" s="235"/>
      <c r="H101" s="236"/>
      <c r="I101" s="4" t="s">
        <v>121</v>
      </c>
      <c r="J101" s="4"/>
      <c r="K101" s="4"/>
      <c r="L101" s="4"/>
      <c r="M101" s="71"/>
      <c r="N101" s="109"/>
      <c r="O101" s="274" t="s">
        <v>121</v>
      </c>
      <c r="P101" s="235"/>
      <c r="Q101" s="235"/>
      <c r="R101" s="235"/>
      <c r="S101" s="235"/>
      <c r="T101" s="236"/>
      <c r="U101" s="4" t="s">
        <v>121</v>
      </c>
    </row>
    <row r="102" spans="1:21" ht="13.2">
      <c r="A102" s="56"/>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33"/>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38"/>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41"/>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43"/>
      <c r="C109" s="251" t="s">
        <v>130</v>
      </c>
      <c r="D109" s="227"/>
      <c r="E109" s="252" t="s">
        <v>525</v>
      </c>
      <c r="F109" s="227"/>
      <c r="G109" s="228"/>
      <c r="H109" s="130" t="s">
        <v>571</v>
      </c>
      <c r="I109" s="131" t="s">
        <v>121</v>
      </c>
      <c r="J109" s="132"/>
      <c r="K109" s="132"/>
      <c r="L109" s="132"/>
      <c r="M109" s="133"/>
      <c r="N109" s="48"/>
      <c r="O109" s="244" t="s">
        <v>132</v>
      </c>
      <c r="P109" s="227"/>
      <c r="Q109" s="245" t="s">
        <v>526</v>
      </c>
      <c r="R109" s="227"/>
      <c r="S109" s="228"/>
      <c r="T109" s="134" t="s">
        <v>572</v>
      </c>
      <c r="U109" s="135" t="s">
        <v>121</v>
      </c>
    </row>
    <row r="110" spans="1:21" ht="17.399999999999999">
      <c r="A110" s="56"/>
      <c r="B110" s="51"/>
      <c r="C110" s="253" t="s">
        <v>1</v>
      </c>
      <c r="D110" s="228"/>
      <c r="E110" s="254">
        <v>36</v>
      </c>
      <c r="F110" s="227"/>
      <c r="G110" s="227"/>
      <c r="H110" s="137"/>
      <c r="I110" s="131" t="s">
        <v>121</v>
      </c>
      <c r="J110" s="138"/>
      <c r="K110" s="138"/>
      <c r="L110" s="138"/>
      <c r="M110" s="139"/>
      <c r="N110" s="48"/>
      <c r="O110" s="246" t="s">
        <v>1</v>
      </c>
      <c r="P110" s="228"/>
      <c r="Q110" s="247">
        <v>35</v>
      </c>
      <c r="R110" s="227"/>
      <c r="S110" s="227"/>
      <c r="T110" s="140"/>
      <c r="U110" s="135" t="s">
        <v>121</v>
      </c>
    </row>
    <row r="111" spans="1:21" ht="13.2">
      <c r="A111" s="56"/>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C113" s="62" t="s">
        <v>147</v>
      </c>
      <c r="D113" s="63" t="s">
        <v>148</v>
      </c>
      <c r="E113" s="57"/>
      <c r="F113" s="57"/>
      <c r="G113" s="64">
        <v>9</v>
      </c>
      <c r="H113" s="65">
        <v>0</v>
      </c>
      <c r="I113" s="55" t="s">
        <v>121</v>
      </c>
      <c r="J113" s="55"/>
      <c r="K113" s="55"/>
      <c r="L113" s="55"/>
      <c r="M113" s="61"/>
      <c r="N113" s="4"/>
      <c r="O113" s="62" t="s">
        <v>149</v>
      </c>
      <c r="P113" s="63" t="s">
        <v>150</v>
      </c>
      <c r="Q113" s="57"/>
      <c r="R113" s="57"/>
      <c r="S113" s="64">
        <v>4</v>
      </c>
      <c r="T113" s="65">
        <v>5</v>
      </c>
      <c r="U113" s="55" t="s">
        <v>121</v>
      </c>
    </row>
    <row r="114" spans="1:21" ht="13.2">
      <c r="A114" s="56"/>
      <c r="C114" s="62" t="s">
        <v>151</v>
      </c>
      <c r="D114" s="63" t="s">
        <v>152</v>
      </c>
      <c r="E114" s="57"/>
      <c r="F114" s="57"/>
      <c r="G114" s="64">
        <v>4</v>
      </c>
      <c r="H114" s="65">
        <v>5</v>
      </c>
      <c r="I114" s="55" t="s">
        <v>121</v>
      </c>
      <c r="J114" s="55"/>
      <c r="K114" s="55"/>
      <c r="L114" s="55"/>
      <c r="M114" s="61"/>
      <c r="N114" s="4"/>
      <c r="O114" s="62" t="s">
        <v>153</v>
      </c>
      <c r="P114" s="63" t="s">
        <v>154</v>
      </c>
      <c r="Q114" s="57"/>
      <c r="R114" s="57"/>
      <c r="S114" s="64">
        <v>1</v>
      </c>
      <c r="T114" s="65">
        <v>8</v>
      </c>
      <c r="U114" s="55" t="s">
        <v>121</v>
      </c>
    </row>
    <row r="115" spans="1:21" ht="13.2">
      <c r="A115" s="56"/>
      <c r="C115" s="62" t="s">
        <v>155</v>
      </c>
      <c r="D115" s="63" t="s">
        <v>156</v>
      </c>
      <c r="E115" s="57"/>
      <c r="F115" s="57"/>
      <c r="G115" s="64">
        <v>5</v>
      </c>
      <c r="H115" s="65">
        <v>4</v>
      </c>
      <c r="I115" s="55" t="s">
        <v>121</v>
      </c>
      <c r="J115" s="55"/>
      <c r="K115" s="55"/>
      <c r="L115" s="55"/>
      <c r="M115" s="61"/>
      <c r="N115" s="4"/>
      <c r="O115" s="62" t="s">
        <v>157</v>
      </c>
      <c r="P115" s="63" t="s">
        <v>158</v>
      </c>
      <c r="Q115" s="57"/>
      <c r="R115" s="57"/>
      <c r="S115" s="64">
        <v>5</v>
      </c>
      <c r="T115" s="65">
        <v>4</v>
      </c>
      <c r="U115" s="55" t="s">
        <v>121</v>
      </c>
    </row>
    <row r="116" spans="1:21" ht="13.2">
      <c r="A116" s="56"/>
      <c r="C116" s="62" t="s">
        <v>159</v>
      </c>
      <c r="D116" s="63" t="s">
        <v>160</v>
      </c>
      <c r="E116" s="57"/>
      <c r="F116" s="57"/>
      <c r="G116" s="64">
        <v>8</v>
      </c>
      <c r="H116" s="65">
        <v>1</v>
      </c>
      <c r="I116" s="55" t="s">
        <v>121</v>
      </c>
      <c r="J116" s="55"/>
      <c r="K116" s="55"/>
      <c r="L116" s="55"/>
      <c r="M116" s="61"/>
      <c r="N116" s="4"/>
      <c r="O116" s="62" t="s">
        <v>161</v>
      </c>
      <c r="P116" s="63" t="s">
        <v>162</v>
      </c>
      <c r="Q116" s="57"/>
      <c r="R116" s="57"/>
      <c r="S116" s="64">
        <v>0</v>
      </c>
      <c r="T116" s="65">
        <v>8</v>
      </c>
      <c r="U116" s="55" t="s">
        <v>121</v>
      </c>
    </row>
    <row r="117" spans="1:21" ht="13.2">
      <c r="A117" s="56"/>
      <c r="C117" s="66"/>
      <c r="D117" s="67" t="s">
        <v>163</v>
      </c>
      <c r="E117" s="68"/>
      <c r="F117" s="68"/>
      <c r="G117" s="69">
        <v>26</v>
      </c>
      <c r="H117" s="70">
        <v>10</v>
      </c>
      <c r="I117" s="55" t="s">
        <v>121</v>
      </c>
      <c r="J117" s="55"/>
      <c r="K117" s="55"/>
      <c r="L117" s="55"/>
      <c r="M117" s="61"/>
      <c r="N117" s="4"/>
      <c r="O117" s="66"/>
      <c r="P117" s="67" t="s">
        <v>163</v>
      </c>
      <c r="Q117" s="68"/>
      <c r="R117" s="68"/>
      <c r="S117" s="69">
        <v>10</v>
      </c>
      <c r="T117" s="70">
        <v>25</v>
      </c>
      <c r="U117" s="55" t="s">
        <v>121</v>
      </c>
    </row>
    <row r="118" spans="1:21" ht="13.2">
      <c r="A118" s="56"/>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C119" s="4"/>
      <c r="D119" s="4"/>
      <c r="E119" s="4"/>
      <c r="F119" s="4"/>
      <c r="G119" s="4"/>
      <c r="H119" s="4"/>
      <c r="I119" s="4" t="s">
        <v>121</v>
      </c>
      <c r="J119" s="4"/>
      <c r="K119" s="4"/>
      <c r="L119" s="4"/>
      <c r="M119" s="71"/>
      <c r="N119" s="4"/>
      <c r="O119" s="4"/>
      <c r="P119" s="4"/>
      <c r="Q119" s="4"/>
      <c r="R119" s="4"/>
      <c r="S119" s="4"/>
      <c r="T119" s="4"/>
      <c r="U119" s="4" t="s">
        <v>121</v>
      </c>
    </row>
    <row r="120" spans="1:21" ht="13.2">
      <c r="A120" s="56"/>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14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144"/>
      <c r="C122" s="81">
        <v>1</v>
      </c>
      <c r="D122" s="82" t="s">
        <v>573</v>
      </c>
      <c r="E122" s="83">
        <v>51.7</v>
      </c>
      <c r="F122" s="81" t="s">
        <v>571</v>
      </c>
      <c r="G122" s="81">
        <v>5</v>
      </c>
      <c r="H122" s="81" t="s">
        <v>121</v>
      </c>
      <c r="I122" s="84" t="s">
        <v>121</v>
      </c>
      <c r="J122" s="85"/>
      <c r="K122" s="85"/>
      <c r="L122" s="85"/>
      <c r="M122" s="86"/>
      <c r="N122" s="80"/>
      <c r="O122" s="81">
        <v>1</v>
      </c>
      <c r="P122" s="82" t="s">
        <v>574</v>
      </c>
      <c r="Q122" s="83">
        <v>84.7</v>
      </c>
      <c r="R122" s="81" t="s">
        <v>572</v>
      </c>
      <c r="S122" s="81" t="s">
        <v>121</v>
      </c>
      <c r="T122" s="81">
        <v>5</v>
      </c>
      <c r="U122" s="84" t="s">
        <v>121</v>
      </c>
    </row>
    <row r="123" spans="1:21" ht="13.2">
      <c r="A123" s="56" t="s">
        <v>147</v>
      </c>
      <c r="B123" s="144"/>
      <c r="C123" s="81">
        <v>2</v>
      </c>
      <c r="D123" s="82" t="s">
        <v>575</v>
      </c>
      <c r="E123" s="87">
        <v>51.45</v>
      </c>
      <c r="F123" s="81" t="s">
        <v>571</v>
      </c>
      <c r="G123" s="81">
        <v>3</v>
      </c>
      <c r="H123" s="81" t="s">
        <v>121</v>
      </c>
      <c r="I123" s="84" t="s">
        <v>121</v>
      </c>
      <c r="J123" s="85"/>
      <c r="K123" s="85"/>
      <c r="L123" s="85"/>
      <c r="M123" s="86"/>
      <c r="N123" s="80"/>
      <c r="O123" s="81">
        <v>2</v>
      </c>
      <c r="P123" s="82" t="s">
        <v>576</v>
      </c>
      <c r="Q123" s="87">
        <v>60.2</v>
      </c>
      <c r="R123" s="81" t="s">
        <v>571</v>
      </c>
      <c r="S123" s="81">
        <v>3</v>
      </c>
      <c r="T123" s="81" t="s">
        <v>121</v>
      </c>
      <c r="U123" s="84" t="s">
        <v>121</v>
      </c>
    </row>
    <row r="124" spans="1:21" ht="13.2">
      <c r="A124" s="56" t="s">
        <v>147</v>
      </c>
      <c r="B124" s="144"/>
      <c r="C124" s="81">
        <v>3</v>
      </c>
      <c r="D124" s="82" t="s">
        <v>577</v>
      </c>
      <c r="E124" s="87">
        <v>42.35</v>
      </c>
      <c r="F124" s="81" t="s">
        <v>571</v>
      </c>
      <c r="G124" s="81">
        <v>1</v>
      </c>
      <c r="H124" s="81" t="s">
        <v>121</v>
      </c>
      <c r="I124" s="84" t="s">
        <v>121</v>
      </c>
      <c r="J124" s="85"/>
      <c r="K124" s="85"/>
      <c r="L124" s="85"/>
      <c r="M124" s="86"/>
      <c r="N124" s="80"/>
      <c r="O124" s="81">
        <v>3</v>
      </c>
      <c r="P124" s="82" t="s">
        <v>578</v>
      </c>
      <c r="Q124" s="87">
        <v>59.45</v>
      </c>
      <c r="R124" s="81" t="s">
        <v>571</v>
      </c>
      <c r="S124" s="81">
        <v>1</v>
      </c>
      <c r="T124" s="81" t="s">
        <v>121</v>
      </c>
      <c r="U124" s="84" t="s">
        <v>121</v>
      </c>
    </row>
    <row r="125" spans="1:21" ht="13.2">
      <c r="A125" s="56" t="s">
        <v>147</v>
      </c>
      <c r="B125" s="144"/>
      <c r="C125" s="81">
        <v>4</v>
      </c>
      <c r="D125" s="82" t="s">
        <v>579</v>
      </c>
      <c r="E125" s="87">
        <v>41.3</v>
      </c>
      <c r="F125" s="81" t="s">
        <v>572</v>
      </c>
      <c r="G125" s="81" t="s">
        <v>121</v>
      </c>
      <c r="H125" s="81" t="s">
        <v>121</v>
      </c>
      <c r="I125" s="84" t="s">
        <v>121</v>
      </c>
      <c r="J125" s="85"/>
      <c r="K125" s="85"/>
      <c r="L125" s="85"/>
      <c r="M125" s="86"/>
      <c r="N125" s="80"/>
      <c r="O125" s="81">
        <v>4</v>
      </c>
      <c r="P125" s="82" t="s">
        <v>580</v>
      </c>
      <c r="Q125" s="87">
        <v>54.85</v>
      </c>
      <c r="R125" s="81" t="s">
        <v>572</v>
      </c>
      <c r="S125" s="81" t="s">
        <v>121</v>
      </c>
      <c r="T125" s="81" t="s">
        <v>121</v>
      </c>
      <c r="U125" s="84" t="s">
        <v>121</v>
      </c>
    </row>
    <row r="126" spans="1:21" ht="13.2">
      <c r="A126" s="56" t="s">
        <v>147</v>
      </c>
      <c r="B126" s="144"/>
      <c r="C126" s="81">
        <v>5</v>
      </c>
      <c r="D126" s="82" t="s">
        <v>581</v>
      </c>
      <c r="E126" s="87">
        <v>38.15</v>
      </c>
      <c r="F126" s="81" t="s">
        <v>571</v>
      </c>
      <c r="G126" s="81" t="s">
        <v>121</v>
      </c>
      <c r="H126" s="81" t="s">
        <v>121</v>
      </c>
      <c r="I126" s="84" t="s">
        <v>121</v>
      </c>
      <c r="J126" s="85"/>
      <c r="K126" s="85"/>
      <c r="L126" s="85"/>
      <c r="M126" s="86"/>
      <c r="N126" s="80"/>
      <c r="O126" s="81">
        <v>5</v>
      </c>
      <c r="P126" s="82" t="s">
        <v>582</v>
      </c>
      <c r="Q126" s="87">
        <v>54.05</v>
      </c>
      <c r="R126" s="81" t="s">
        <v>572</v>
      </c>
      <c r="S126" s="81" t="s">
        <v>121</v>
      </c>
      <c r="T126" s="81" t="s">
        <v>121</v>
      </c>
      <c r="U126" s="84" t="s">
        <v>121</v>
      </c>
    </row>
    <row r="127" spans="1:21" ht="13.2">
      <c r="A127" s="56" t="s">
        <v>147</v>
      </c>
      <c r="B127" s="144"/>
      <c r="C127" s="81">
        <v>6</v>
      </c>
      <c r="D127" s="82" t="s">
        <v>583</v>
      </c>
      <c r="E127" s="87">
        <v>37.1</v>
      </c>
      <c r="F127" s="81" t="s">
        <v>571</v>
      </c>
      <c r="G127" s="81" t="s">
        <v>121</v>
      </c>
      <c r="H127" s="81" t="s">
        <v>121</v>
      </c>
      <c r="I127" s="84" t="s">
        <v>121</v>
      </c>
      <c r="J127" s="85"/>
      <c r="K127" s="85"/>
      <c r="L127" s="85"/>
      <c r="M127" s="86"/>
      <c r="N127" s="80"/>
      <c r="O127" s="81">
        <v>6</v>
      </c>
      <c r="P127" s="82" t="s">
        <v>584</v>
      </c>
      <c r="Q127" s="87">
        <v>51</v>
      </c>
      <c r="R127" s="81" t="s">
        <v>572</v>
      </c>
      <c r="S127" s="81" t="s">
        <v>121</v>
      </c>
      <c r="T127" s="81" t="s">
        <v>121</v>
      </c>
      <c r="U127" s="84" t="s">
        <v>121</v>
      </c>
    </row>
    <row r="128" spans="1:21" ht="13.2">
      <c r="A128" s="56" t="s">
        <v>147</v>
      </c>
      <c r="B128" s="144"/>
      <c r="C128" s="81">
        <v>7</v>
      </c>
      <c r="D128" s="82" t="s">
        <v>585</v>
      </c>
      <c r="E128" s="87">
        <v>36.65</v>
      </c>
      <c r="F128" s="81" t="s">
        <v>572</v>
      </c>
      <c r="G128" s="81" t="s">
        <v>121</v>
      </c>
      <c r="H128" s="81" t="s">
        <v>121</v>
      </c>
      <c r="I128" s="84" t="s">
        <v>121</v>
      </c>
      <c r="J128" s="85"/>
      <c r="K128" s="85"/>
      <c r="L128" s="85"/>
      <c r="M128" s="86"/>
      <c r="N128" s="80"/>
      <c r="O128" s="81">
        <v>7</v>
      </c>
      <c r="P128" s="82" t="s">
        <v>586</v>
      </c>
      <c r="Q128" s="87">
        <v>45.15</v>
      </c>
      <c r="R128" s="81" t="s">
        <v>572</v>
      </c>
      <c r="S128" s="81" t="s">
        <v>121</v>
      </c>
      <c r="T128" s="81" t="s">
        <v>121</v>
      </c>
      <c r="U128" s="84" t="s">
        <v>121</v>
      </c>
    </row>
    <row r="129" spans="1:21" ht="13.2">
      <c r="A129" s="56" t="s">
        <v>147</v>
      </c>
      <c r="B129" s="144"/>
      <c r="C129" s="81">
        <v>8</v>
      </c>
      <c r="D129" s="88" t="s">
        <v>587</v>
      </c>
      <c r="E129" s="87">
        <v>35.15</v>
      </c>
      <c r="F129" s="81" t="s">
        <v>571</v>
      </c>
      <c r="G129" s="81" t="s">
        <v>121</v>
      </c>
      <c r="H129" s="81" t="s">
        <v>121</v>
      </c>
      <c r="I129" s="84" t="s">
        <v>121</v>
      </c>
      <c r="J129" s="85"/>
      <c r="K129" s="85"/>
      <c r="L129" s="85"/>
      <c r="M129" s="86"/>
      <c r="N129" s="80"/>
      <c r="O129" s="81">
        <v>8</v>
      </c>
      <c r="P129" s="82" t="s">
        <v>588</v>
      </c>
      <c r="Q129" s="87">
        <v>44.55</v>
      </c>
      <c r="R129" s="81" t="s">
        <v>571</v>
      </c>
      <c r="S129" s="81" t="s">
        <v>121</v>
      </c>
      <c r="T129" s="81" t="s">
        <v>121</v>
      </c>
      <c r="U129" s="84" t="s">
        <v>121</v>
      </c>
    </row>
    <row r="130" spans="1:21" ht="13.2">
      <c r="A130" s="56" t="s">
        <v>147</v>
      </c>
      <c r="B130" s="144"/>
      <c r="C130" s="81">
        <v>9</v>
      </c>
      <c r="D130" s="88" t="s">
        <v>589</v>
      </c>
      <c r="E130" s="87">
        <v>29.25</v>
      </c>
      <c r="F130" s="81" t="s">
        <v>572</v>
      </c>
      <c r="G130" s="81" t="s">
        <v>121</v>
      </c>
      <c r="H130" s="81" t="s">
        <v>121</v>
      </c>
      <c r="I130" s="84" t="s">
        <v>121</v>
      </c>
      <c r="J130" s="85"/>
      <c r="K130" s="85"/>
      <c r="L130" s="85"/>
      <c r="M130" s="86"/>
      <c r="N130" s="80"/>
      <c r="O130" s="81">
        <v>9</v>
      </c>
      <c r="P130" s="82" t="s">
        <v>590</v>
      </c>
      <c r="Q130" s="87">
        <v>42.8</v>
      </c>
      <c r="R130" s="81" t="s">
        <v>571</v>
      </c>
      <c r="S130" s="81" t="s">
        <v>121</v>
      </c>
      <c r="T130" s="81" t="s">
        <v>121</v>
      </c>
      <c r="U130" s="84" t="s">
        <v>121</v>
      </c>
    </row>
    <row r="131" spans="1:21" ht="13.2">
      <c r="A131" s="56" t="s">
        <v>121</v>
      </c>
      <c r="B131" s="144"/>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144"/>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144"/>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144"/>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144"/>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144"/>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144"/>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144"/>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144"/>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144"/>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144"/>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144"/>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144"/>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144"/>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144"/>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144"/>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144"/>
      <c r="C147" s="230" t="s">
        <v>184</v>
      </c>
      <c r="D147" s="227"/>
      <c r="E147" s="227"/>
      <c r="F147" s="227"/>
      <c r="G147" s="90">
        <v>9</v>
      </c>
      <c r="H147" s="90">
        <v>0</v>
      </c>
      <c r="I147" s="84" t="s">
        <v>121</v>
      </c>
      <c r="J147" s="85"/>
      <c r="K147" s="85"/>
      <c r="L147" s="85"/>
      <c r="M147" s="86"/>
      <c r="N147" s="80"/>
      <c r="O147" s="230" t="s">
        <v>185</v>
      </c>
      <c r="P147" s="227"/>
      <c r="Q147" s="227"/>
      <c r="R147" s="227"/>
      <c r="S147" s="90">
        <v>4</v>
      </c>
      <c r="T147" s="90">
        <v>5</v>
      </c>
      <c r="U147" s="84" t="s">
        <v>121</v>
      </c>
    </row>
    <row r="148" spans="1:21" ht="13.2">
      <c r="A148" s="56" t="s">
        <v>121</v>
      </c>
      <c r="B148" s="14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146"/>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147"/>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26.4">
      <c r="A151" s="56" t="s">
        <v>151</v>
      </c>
      <c r="B151" s="148"/>
      <c r="C151" s="81">
        <v>1</v>
      </c>
      <c r="D151" s="82" t="s">
        <v>591</v>
      </c>
      <c r="E151" s="83">
        <v>114.95</v>
      </c>
      <c r="F151" s="81" t="s">
        <v>572</v>
      </c>
      <c r="G151" s="81" t="s">
        <v>121</v>
      </c>
      <c r="H151" s="81">
        <v>5</v>
      </c>
      <c r="I151" s="100" t="s">
        <v>121</v>
      </c>
      <c r="J151" s="85"/>
      <c r="K151" s="85"/>
      <c r="L151" s="85"/>
      <c r="M151" s="86"/>
      <c r="N151" s="99"/>
      <c r="O151" s="81">
        <v>1</v>
      </c>
      <c r="P151" s="82" t="s">
        <v>592</v>
      </c>
      <c r="Q151" s="83">
        <v>109.85</v>
      </c>
      <c r="R151" s="81" t="s">
        <v>572</v>
      </c>
      <c r="S151" s="81" t="s">
        <v>121</v>
      </c>
      <c r="T151" s="81">
        <v>5</v>
      </c>
      <c r="U151" s="100" t="s">
        <v>121</v>
      </c>
    </row>
    <row r="152" spans="1:21" ht="13.2">
      <c r="A152" s="56" t="s">
        <v>151</v>
      </c>
      <c r="B152" s="148"/>
      <c r="C152" s="81">
        <v>2</v>
      </c>
      <c r="D152" s="82" t="s">
        <v>593</v>
      </c>
      <c r="E152" s="87">
        <v>114.55</v>
      </c>
      <c r="F152" s="81" t="s">
        <v>571</v>
      </c>
      <c r="G152" s="81">
        <v>3</v>
      </c>
      <c r="H152" s="81" t="s">
        <v>121</v>
      </c>
      <c r="I152" s="100" t="s">
        <v>121</v>
      </c>
      <c r="J152" s="85"/>
      <c r="K152" s="85"/>
      <c r="L152" s="85"/>
      <c r="M152" s="86"/>
      <c r="N152" s="99"/>
      <c r="O152" s="81">
        <v>2</v>
      </c>
      <c r="P152" s="82" t="s">
        <v>594</v>
      </c>
      <c r="Q152" s="87">
        <v>104.1</v>
      </c>
      <c r="R152" s="81" t="s">
        <v>572</v>
      </c>
      <c r="S152" s="81" t="s">
        <v>121</v>
      </c>
      <c r="T152" s="81">
        <v>3</v>
      </c>
      <c r="U152" s="100" t="s">
        <v>121</v>
      </c>
    </row>
    <row r="153" spans="1:21" ht="13.2">
      <c r="A153" s="56" t="s">
        <v>151</v>
      </c>
      <c r="B153" s="148"/>
      <c r="C153" s="81">
        <v>3</v>
      </c>
      <c r="D153" s="82" t="s">
        <v>595</v>
      </c>
      <c r="E153" s="87">
        <v>102.1</v>
      </c>
      <c r="F153" s="81" t="s">
        <v>571</v>
      </c>
      <c r="G153" s="81">
        <v>1</v>
      </c>
      <c r="H153" s="81" t="s">
        <v>121</v>
      </c>
      <c r="I153" s="100" t="s">
        <v>121</v>
      </c>
      <c r="J153" s="85"/>
      <c r="K153" s="85"/>
      <c r="L153" s="85"/>
      <c r="M153" s="86"/>
      <c r="N153" s="99"/>
      <c r="O153" s="81">
        <v>3</v>
      </c>
      <c r="P153" s="82" t="s">
        <v>596</v>
      </c>
      <c r="Q153" s="87">
        <v>86.05</v>
      </c>
      <c r="R153" s="81" t="s">
        <v>571</v>
      </c>
      <c r="S153" s="81">
        <v>1</v>
      </c>
      <c r="T153" s="81" t="s">
        <v>121</v>
      </c>
      <c r="U153" s="100" t="s">
        <v>121</v>
      </c>
    </row>
    <row r="154" spans="1:21" ht="13.2">
      <c r="A154" s="56" t="s">
        <v>151</v>
      </c>
      <c r="B154" s="148"/>
      <c r="C154" s="81">
        <v>4</v>
      </c>
      <c r="D154" s="82" t="s">
        <v>597</v>
      </c>
      <c r="E154" s="87">
        <v>94.6</v>
      </c>
      <c r="F154" s="81" t="s">
        <v>571</v>
      </c>
      <c r="G154" s="81" t="s">
        <v>121</v>
      </c>
      <c r="H154" s="81" t="s">
        <v>121</v>
      </c>
      <c r="I154" s="100" t="s">
        <v>121</v>
      </c>
      <c r="J154" s="85"/>
      <c r="K154" s="85"/>
      <c r="L154" s="85"/>
      <c r="M154" s="86"/>
      <c r="N154" s="99"/>
      <c r="O154" s="81">
        <v>4</v>
      </c>
      <c r="P154" s="82" t="s">
        <v>598</v>
      </c>
      <c r="Q154" s="87">
        <v>82.6</v>
      </c>
      <c r="R154" s="81" t="s">
        <v>572</v>
      </c>
      <c r="S154" s="81" t="s">
        <v>121</v>
      </c>
      <c r="T154" s="81" t="s">
        <v>121</v>
      </c>
      <c r="U154" s="100" t="s">
        <v>121</v>
      </c>
    </row>
    <row r="155" spans="1:21" ht="13.2">
      <c r="A155" s="56" t="s">
        <v>151</v>
      </c>
      <c r="B155" s="148"/>
      <c r="C155" s="81">
        <v>5</v>
      </c>
      <c r="D155" s="82" t="s">
        <v>599</v>
      </c>
      <c r="E155" s="87">
        <v>83.8</v>
      </c>
      <c r="F155" s="81" t="s">
        <v>571</v>
      </c>
      <c r="G155" s="81" t="s">
        <v>121</v>
      </c>
      <c r="H155" s="81" t="s">
        <v>121</v>
      </c>
      <c r="I155" s="100" t="s">
        <v>121</v>
      </c>
      <c r="J155" s="85"/>
      <c r="K155" s="85"/>
      <c r="L155" s="85"/>
      <c r="M155" s="86"/>
      <c r="N155" s="99"/>
      <c r="O155" s="81">
        <v>5</v>
      </c>
      <c r="P155" s="82" t="s">
        <v>600</v>
      </c>
      <c r="Q155" s="87">
        <v>76.95</v>
      </c>
      <c r="R155" s="81" t="s">
        <v>572</v>
      </c>
      <c r="S155" s="81" t="s">
        <v>121</v>
      </c>
      <c r="T155" s="81" t="s">
        <v>121</v>
      </c>
      <c r="U155" s="100" t="s">
        <v>121</v>
      </c>
    </row>
    <row r="156" spans="1:21" ht="13.2">
      <c r="A156" s="56" t="s">
        <v>151</v>
      </c>
      <c r="B156" s="148"/>
      <c r="C156" s="81">
        <v>6</v>
      </c>
      <c r="D156" s="82" t="s">
        <v>601</v>
      </c>
      <c r="E156" s="87">
        <v>81.05</v>
      </c>
      <c r="F156" s="81" t="s">
        <v>571</v>
      </c>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151</v>
      </c>
      <c r="B157" s="148"/>
      <c r="C157" s="81">
        <v>7</v>
      </c>
      <c r="D157" s="82" t="s">
        <v>602</v>
      </c>
      <c r="E157" s="87">
        <v>74.05</v>
      </c>
      <c r="F157" s="81" t="s">
        <v>571</v>
      </c>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151</v>
      </c>
      <c r="B158" s="148"/>
      <c r="C158" s="81">
        <v>8</v>
      </c>
      <c r="D158" s="82" t="s">
        <v>603</v>
      </c>
      <c r="E158" s="87">
        <v>63.25</v>
      </c>
      <c r="F158" s="81" t="s">
        <v>572</v>
      </c>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148"/>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148"/>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148"/>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148"/>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148"/>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148"/>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148"/>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148"/>
      <c r="C166" s="230" t="s">
        <v>199</v>
      </c>
      <c r="D166" s="227"/>
      <c r="E166" s="227"/>
      <c r="F166" s="228"/>
      <c r="G166" s="90">
        <v>4</v>
      </c>
      <c r="H166" s="90">
        <v>5</v>
      </c>
      <c r="I166" s="100" t="s">
        <v>121</v>
      </c>
      <c r="J166" s="85"/>
      <c r="K166" s="85"/>
      <c r="L166" s="85"/>
      <c r="M166" s="86"/>
      <c r="N166" s="99"/>
      <c r="O166" s="230" t="s">
        <v>200</v>
      </c>
      <c r="P166" s="227"/>
      <c r="Q166" s="227"/>
      <c r="R166" s="228"/>
      <c r="S166" s="90">
        <v>1</v>
      </c>
      <c r="T166" s="90">
        <v>8</v>
      </c>
      <c r="U166" s="100" t="s">
        <v>121</v>
      </c>
    </row>
    <row r="167" spans="1:21" ht="13.2">
      <c r="A167" s="56" t="s">
        <v>121</v>
      </c>
      <c r="B167" s="14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146"/>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49"/>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155</v>
      </c>
      <c r="B170" s="144"/>
      <c r="C170" s="81">
        <v>1</v>
      </c>
      <c r="D170" s="82" t="s">
        <v>604</v>
      </c>
      <c r="E170" s="83">
        <v>162.85</v>
      </c>
      <c r="F170" s="81" t="s">
        <v>571</v>
      </c>
      <c r="G170" s="81">
        <v>5</v>
      </c>
      <c r="H170" s="81" t="s">
        <v>121</v>
      </c>
      <c r="I170" s="84" t="s">
        <v>121</v>
      </c>
      <c r="J170" s="85"/>
      <c r="K170" s="85"/>
      <c r="L170" s="85"/>
      <c r="M170" s="86"/>
      <c r="N170" s="80"/>
      <c r="O170" s="81">
        <v>1</v>
      </c>
      <c r="P170" s="82" t="s">
        <v>605</v>
      </c>
      <c r="Q170" s="83">
        <v>196.05</v>
      </c>
      <c r="R170" s="81" t="s">
        <v>571</v>
      </c>
      <c r="S170" s="81">
        <v>5</v>
      </c>
      <c r="T170" s="81" t="s">
        <v>121</v>
      </c>
      <c r="U170" s="84" t="s">
        <v>121</v>
      </c>
    </row>
    <row r="171" spans="1:21" ht="13.2">
      <c r="A171" s="56" t="s">
        <v>155</v>
      </c>
      <c r="B171" s="144"/>
      <c r="C171" s="81">
        <v>2</v>
      </c>
      <c r="D171" s="82" t="s">
        <v>606</v>
      </c>
      <c r="E171" s="87">
        <v>146.35</v>
      </c>
      <c r="F171" s="81" t="s">
        <v>572</v>
      </c>
      <c r="G171" s="81" t="s">
        <v>121</v>
      </c>
      <c r="H171" s="81">
        <v>3</v>
      </c>
      <c r="I171" s="84" t="s">
        <v>121</v>
      </c>
      <c r="J171" s="85"/>
      <c r="K171" s="85"/>
      <c r="L171" s="85"/>
      <c r="M171" s="86"/>
      <c r="N171" s="80"/>
      <c r="O171" s="81">
        <v>2</v>
      </c>
      <c r="P171" s="82" t="s">
        <v>607</v>
      </c>
      <c r="Q171" s="87">
        <v>111.05</v>
      </c>
      <c r="R171" s="81" t="s">
        <v>572</v>
      </c>
      <c r="S171" s="81" t="s">
        <v>121</v>
      </c>
      <c r="T171" s="81">
        <v>3</v>
      </c>
      <c r="U171" s="84" t="s">
        <v>121</v>
      </c>
    </row>
    <row r="172" spans="1:21" ht="13.2">
      <c r="A172" s="56" t="s">
        <v>155</v>
      </c>
      <c r="B172" s="144"/>
      <c r="C172" s="81">
        <v>3</v>
      </c>
      <c r="D172" s="82" t="s">
        <v>608</v>
      </c>
      <c r="E172" s="87">
        <v>133.35</v>
      </c>
      <c r="F172" s="81" t="s">
        <v>572</v>
      </c>
      <c r="G172" s="81" t="s">
        <v>121</v>
      </c>
      <c r="H172" s="81">
        <v>1</v>
      </c>
      <c r="I172" s="84" t="s">
        <v>121</v>
      </c>
      <c r="J172" s="85"/>
      <c r="K172" s="85"/>
      <c r="L172" s="85"/>
      <c r="M172" s="86"/>
      <c r="N172" s="80"/>
      <c r="O172" s="81">
        <v>3</v>
      </c>
      <c r="P172" s="82" t="s">
        <v>609</v>
      </c>
      <c r="Q172" s="87">
        <v>101.75</v>
      </c>
      <c r="R172" s="81" t="s">
        <v>572</v>
      </c>
      <c r="S172" s="81" t="s">
        <v>121</v>
      </c>
      <c r="T172" s="81">
        <v>1</v>
      </c>
      <c r="U172" s="84" t="s">
        <v>123</v>
      </c>
    </row>
    <row r="173" spans="1:21" ht="26.4">
      <c r="A173" s="56" t="s">
        <v>155</v>
      </c>
      <c r="B173" s="144"/>
      <c r="C173" s="81">
        <v>4</v>
      </c>
      <c r="D173" s="82" t="s">
        <v>610</v>
      </c>
      <c r="E173" s="87">
        <v>115.55</v>
      </c>
      <c r="F173" s="81" t="s">
        <v>571</v>
      </c>
      <c r="G173" s="81" t="s">
        <v>121</v>
      </c>
      <c r="H173" s="81" t="s">
        <v>121</v>
      </c>
      <c r="I173" s="84" t="s">
        <v>121</v>
      </c>
      <c r="J173" s="85"/>
      <c r="K173" s="85"/>
      <c r="L173" s="85"/>
      <c r="M173" s="86"/>
      <c r="N173" s="80"/>
      <c r="O173" s="81">
        <v>4</v>
      </c>
      <c r="P173" s="82" t="s">
        <v>611</v>
      </c>
      <c r="Q173" s="87">
        <v>87</v>
      </c>
      <c r="R173" s="81" t="s">
        <v>571</v>
      </c>
      <c r="S173" s="81" t="s">
        <v>121</v>
      </c>
      <c r="T173" s="81" t="s">
        <v>121</v>
      </c>
      <c r="U173" s="84" t="s">
        <v>121</v>
      </c>
    </row>
    <row r="174" spans="1:21" ht="13.2">
      <c r="A174" s="56" t="s">
        <v>155</v>
      </c>
      <c r="B174" s="144"/>
      <c r="C174" s="81">
        <v>5</v>
      </c>
      <c r="D174" s="82" t="s">
        <v>612</v>
      </c>
      <c r="E174" s="87">
        <v>109.95</v>
      </c>
      <c r="F174" s="81" t="s">
        <v>572</v>
      </c>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155</v>
      </c>
      <c r="B175" s="144"/>
      <c r="C175" s="81">
        <v>6</v>
      </c>
      <c r="D175" s="82" t="s">
        <v>613</v>
      </c>
      <c r="E175" s="87">
        <v>103.45</v>
      </c>
      <c r="F175" s="81" t="s">
        <v>571</v>
      </c>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155</v>
      </c>
      <c r="B176" s="144"/>
      <c r="C176" s="81">
        <v>7</v>
      </c>
      <c r="D176" s="82" t="s">
        <v>614</v>
      </c>
      <c r="E176" s="87">
        <v>80</v>
      </c>
      <c r="F176" s="81" t="s">
        <v>572</v>
      </c>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155</v>
      </c>
      <c r="B177" s="144"/>
      <c r="C177" s="81">
        <v>8</v>
      </c>
      <c r="D177" s="88" t="s">
        <v>615</v>
      </c>
      <c r="E177" s="87">
        <v>70.8</v>
      </c>
      <c r="F177" s="81" t="s">
        <v>572</v>
      </c>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144"/>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144"/>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144"/>
      <c r="C180" s="230" t="s">
        <v>210</v>
      </c>
      <c r="D180" s="227"/>
      <c r="E180" s="227"/>
      <c r="F180" s="227"/>
      <c r="G180" s="90">
        <v>5</v>
      </c>
      <c r="H180" s="90">
        <v>4</v>
      </c>
      <c r="I180" s="84" t="s">
        <v>121</v>
      </c>
      <c r="J180" s="85"/>
      <c r="K180" s="85"/>
      <c r="L180" s="85"/>
      <c r="M180" s="86"/>
      <c r="N180" s="80"/>
      <c r="O180" s="230" t="s">
        <v>211</v>
      </c>
      <c r="P180" s="227"/>
      <c r="Q180" s="227"/>
      <c r="R180" s="227"/>
      <c r="S180" s="90">
        <v>5</v>
      </c>
      <c r="T180" s="90">
        <v>4</v>
      </c>
      <c r="U180" s="84" t="s">
        <v>121</v>
      </c>
    </row>
    <row r="181" spans="1:21" ht="13.2">
      <c r="A181" s="56" t="s">
        <v>121</v>
      </c>
      <c r="B181" s="14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146"/>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147"/>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148"/>
      <c r="C184" s="81">
        <v>1</v>
      </c>
      <c r="D184" s="82" t="s">
        <v>616</v>
      </c>
      <c r="E184" s="83">
        <v>234.35</v>
      </c>
      <c r="F184" s="81" t="s">
        <v>571</v>
      </c>
      <c r="G184" s="81">
        <v>5</v>
      </c>
      <c r="H184" s="81" t="s">
        <v>121</v>
      </c>
      <c r="I184" s="100" t="s">
        <v>121</v>
      </c>
      <c r="J184" s="85"/>
      <c r="K184" s="85"/>
      <c r="L184" s="85"/>
      <c r="M184" s="86"/>
      <c r="N184" s="99"/>
      <c r="O184" s="81">
        <v>1</v>
      </c>
      <c r="P184" s="82" t="s">
        <v>617</v>
      </c>
      <c r="Q184" s="83">
        <v>278.60000000000002</v>
      </c>
      <c r="R184" s="81" t="s">
        <v>572</v>
      </c>
      <c r="S184" s="81" t="s">
        <v>121</v>
      </c>
      <c r="T184" s="81">
        <v>5</v>
      </c>
      <c r="U184" s="100" t="s">
        <v>121</v>
      </c>
    </row>
    <row r="185" spans="1:21" ht="13.2">
      <c r="A185" s="56" t="s">
        <v>159</v>
      </c>
      <c r="B185" s="148"/>
      <c r="C185" s="81">
        <v>2</v>
      </c>
      <c r="D185" s="82" t="s">
        <v>618</v>
      </c>
      <c r="E185" s="87">
        <v>186.55</v>
      </c>
      <c r="F185" s="81" t="s">
        <v>571</v>
      </c>
      <c r="G185" s="81">
        <v>3</v>
      </c>
      <c r="H185" s="81" t="s">
        <v>121</v>
      </c>
      <c r="I185" s="100" t="s">
        <v>121</v>
      </c>
      <c r="J185" s="85"/>
      <c r="K185" s="85"/>
      <c r="L185" s="85"/>
      <c r="M185" s="86"/>
      <c r="N185" s="99"/>
      <c r="O185" s="81">
        <v>2</v>
      </c>
      <c r="P185" s="82" t="s">
        <v>619</v>
      </c>
      <c r="Q185" s="87">
        <v>153.85</v>
      </c>
      <c r="R185" s="81" t="s">
        <v>572</v>
      </c>
      <c r="S185" s="81" t="s">
        <v>121</v>
      </c>
      <c r="T185" s="81">
        <v>3</v>
      </c>
      <c r="U185" s="100" t="s">
        <v>123</v>
      </c>
    </row>
    <row r="186" spans="1:21" ht="13.2">
      <c r="A186" s="56" t="s">
        <v>159</v>
      </c>
      <c r="B186" s="148"/>
      <c r="C186" s="81">
        <v>3</v>
      </c>
      <c r="D186" s="82" t="s">
        <v>620</v>
      </c>
      <c r="E186" s="87">
        <v>186.5</v>
      </c>
      <c r="F186" s="81" t="s">
        <v>572</v>
      </c>
      <c r="G186" s="81" t="s">
        <v>121</v>
      </c>
      <c r="H186" s="81">
        <v>1</v>
      </c>
      <c r="I186" s="100" t="s">
        <v>121</v>
      </c>
      <c r="J186" s="85"/>
      <c r="K186" s="85"/>
      <c r="L186" s="85"/>
      <c r="M186" s="86"/>
      <c r="N186" s="99"/>
      <c r="O186" s="81" t="s">
        <v>121</v>
      </c>
      <c r="P186" s="82"/>
      <c r="Q186" s="87" t="s">
        <v>121</v>
      </c>
      <c r="R186" s="81"/>
      <c r="S186" s="81" t="s">
        <v>121</v>
      </c>
      <c r="T186" s="81" t="s">
        <v>121</v>
      </c>
      <c r="U186" s="100" t="s">
        <v>121</v>
      </c>
    </row>
    <row r="187" spans="1:21" ht="13.2">
      <c r="A187" s="56" t="s">
        <v>159</v>
      </c>
      <c r="B187" s="148"/>
      <c r="C187" s="81">
        <v>4</v>
      </c>
      <c r="D187" s="82" t="s">
        <v>621</v>
      </c>
      <c r="E187" s="87">
        <v>175.7</v>
      </c>
      <c r="F187" s="81" t="s">
        <v>572</v>
      </c>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159</v>
      </c>
      <c r="B188" s="148"/>
      <c r="C188" s="81">
        <v>5</v>
      </c>
      <c r="D188" s="82" t="s">
        <v>622</v>
      </c>
      <c r="E188" s="87">
        <v>163.69999999999999</v>
      </c>
      <c r="F188" s="81" t="s">
        <v>572</v>
      </c>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148"/>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148"/>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148"/>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148"/>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148"/>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148"/>
      <c r="C194" s="230" t="s">
        <v>220</v>
      </c>
      <c r="D194" s="227"/>
      <c r="E194" s="227"/>
      <c r="F194" s="227"/>
      <c r="G194" s="90">
        <v>8</v>
      </c>
      <c r="H194" s="90">
        <v>1</v>
      </c>
      <c r="I194" s="100" t="s">
        <v>121</v>
      </c>
      <c r="J194" s="85"/>
      <c r="K194" s="85"/>
      <c r="L194" s="85"/>
      <c r="M194" s="86"/>
      <c r="N194" s="99"/>
      <c r="O194" s="230" t="s">
        <v>221</v>
      </c>
      <c r="P194" s="227"/>
      <c r="Q194" s="227"/>
      <c r="R194" s="227"/>
      <c r="S194" s="90">
        <v>0</v>
      </c>
      <c r="T194" s="90">
        <v>8</v>
      </c>
      <c r="U194" s="100" t="s">
        <v>121</v>
      </c>
    </row>
    <row r="195" spans="1:21" ht="13.2">
      <c r="A195" s="56"/>
      <c r="C195" s="24"/>
      <c r="D195" s="4"/>
      <c r="E195" s="4"/>
      <c r="F195" s="4"/>
      <c r="G195" s="4"/>
      <c r="H195" s="4"/>
      <c r="I195" s="4" t="s">
        <v>121</v>
      </c>
      <c r="J195" s="4"/>
      <c r="K195" s="4"/>
      <c r="L195" s="4"/>
      <c r="M195" s="71"/>
      <c r="N195" s="4"/>
      <c r="O195" s="4"/>
      <c r="P195" s="4"/>
      <c r="Q195" s="4"/>
      <c r="R195" s="4"/>
      <c r="S195" s="4"/>
      <c r="T195" s="4"/>
      <c r="U195" s="4" t="s">
        <v>121</v>
      </c>
    </row>
    <row r="196" spans="1:21" ht="13.2">
      <c r="A196" s="56"/>
      <c r="C196" s="106" t="s">
        <v>222</v>
      </c>
      <c r="D196" s="85"/>
      <c r="E196" s="85"/>
      <c r="F196" s="85"/>
      <c r="G196" s="85"/>
      <c r="H196" s="85"/>
      <c r="I196" s="85" t="s">
        <v>121</v>
      </c>
      <c r="J196" s="85"/>
      <c r="K196" s="85"/>
      <c r="L196" s="85"/>
      <c r="M196" s="86"/>
      <c r="N196" s="107"/>
      <c r="O196" s="108" t="s">
        <v>223</v>
      </c>
      <c r="P196" s="107"/>
      <c r="Q196" s="231" t="s">
        <v>623</v>
      </c>
      <c r="R196" s="227"/>
      <c r="S196" s="227"/>
      <c r="T196" s="228"/>
      <c r="U196" s="4" t="s">
        <v>121</v>
      </c>
    </row>
    <row r="197" spans="1:21" ht="13.2">
      <c r="A197" s="56"/>
      <c r="C197" s="249" t="s">
        <v>624</v>
      </c>
      <c r="D197" s="235"/>
      <c r="E197" s="235"/>
      <c r="F197" s="235"/>
      <c r="G197" s="235"/>
      <c r="H197" s="236"/>
      <c r="I197" s="85" t="s">
        <v>121</v>
      </c>
      <c r="J197" s="85"/>
      <c r="K197" s="85"/>
      <c r="L197" s="85"/>
      <c r="M197" s="86"/>
      <c r="N197" s="107"/>
      <c r="O197" s="110" t="s">
        <v>226</v>
      </c>
      <c r="P197" s="111"/>
      <c r="Q197" s="231" t="s">
        <v>625</v>
      </c>
      <c r="R197" s="227"/>
      <c r="S197" s="227"/>
      <c r="T197" s="228"/>
      <c r="U197" s="4" t="s">
        <v>121</v>
      </c>
    </row>
    <row r="198" spans="1:21" ht="13.2">
      <c r="A198" s="56"/>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C199" s="112" t="s">
        <v>228</v>
      </c>
      <c r="D199" s="113"/>
      <c r="E199" s="233" t="s">
        <v>625</v>
      </c>
      <c r="F199" s="227"/>
      <c r="G199" s="227"/>
      <c r="H199" s="228"/>
      <c r="I199" s="85" t="s">
        <v>121</v>
      </c>
      <c r="J199" s="85"/>
      <c r="K199" s="85"/>
      <c r="L199" s="85"/>
      <c r="M199" s="86"/>
      <c r="N199" s="107"/>
      <c r="O199" s="112" t="s">
        <v>229</v>
      </c>
      <c r="P199" s="113"/>
      <c r="Q199" s="233" t="s">
        <v>626</v>
      </c>
      <c r="R199" s="227"/>
      <c r="S199" s="227"/>
      <c r="T199" s="228"/>
      <c r="U199" s="4" t="s">
        <v>121</v>
      </c>
    </row>
    <row r="200" spans="1:21" ht="13.2">
      <c r="A200" s="56"/>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C201" s="273"/>
      <c r="D201" s="235"/>
      <c r="E201" s="235"/>
      <c r="F201" s="235"/>
      <c r="G201" s="235"/>
      <c r="H201" s="236"/>
      <c r="I201" s="4" t="s">
        <v>121</v>
      </c>
      <c r="J201" s="4"/>
      <c r="K201" s="4"/>
      <c r="L201" s="4"/>
      <c r="M201" s="71"/>
      <c r="N201" s="109"/>
      <c r="O201" s="234"/>
      <c r="P201" s="235"/>
      <c r="Q201" s="235"/>
      <c r="R201" s="235"/>
      <c r="S201" s="235"/>
      <c r="T201" s="236"/>
      <c r="U201" s="4" t="s">
        <v>121</v>
      </c>
    </row>
    <row r="202" spans="1:21" ht="13.2">
      <c r="A202" s="56"/>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33"/>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38"/>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41"/>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43"/>
      <c r="C209" s="251" t="s">
        <v>130</v>
      </c>
      <c r="D209" s="227"/>
      <c r="E209" s="252" t="s">
        <v>527</v>
      </c>
      <c r="F209" s="227"/>
      <c r="G209" s="228"/>
      <c r="H209" s="130" t="s">
        <v>627</v>
      </c>
      <c r="I209" s="131" t="s">
        <v>121</v>
      </c>
      <c r="J209" s="132"/>
      <c r="K209" s="132"/>
      <c r="L209" s="132"/>
      <c r="M209" s="133"/>
      <c r="N209" s="48"/>
      <c r="O209" s="244" t="s">
        <v>132</v>
      </c>
      <c r="P209" s="227"/>
      <c r="Q209" s="245" t="s">
        <v>528</v>
      </c>
      <c r="R209" s="227"/>
      <c r="S209" s="228"/>
      <c r="T209" s="134" t="s">
        <v>628</v>
      </c>
      <c r="U209" s="135" t="s">
        <v>121</v>
      </c>
    </row>
    <row r="210" spans="1:21" ht="17.399999999999999">
      <c r="A210" s="56"/>
      <c r="B210" s="51"/>
      <c r="C210" s="253" t="s">
        <v>1</v>
      </c>
      <c r="D210" s="228"/>
      <c r="E210" s="254">
        <v>44</v>
      </c>
      <c r="F210" s="227"/>
      <c r="G210" s="227"/>
      <c r="H210" s="137"/>
      <c r="I210" s="131" t="s">
        <v>121</v>
      </c>
      <c r="J210" s="138"/>
      <c r="K210" s="138"/>
      <c r="L210" s="138"/>
      <c r="M210" s="139"/>
      <c r="N210" s="48"/>
      <c r="O210" s="246" t="s">
        <v>1</v>
      </c>
      <c r="P210" s="228"/>
      <c r="Q210" s="247">
        <v>28</v>
      </c>
      <c r="R210" s="227"/>
      <c r="S210" s="227"/>
      <c r="T210" s="140"/>
      <c r="U210" s="135" t="s">
        <v>121</v>
      </c>
    </row>
    <row r="211" spans="1:21" ht="13.2">
      <c r="A211" s="56"/>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C213" s="62" t="s">
        <v>147</v>
      </c>
      <c r="D213" s="63" t="s">
        <v>148</v>
      </c>
      <c r="E213" s="57"/>
      <c r="F213" s="57"/>
      <c r="G213" s="64">
        <v>4</v>
      </c>
      <c r="H213" s="65">
        <v>5</v>
      </c>
      <c r="I213" s="55" t="s">
        <v>121</v>
      </c>
      <c r="J213" s="55"/>
      <c r="K213" s="55"/>
      <c r="L213" s="55"/>
      <c r="M213" s="61"/>
      <c r="N213" s="4"/>
      <c r="O213" s="62" t="s">
        <v>149</v>
      </c>
      <c r="P213" s="63" t="s">
        <v>150</v>
      </c>
      <c r="Q213" s="57"/>
      <c r="R213" s="57"/>
      <c r="S213" s="64">
        <v>4</v>
      </c>
      <c r="T213" s="65">
        <v>5</v>
      </c>
      <c r="U213" s="55" t="s">
        <v>121</v>
      </c>
    </row>
    <row r="214" spans="1:21" ht="13.2">
      <c r="A214" s="56"/>
      <c r="C214" s="62" t="s">
        <v>151</v>
      </c>
      <c r="D214" s="63" t="s">
        <v>152</v>
      </c>
      <c r="E214" s="57"/>
      <c r="F214" s="57"/>
      <c r="G214" s="64">
        <v>8</v>
      </c>
      <c r="H214" s="65">
        <v>1</v>
      </c>
      <c r="I214" s="55" t="s">
        <v>121</v>
      </c>
      <c r="J214" s="55"/>
      <c r="K214" s="55"/>
      <c r="L214" s="55"/>
      <c r="M214" s="61"/>
      <c r="N214" s="4"/>
      <c r="O214" s="62" t="s">
        <v>153</v>
      </c>
      <c r="P214" s="63" t="s">
        <v>154</v>
      </c>
      <c r="Q214" s="57"/>
      <c r="R214" s="57"/>
      <c r="S214" s="64">
        <v>9</v>
      </c>
      <c r="T214" s="65">
        <v>0</v>
      </c>
      <c r="U214" s="55" t="s">
        <v>121</v>
      </c>
    </row>
    <row r="215" spans="1:21" ht="13.2">
      <c r="A215" s="56"/>
      <c r="C215" s="62" t="s">
        <v>155</v>
      </c>
      <c r="D215" s="63" t="s">
        <v>156</v>
      </c>
      <c r="E215" s="57"/>
      <c r="F215" s="57"/>
      <c r="G215" s="64">
        <v>8</v>
      </c>
      <c r="H215" s="65">
        <v>1</v>
      </c>
      <c r="I215" s="55" t="s">
        <v>121</v>
      </c>
      <c r="J215" s="55"/>
      <c r="K215" s="55"/>
      <c r="L215" s="55"/>
      <c r="M215" s="61"/>
      <c r="N215" s="4"/>
      <c r="O215" s="62" t="s">
        <v>157</v>
      </c>
      <c r="P215" s="63" t="s">
        <v>158</v>
      </c>
      <c r="Q215" s="57"/>
      <c r="R215" s="57"/>
      <c r="S215" s="64">
        <v>4</v>
      </c>
      <c r="T215" s="65">
        <v>5</v>
      </c>
      <c r="U215" s="55" t="s">
        <v>121</v>
      </c>
    </row>
    <row r="216" spans="1:21" ht="13.2">
      <c r="A216" s="56"/>
      <c r="C216" s="62" t="s">
        <v>159</v>
      </c>
      <c r="D216" s="63" t="s">
        <v>160</v>
      </c>
      <c r="E216" s="57"/>
      <c r="F216" s="57"/>
      <c r="G216" s="64">
        <v>6</v>
      </c>
      <c r="H216" s="65">
        <v>3</v>
      </c>
      <c r="I216" s="55" t="s">
        <v>121</v>
      </c>
      <c r="J216" s="55"/>
      <c r="K216" s="55"/>
      <c r="L216" s="55"/>
      <c r="M216" s="61"/>
      <c r="N216" s="4"/>
      <c r="O216" s="62" t="s">
        <v>161</v>
      </c>
      <c r="P216" s="63" t="s">
        <v>162</v>
      </c>
      <c r="Q216" s="57"/>
      <c r="R216" s="57"/>
      <c r="S216" s="64">
        <v>1</v>
      </c>
      <c r="T216" s="65">
        <v>8</v>
      </c>
      <c r="U216" s="55" t="s">
        <v>121</v>
      </c>
    </row>
    <row r="217" spans="1:21" ht="13.2">
      <c r="A217" s="56"/>
      <c r="C217" s="66"/>
      <c r="D217" s="67" t="s">
        <v>163</v>
      </c>
      <c r="E217" s="68"/>
      <c r="F217" s="68"/>
      <c r="G217" s="69">
        <v>26</v>
      </c>
      <c r="H217" s="70">
        <v>10</v>
      </c>
      <c r="I217" s="55" t="s">
        <v>121</v>
      </c>
      <c r="J217" s="55"/>
      <c r="K217" s="55"/>
      <c r="L217" s="55"/>
      <c r="M217" s="61"/>
      <c r="N217" s="4"/>
      <c r="O217" s="66"/>
      <c r="P217" s="67" t="s">
        <v>163</v>
      </c>
      <c r="Q217" s="68"/>
      <c r="R217" s="68"/>
      <c r="S217" s="69">
        <v>18</v>
      </c>
      <c r="T217" s="70">
        <v>18</v>
      </c>
      <c r="U217" s="55" t="s">
        <v>121</v>
      </c>
    </row>
    <row r="218" spans="1:21" ht="13.2">
      <c r="A218" s="56"/>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C219" s="4"/>
      <c r="D219" s="4"/>
      <c r="E219" s="4"/>
      <c r="F219" s="4"/>
      <c r="G219" s="4"/>
      <c r="H219" s="4"/>
      <c r="I219" s="4" t="s">
        <v>121</v>
      </c>
      <c r="J219" s="4"/>
      <c r="K219" s="4"/>
      <c r="L219" s="4"/>
      <c r="M219" s="71"/>
      <c r="N219" s="4"/>
      <c r="O219" s="4"/>
      <c r="P219" s="4"/>
      <c r="Q219" s="4"/>
      <c r="R219" s="4"/>
      <c r="S219" s="4"/>
      <c r="T219" s="4"/>
      <c r="U219" s="4" t="s">
        <v>121</v>
      </c>
    </row>
    <row r="220" spans="1:21" ht="13.2">
      <c r="A220" s="56"/>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14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144"/>
      <c r="C222" s="81">
        <v>1</v>
      </c>
      <c r="D222" s="82" t="s">
        <v>629</v>
      </c>
      <c r="E222" s="83">
        <v>65.05</v>
      </c>
      <c r="F222" s="81" t="s">
        <v>628</v>
      </c>
      <c r="G222" s="81" t="s">
        <v>121</v>
      </c>
      <c r="H222" s="81">
        <v>5</v>
      </c>
      <c r="I222" s="84" t="s">
        <v>121</v>
      </c>
      <c r="J222" s="85"/>
      <c r="K222" s="85"/>
      <c r="L222" s="85"/>
      <c r="M222" s="86"/>
      <c r="N222" s="80"/>
      <c r="O222" s="81">
        <v>1</v>
      </c>
      <c r="P222" s="82" t="s">
        <v>630</v>
      </c>
      <c r="Q222" s="83">
        <v>56.4</v>
      </c>
      <c r="R222" s="81" t="s">
        <v>628</v>
      </c>
      <c r="S222" s="81" t="s">
        <v>121</v>
      </c>
      <c r="T222" s="81">
        <v>5</v>
      </c>
      <c r="U222" s="84" t="s">
        <v>121</v>
      </c>
    </row>
    <row r="223" spans="1:21" ht="13.2">
      <c r="A223" s="56" t="s">
        <v>147</v>
      </c>
      <c r="B223" s="144"/>
      <c r="C223" s="81">
        <v>2</v>
      </c>
      <c r="D223" s="82" t="s">
        <v>631</v>
      </c>
      <c r="E223" s="87">
        <v>64.95</v>
      </c>
      <c r="F223" s="81" t="s">
        <v>627</v>
      </c>
      <c r="G223" s="81">
        <v>3</v>
      </c>
      <c r="H223" s="81" t="s">
        <v>121</v>
      </c>
      <c r="I223" s="84" t="s">
        <v>121</v>
      </c>
      <c r="J223" s="85"/>
      <c r="K223" s="85"/>
      <c r="L223" s="85"/>
      <c r="M223" s="86"/>
      <c r="N223" s="80"/>
      <c r="O223" s="81">
        <v>2</v>
      </c>
      <c r="P223" s="82" t="s">
        <v>632</v>
      </c>
      <c r="Q223" s="87">
        <v>52.85</v>
      </c>
      <c r="R223" s="81" t="s">
        <v>627</v>
      </c>
      <c r="S223" s="81">
        <v>3</v>
      </c>
      <c r="T223" s="81" t="s">
        <v>121</v>
      </c>
      <c r="U223" s="84" t="s">
        <v>121</v>
      </c>
    </row>
    <row r="224" spans="1:21" ht="13.2">
      <c r="A224" s="56" t="s">
        <v>147</v>
      </c>
      <c r="B224" s="144"/>
      <c r="C224" s="81">
        <v>3</v>
      </c>
      <c r="D224" s="82" t="s">
        <v>633</v>
      </c>
      <c r="E224" s="87">
        <v>60.75</v>
      </c>
      <c r="F224" s="81" t="s">
        <v>627</v>
      </c>
      <c r="G224" s="81">
        <v>1</v>
      </c>
      <c r="H224" s="81" t="s">
        <v>121</v>
      </c>
      <c r="I224" s="84" t="s">
        <v>121</v>
      </c>
      <c r="J224" s="85"/>
      <c r="K224" s="85"/>
      <c r="L224" s="85"/>
      <c r="M224" s="86"/>
      <c r="N224" s="80"/>
      <c r="O224" s="81">
        <v>3</v>
      </c>
      <c r="P224" s="82" t="s">
        <v>634</v>
      </c>
      <c r="Q224" s="87">
        <v>51.7</v>
      </c>
      <c r="R224" s="81" t="s">
        <v>627</v>
      </c>
      <c r="S224" s="81">
        <v>1</v>
      </c>
      <c r="T224" s="81" t="s">
        <v>121</v>
      </c>
      <c r="U224" s="84" t="s">
        <v>121</v>
      </c>
    </row>
    <row r="225" spans="1:21" ht="13.2">
      <c r="A225" s="56" t="s">
        <v>147</v>
      </c>
      <c r="B225" s="144"/>
      <c r="C225" s="81">
        <v>4</v>
      </c>
      <c r="D225" s="82" t="s">
        <v>635</v>
      </c>
      <c r="E225" s="87">
        <v>59.1</v>
      </c>
      <c r="F225" s="81" t="s">
        <v>627</v>
      </c>
      <c r="G225" s="81" t="s">
        <v>121</v>
      </c>
      <c r="H225" s="81" t="s">
        <v>121</v>
      </c>
      <c r="I225" s="84" t="s">
        <v>121</v>
      </c>
      <c r="J225" s="85"/>
      <c r="K225" s="85"/>
      <c r="L225" s="85"/>
      <c r="M225" s="86"/>
      <c r="N225" s="80"/>
      <c r="O225" s="81">
        <v>4</v>
      </c>
      <c r="P225" s="82" t="s">
        <v>636</v>
      </c>
      <c r="Q225" s="87">
        <v>50.35</v>
      </c>
      <c r="R225" s="81" t="s">
        <v>628</v>
      </c>
      <c r="S225" s="81" t="s">
        <v>121</v>
      </c>
      <c r="T225" s="81" t="s">
        <v>121</v>
      </c>
      <c r="U225" s="84" t="s">
        <v>121</v>
      </c>
    </row>
    <row r="226" spans="1:21" ht="13.2">
      <c r="A226" s="56" t="s">
        <v>147</v>
      </c>
      <c r="B226" s="144"/>
      <c r="C226" s="81">
        <v>5</v>
      </c>
      <c r="D226" s="82" t="s">
        <v>637</v>
      </c>
      <c r="E226" s="87">
        <v>55.95</v>
      </c>
      <c r="F226" s="81" t="s">
        <v>628</v>
      </c>
      <c r="G226" s="81" t="s">
        <v>121</v>
      </c>
      <c r="H226" s="81" t="s">
        <v>121</v>
      </c>
      <c r="I226" s="84" t="s">
        <v>121</v>
      </c>
      <c r="J226" s="85"/>
      <c r="K226" s="85"/>
      <c r="L226" s="85"/>
      <c r="M226" s="86"/>
      <c r="N226" s="80"/>
      <c r="O226" s="81">
        <v>5</v>
      </c>
      <c r="P226" s="82" t="s">
        <v>638</v>
      </c>
      <c r="Q226" s="87">
        <v>47.55</v>
      </c>
      <c r="R226" s="81" t="s">
        <v>627</v>
      </c>
      <c r="S226" s="81" t="s">
        <v>121</v>
      </c>
      <c r="T226" s="81" t="s">
        <v>121</v>
      </c>
      <c r="U226" s="84" t="s">
        <v>121</v>
      </c>
    </row>
    <row r="227" spans="1:21" ht="13.2">
      <c r="A227" s="56" t="s">
        <v>147</v>
      </c>
      <c r="B227" s="144"/>
      <c r="C227" s="81">
        <v>6</v>
      </c>
      <c r="D227" s="82" t="s">
        <v>639</v>
      </c>
      <c r="E227" s="87">
        <v>54.25</v>
      </c>
      <c r="F227" s="81" t="s">
        <v>628</v>
      </c>
      <c r="G227" s="81" t="s">
        <v>121</v>
      </c>
      <c r="H227" s="81" t="s">
        <v>121</v>
      </c>
      <c r="I227" s="84" t="s">
        <v>121</v>
      </c>
      <c r="J227" s="85"/>
      <c r="K227" s="85"/>
      <c r="L227" s="85"/>
      <c r="M227" s="86"/>
      <c r="N227" s="80"/>
      <c r="O227" s="81">
        <v>6</v>
      </c>
      <c r="P227" s="82" t="s">
        <v>640</v>
      </c>
      <c r="Q227" s="87">
        <v>46.3</v>
      </c>
      <c r="R227" s="81" t="s">
        <v>627</v>
      </c>
      <c r="S227" s="81" t="s">
        <v>121</v>
      </c>
      <c r="T227" s="81" t="s">
        <v>121</v>
      </c>
      <c r="U227" s="84" t="s">
        <v>121</v>
      </c>
    </row>
    <row r="228" spans="1:21" ht="13.2">
      <c r="A228" s="56" t="s">
        <v>147</v>
      </c>
      <c r="B228" s="144"/>
      <c r="C228" s="81">
        <v>7</v>
      </c>
      <c r="D228" s="82" t="s">
        <v>641</v>
      </c>
      <c r="E228" s="87">
        <v>49.8</v>
      </c>
      <c r="F228" s="81" t="s">
        <v>628</v>
      </c>
      <c r="G228" s="81" t="s">
        <v>121</v>
      </c>
      <c r="H228" s="81" t="s">
        <v>121</v>
      </c>
      <c r="I228" s="84" t="s">
        <v>121</v>
      </c>
      <c r="J228" s="85"/>
      <c r="K228" s="85"/>
      <c r="L228" s="85"/>
      <c r="M228" s="86"/>
      <c r="N228" s="80"/>
      <c r="O228" s="81">
        <v>7</v>
      </c>
      <c r="P228" s="82" t="s">
        <v>642</v>
      </c>
      <c r="Q228" s="87">
        <v>45.25</v>
      </c>
      <c r="R228" s="81" t="s">
        <v>628</v>
      </c>
      <c r="S228" s="81" t="s">
        <v>121</v>
      </c>
      <c r="T228" s="81" t="s">
        <v>121</v>
      </c>
      <c r="U228" s="84" t="s">
        <v>121</v>
      </c>
    </row>
    <row r="229" spans="1:21" ht="13.2">
      <c r="A229" s="56" t="s">
        <v>147</v>
      </c>
      <c r="B229" s="144"/>
      <c r="C229" s="81">
        <v>8</v>
      </c>
      <c r="D229" s="88" t="s">
        <v>643</v>
      </c>
      <c r="E229" s="87">
        <v>47.1</v>
      </c>
      <c r="F229" s="81" t="s">
        <v>628</v>
      </c>
      <c r="G229" s="81" t="s">
        <v>121</v>
      </c>
      <c r="H229" s="81" t="s">
        <v>121</v>
      </c>
      <c r="I229" s="84" t="s">
        <v>121</v>
      </c>
      <c r="J229" s="85"/>
      <c r="K229" s="85"/>
      <c r="L229" s="85"/>
      <c r="M229" s="86"/>
      <c r="N229" s="80"/>
      <c r="O229" s="81">
        <v>8</v>
      </c>
      <c r="P229" s="82" t="s">
        <v>644</v>
      </c>
      <c r="Q229" s="87">
        <v>41.85</v>
      </c>
      <c r="R229" s="81" t="s">
        <v>628</v>
      </c>
      <c r="S229" s="81" t="s">
        <v>121</v>
      </c>
      <c r="T229" s="81" t="s">
        <v>121</v>
      </c>
      <c r="U229" s="84" t="s">
        <v>121</v>
      </c>
    </row>
    <row r="230" spans="1:21" ht="13.2">
      <c r="A230" s="56" t="s">
        <v>147</v>
      </c>
      <c r="B230" s="144"/>
      <c r="C230" s="81">
        <v>9</v>
      </c>
      <c r="D230" s="88" t="s">
        <v>645</v>
      </c>
      <c r="E230" s="87">
        <v>26.2</v>
      </c>
      <c r="F230" s="81" t="s">
        <v>627</v>
      </c>
      <c r="G230" s="81" t="s">
        <v>121</v>
      </c>
      <c r="H230" s="81" t="s">
        <v>121</v>
      </c>
      <c r="I230" s="84" t="s">
        <v>121</v>
      </c>
      <c r="J230" s="85"/>
      <c r="K230" s="85"/>
      <c r="L230" s="85"/>
      <c r="M230" s="86"/>
      <c r="N230" s="80"/>
      <c r="O230" s="81">
        <v>9</v>
      </c>
      <c r="P230" s="82" t="s">
        <v>646</v>
      </c>
      <c r="Q230" s="87">
        <v>40.5</v>
      </c>
      <c r="R230" s="81" t="s">
        <v>628</v>
      </c>
      <c r="S230" s="81" t="s">
        <v>121</v>
      </c>
      <c r="T230" s="81" t="s">
        <v>121</v>
      </c>
      <c r="U230" s="84" t="s">
        <v>121</v>
      </c>
    </row>
    <row r="231" spans="1:21" ht="13.2">
      <c r="A231" s="56" t="s">
        <v>121</v>
      </c>
      <c r="B231" s="144"/>
      <c r="C231" s="81" t="s">
        <v>121</v>
      </c>
      <c r="D231" s="88"/>
      <c r="E231" s="87" t="s">
        <v>121</v>
      </c>
      <c r="F231" s="81"/>
      <c r="G231" s="81" t="s">
        <v>121</v>
      </c>
      <c r="H231" s="81" t="s">
        <v>121</v>
      </c>
      <c r="I231" s="84" t="s">
        <v>121</v>
      </c>
      <c r="J231" s="85"/>
      <c r="K231" s="85"/>
      <c r="L231" s="85"/>
      <c r="M231" s="86"/>
      <c r="N231" s="80"/>
      <c r="O231" s="81">
        <v>10</v>
      </c>
      <c r="P231" s="82" t="s">
        <v>647</v>
      </c>
      <c r="Q231" s="87">
        <v>39.4</v>
      </c>
      <c r="R231" s="81" t="s">
        <v>628</v>
      </c>
      <c r="S231" s="81" t="s">
        <v>121</v>
      </c>
      <c r="T231" s="81" t="s">
        <v>121</v>
      </c>
      <c r="U231" s="84" t="s">
        <v>121</v>
      </c>
    </row>
    <row r="232" spans="1:21" ht="13.2">
      <c r="A232" s="56" t="s">
        <v>121</v>
      </c>
      <c r="B232" s="144"/>
      <c r="C232" s="81" t="s">
        <v>121</v>
      </c>
      <c r="D232" s="88"/>
      <c r="E232" s="87" t="s">
        <v>121</v>
      </c>
      <c r="F232" s="81"/>
      <c r="G232" s="81" t="s">
        <v>121</v>
      </c>
      <c r="H232" s="81" t="s">
        <v>121</v>
      </c>
      <c r="I232" s="84" t="s">
        <v>121</v>
      </c>
      <c r="J232" s="85"/>
      <c r="K232" s="85"/>
      <c r="L232" s="85"/>
      <c r="M232" s="86"/>
      <c r="N232" s="80"/>
      <c r="O232" s="81">
        <v>11</v>
      </c>
      <c r="P232" s="82" t="s">
        <v>648</v>
      </c>
      <c r="Q232" s="87">
        <v>37.950000000000003</v>
      </c>
      <c r="R232" s="81" t="s">
        <v>628</v>
      </c>
      <c r="S232" s="81" t="s">
        <v>121</v>
      </c>
      <c r="T232" s="81" t="s">
        <v>121</v>
      </c>
      <c r="U232" s="84" t="s">
        <v>121</v>
      </c>
    </row>
    <row r="233" spans="1:21" ht="13.2">
      <c r="A233" s="56" t="s">
        <v>121</v>
      </c>
      <c r="B233" s="144"/>
      <c r="C233" s="81" t="s">
        <v>121</v>
      </c>
      <c r="D233" s="88"/>
      <c r="E233" s="87" t="s">
        <v>121</v>
      </c>
      <c r="F233" s="81"/>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144"/>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144"/>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144"/>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144"/>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144"/>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144"/>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144"/>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144"/>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144"/>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144"/>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144"/>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144"/>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144"/>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144"/>
      <c r="C247" s="230" t="s">
        <v>184</v>
      </c>
      <c r="D247" s="227"/>
      <c r="E247" s="227"/>
      <c r="F247" s="227"/>
      <c r="G247" s="90">
        <v>4</v>
      </c>
      <c r="H247" s="90">
        <v>5</v>
      </c>
      <c r="I247" s="84" t="s">
        <v>121</v>
      </c>
      <c r="J247" s="85"/>
      <c r="K247" s="85"/>
      <c r="L247" s="85"/>
      <c r="M247" s="86"/>
      <c r="N247" s="80"/>
      <c r="O247" s="230" t="s">
        <v>185</v>
      </c>
      <c r="P247" s="227"/>
      <c r="Q247" s="227"/>
      <c r="R247" s="227"/>
      <c r="S247" s="90">
        <v>4</v>
      </c>
      <c r="T247" s="90">
        <v>5</v>
      </c>
      <c r="U247" s="84" t="s">
        <v>121</v>
      </c>
    </row>
    <row r="248" spans="1:21" ht="13.2">
      <c r="A248" s="56" t="s">
        <v>121</v>
      </c>
      <c r="B248" s="14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146"/>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147"/>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148"/>
      <c r="C251" s="81">
        <v>1</v>
      </c>
      <c r="D251" s="82" t="s">
        <v>649</v>
      </c>
      <c r="E251" s="83">
        <v>96.9</v>
      </c>
      <c r="F251" s="81" t="s">
        <v>627</v>
      </c>
      <c r="G251" s="81">
        <v>5</v>
      </c>
      <c r="H251" s="81" t="s">
        <v>121</v>
      </c>
      <c r="I251" s="100" t="s">
        <v>121</v>
      </c>
      <c r="J251" s="85"/>
      <c r="K251" s="85"/>
      <c r="L251" s="85"/>
      <c r="M251" s="86"/>
      <c r="N251" s="99"/>
      <c r="O251" s="81">
        <v>1</v>
      </c>
      <c r="P251" s="82" t="s">
        <v>650</v>
      </c>
      <c r="Q251" s="83">
        <v>99.35</v>
      </c>
      <c r="R251" s="81" t="s">
        <v>627</v>
      </c>
      <c r="S251" s="81">
        <v>5</v>
      </c>
      <c r="T251" s="81" t="s">
        <v>121</v>
      </c>
      <c r="U251" s="100" t="s">
        <v>121</v>
      </c>
    </row>
    <row r="252" spans="1:21" ht="13.2">
      <c r="A252" s="56" t="s">
        <v>151</v>
      </c>
      <c r="B252" s="148"/>
      <c r="C252" s="81">
        <v>2</v>
      </c>
      <c r="D252" s="82" t="s">
        <v>651</v>
      </c>
      <c r="E252" s="87">
        <v>92</v>
      </c>
      <c r="F252" s="81" t="s">
        <v>627</v>
      </c>
      <c r="G252" s="81">
        <v>3</v>
      </c>
      <c r="H252" s="81" t="s">
        <v>121</v>
      </c>
      <c r="I252" s="100" t="s">
        <v>121</v>
      </c>
      <c r="J252" s="85"/>
      <c r="K252" s="85"/>
      <c r="L252" s="85"/>
      <c r="M252" s="86"/>
      <c r="N252" s="99"/>
      <c r="O252" s="81">
        <v>2</v>
      </c>
      <c r="P252" s="82" t="s">
        <v>652</v>
      </c>
      <c r="Q252" s="87">
        <v>98.15</v>
      </c>
      <c r="R252" s="81" t="s">
        <v>627</v>
      </c>
      <c r="S252" s="81">
        <v>3</v>
      </c>
      <c r="T252" s="81" t="s">
        <v>121</v>
      </c>
      <c r="U252" s="100" t="s">
        <v>121</v>
      </c>
    </row>
    <row r="253" spans="1:21" ht="13.2">
      <c r="A253" s="56" t="s">
        <v>151</v>
      </c>
      <c r="B253" s="148"/>
      <c r="C253" s="81">
        <v>3</v>
      </c>
      <c r="D253" s="82" t="s">
        <v>653</v>
      </c>
      <c r="E253" s="87">
        <v>81.349999999999994</v>
      </c>
      <c r="F253" s="81" t="s">
        <v>628</v>
      </c>
      <c r="G253" s="81" t="s">
        <v>121</v>
      </c>
      <c r="H253" s="81">
        <v>1</v>
      </c>
      <c r="I253" s="100" t="s">
        <v>121</v>
      </c>
      <c r="J253" s="85"/>
      <c r="K253" s="85"/>
      <c r="L253" s="85"/>
      <c r="M253" s="86"/>
      <c r="N253" s="99"/>
      <c r="O253" s="81">
        <v>3</v>
      </c>
      <c r="P253" s="82" t="s">
        <v>654</v>
      </c>
      <c r="Q253" s="87">
        <v>86.9</v>
      </c>
      <c r="R253" s="81" t="s">
        <v>627</v>
      </c>
      <c r="S253" s="81">
        <v>1</v>
      </c>
      <c r="T253" s="81" t="s">
        <v>121</v>
      </c>
      <c r="U253" s="100" t="s">
        <v>121</v>
      </c>
    </row>
    <row r="254" spans="1:21" ht="13.2">
      <c r="A254" s="56" t="s">
        <v>151</v>
      </c>
      <c r="B254" s="148"/>
      <c r="C254" s="81">
        <v>4</v>
      </c>
      <c r="D254" s="82" t="s">
        <v>655</v>
      </c>
      <c r="E254" s="87">
        <v>80.349999999999994</v>
      </c>
      <c r="F254" s="81" t="s">
        <v>627</v>
      </c>
      <c r="G254" s="81" t="s">
        <v>121</v>
      </c>
      <c r="H254" s="81" t="s">
        <v>121</v>
      </c>
      <c r="I254" s="100" t="s">
        <v>121</v>
      </c>
      <c r="J254" s="85"/>
      <c r="K254" s="85"/>
      <c r="L254" s="85"/>
      <c r="M254" s="86"/>
      <c r="N254" s="99"/>
      <c r="O254" s="81">
        <v>4</v>
      </c>
      <c r="P254" s="82" t="s">
        <v>656</v>
      </c>
      <c r="Q254" s="87">
        <v>82.05</v>
      </c>
      <c r="R254" s="81" t="s">
        <v>627</v>
      </c>
      <c r="S254" s="81" t="s">
        <v>121</v>
      </c>
      <c r="T254" s="81" t="s">
        <v>121</v>
      </c>
      <c r="U254" s="100" t="s">
        <v>121</v>
      </c>
    </row>
    <row r="255" spans="1:21" ht="13.2">
      <c r="A255" s="56" t="s">
        <v>151</v>
      </c>
      <c r="B255" s="148"/>
      <c r="C255" s="81">
        <v>5</v>
      </c>
      <c r="D255" s="82" t="s">
        <v>657</v>
      </c>
      <c r="E255" s="87">
        <v>60.55</v>
      </c>
      <c r="F255" s="81" t="s">
        <v>628</v>
      </c>
      <c r="G255" s="81" t="s">
        <v>121</v>
      </c>
      <c r="H255" s="81" t="s">
        <v>121</v>
      </c>
      <c r="I255" s="100" t="s">
        <v>121</v>
      </c>
      <c r="J255" s="85"/>
      <c r="K255" s="85"/>
      <c r="L255" s="85"/>
      <c r="M255" s="86"/>
      <c r="N255" s="99"/>
      <c r="O255" s="81">
        <v>5</v>
      </c>
      <c r="P255" s="82" t="s">
        <v>658</v>
      </c>
      <c r="Q255" s="87">
        <v>80.599999999999994</v>
      </c>
      <c r="R255" s="81" t="s">
        <v>628</v>
      </c>
      <c r="S255" s="81" t="s">
        <v>121</v>
      </c>
      <c r="T255" s="81" t="s">
        <v>121</v>
      </c>
      <c r="U255" s="100" t="s">
        <v>121</v>
      </c>
    </row>
    <row r="256" spans="1:21" ht="13.2">
      <c r="A256" s="56" t="s">
        <v>121</v>
      </c>
      <c r="B256" s="148"/>
      <c r="C256" s="81" t="s">
        <v>121</v>
      </c>
      <c r="D256" s="82"/>
      <c r="E256" s="87" t="s">
        <v>121</v>
      </c>
      <c r="F256" s="81"/>
      <c r="G256" s="81" t="s">
        <v>121</v>
      </c>
      <c r="H256" s="81" t="s">
        <v>121</v>
      </c>
      <c r="I256" s="100" t="s">
        <v>121</v>
      </c>
      <c r="J256" s="85"/>
      <c r="K256" s="85"/>
      <c r="L256" s="85"/>
      <c r="M256" s="86"/>
      <c r="N256" s="99"/>
      <c r="O256" s="81">
        <v>6</v>
      </c>
      <c r="P256" s="82" t="s">
        <v>659</v>
      </c>
      <c r="Q256" s="87">
        <v>70.45</v>
      </c>
      <c r="R256" s="81" t="s">
        <v>628</v>
      </c>
      <c r="S256" s="81" t="s">
        <v>121</v>
      </c>
      <c r="T256" s="81" t="s">
        <v>121</v>
      </c>
      <c r="U256" s="100" t="s">
        <v>121</v>
      </c>
    </row>
    <row r="257" spans="1:21" ht="13.2">
      <c r="A257" s="56" t="s">
        <v>121</v>
      </c>
      <c r="B257" s="148"/>
      <c r="C257" s="81" t="s">
        <v>121</v>
      </c>
      <c r="D257" s="82"/>
      <c r="E257" s="87" t="s">
        <v>121</v>
      </c>
      <c r="F257" s="81"/>
      <c r="G257" s="81" t="s">
        <v>121</v>
      </c>
      <c r="H257" s="81" t="s">
        <v>121</v>
      </c>
      <c r="I257" s="100" t="s">
        <v>121</v>
      </c>
      <c r="J257" s="85"/>
      <c r="K257" s="85"/>
      <c r="L257" s="85"/>
      <c r="M257" s="86"/>
      <c r="N257" s="99"/>
      <c r="O257" s="81">
        <v>7</v>
      </c>
      <c r="P257" s="82" t="s">
        <v>660</v>
      </c>
      <c r="Q257" s="87">
        <v>69.099999999999994</v>
      </c>
      <c r="R257" s="81" t="s">
        <v>627</v>
      </c>
      <c r="S257" s="81" t="s">
        <v>121</v>
      </c>
      <c r="T257" s="81" t="s">
        <v>121</v>
      </c>
      <c r="U257" s="100" t="s">
        <v>121</v>
      </c>
    </row>
    <row r="258" spans="1:21" ht="13.2">
      <c r="A258" s="56" t="s">
        <v>121</v>
      </c>
      <c r="B258" s="148"/>
      <c r="C258" s="81" t="s">
        <v>121</v>
      </c>
      <c r="D258" s="82"/>
      <c r="E258" s="87" t="s">
        <v>121</v>
      </c>
      <c r="F258" s="81"/>
      <c r="G258" s="81" t="s">
        <v>121</v>
      </c>
      <c r="H258" s="81" t="s">
        <v>121</v>
      </c>
      <c r="I258" s="100" t="s">
        <v>121</v>
      </c>
      <c r="J258" s="85"/>
      <c r="K258" s="85"/>
      <c r="L258" s="85"/>
      <c r="M258" s="86"/>
      <c r="N258" s="99"/>
      <c r="O258" s="81">
        <v>8</v>
      </c>
      <c r="P258" s="82" t="s">
        <v>661</v>
      </c>
      <c r="Q258" s="87">
        <v>68.150000000000006</v>
      </c>
      <c r="R258" s="81" t="s">
        <v>628</v>
      </c>
      <c r="S258" s="81" t="s">
        <v>121</v>
      </c>
      <c r="T258" s="81" t="s">
        <v>121</v>
      </c>
      <c r="U258" s="100" t="s">
        <v>121</v>
      </c>
    </row>
    <row r="259" spans="1:21" ht="13.2">
      <c r="A259" s="56" t="s">
        <v>121</v>
      </c>
      <c r="B259" s="148"/>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148"/>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148"/>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148"/>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148"/>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148"/>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148"/>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148"/>
      <c r="C266" s="230" t="s">
        <v>199</v>
      </c>
      <c r="D266" s="227"/>
      <c r="E266" s="227"/>
      <c r="F266" s="228"/>
      <c r="G266" s="90">
        <v>8</v>
      </c>
      <c r="H266" s="90">
        <v>1</v>
      </c>
      <c r="I266" s="100" t="s">
        <v>121</v>
      </c>
      <c r="J266" s="85"/>
      <c r="K266" s="85"/>
      <c r="L266" s="85"/>
      <c r="M266" s="86"/>
      <c r="N266" s="99"/>
      <c r="O266" s="230" t="s">
        <v>200</v>
      </c>
      <c r="P266" s="227"/>
      <c r="Q266" s="227"/>
      <c r="R266" s="228"/>
      <c r="S266" s="90">
        <v>9</v>
      </c>
      <c r="T266" s="90">
        <v>0</v>
      </c>
      <c r="U266" s="100" t="s">
        <v>121</v>
      </c>
    </row>
    <row r="267" spans="1:21" ht="13.2">
      <c r="A267" s="56" t="s">
        <v>121</v>
      </c>
      <c r="B267" s="14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146"/>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49"/>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144"/>
      <c r="C270" s="81">
        <v>1</v>
      </c>
      <c r="D270" s="82" t="s">
        <v>662</v>
      </c>
      <c r="E270" s="83">
        <v>142.15</v>
      </c>
      <c r="F270" s="81" t="s">
        <v>627</v>
      </c>
      <c r="G270" s="81">
        <v>5</v>
      </c>
      <c r="H270" s="81" t="s">
        <v>121</v>
      </c>
      <c r="I270" s="84" t="s">
        <v>121</v>
      </c>
      <c r="J270" s="85"/>
      <c r="K270" s="85"/>
      <c r="L270" s="85"/>
      <c r="M270" s="86"/>
      <c r="N270" s="80"/>
      <c r="O270" s="81">
        <v>1</v>
      </c>
      <c r="P270" s="82" t="s">
        <v>663</v>
      </c>
      <c r="Q270" s="83">
        <v>134.75</v>
      </c>
      <c r="R270" s="81" t="s">
        <v>628</v>
      </c>
      <c r="S270" s="81" t="s">
        <v>121</v>
      </c>
      <c r="T270" s="81">
        <v>5</v>
      </c>
      <c r="U270" s="84" t="s">
        <v>121</v>
      </c>
    </row>
    <row r="271" spans="1:21" ht="13.2">
      <c r="A271" s="56" t="s">
        <v>155</v>
      </c>
      <c r="B271" s="144"/>
      <c r="C271" s="81">
        <v>2</v>
      </c>
      <c r="D271" s="82" t="s">
        <v>664</v>
      </c>
      <c r="E271" s="87">
        <v>137.4</v>
      </c>
      <c r="F271" s="81" t="s">
        <v>627</v>
      </c>
      <c r="G271" s="81">
        <v>3</v>
      </c>
      <c r="H271" s="81" t="s">
        <v>121</v>
      </c>
      <c r="I271" s="84" t="s">
        <v>121</v>
      </c>
      <c r="J271" s="85"/>
      <c r="K271" s="85"/>
      <c r="L271" s="85"/>
      <c r="M271" s="86"/>
      <c r="N271" s="80"/>
      <c r="O271" s="81">
        <v>2</v>
      </c>
      <c r="P271" s="82" t="s">
        <v>665</v>
      </c>
      <c r="Q271" s="87">
        <v>120.05</v>
      </c>
      <c r="R271" s="81" t="s">
        <v>627</v>
      </c>
      <c r="S271" s="81">
        <v>3</v>
      </c>
      <c r="T271" s="81" t="s">
        <v>121</v>
      </c>
      <c r="U271" s="84" t="s">
        <v>123</v>
      </c>
    </row>
    <row r="272" spans="1:21" ht="13.2">
      <c r="A272" s="56" t="s">
        <v>155</v>
      </c>
      <c r="B272" s="144"/>
      <c r="C272" s="81">
        <v>3</v>
      </c>
      <c r="D272" s="82" t="s">
        <v>666</v>
      </c>
      <c r="E272" s="87">
        <v>132.55000000000001</v>
      </c>
      <c r="F272" s="81" t="s">
        <v>628</v>
      </c>
      <c r="G272" s="81" t="s">
        <v>121</v>
      </c>
      <c r="H272" s="81">
        <v>1</v>
      </c>
      <c r="I272" s="84" t="s">
        <v>121</v>
      </c>
      <c r="J272" s="85"/>
      <c r="K272" s="85"/>
      <c r="L272" s="85"/>
      <c r="M272" s="86"/>
      <c r="N272" s="80"/>
      <c r="O272" s="81">
        <v>3</v>
      </c>
      <c r="P272" s="82" t="s">
        <v>667</v>
      </c>
      <c r="Q272" s="87">
        <v>117.5</v>
      </c>
      <c r="R272" s="81" t="s">
        <v>627</v>
      </c>
      <c r="S272" s="81">
        <v>1</v>
      </c>
      <c r="T272" s="81" t="s">
        <v>121</v>
      </c>
      <c r="U272" s="84" t="s">
        <v>121</v>
      </c>
    </row>
    <row r="273" spans="1:21" ht="13.2">
      <c r="A273" s="56" t="s">
        <v>155</v>
      </c>
      <c r="B273" s="144"/>
      <c r="C273" s="81">
        <v>4</v>
      </c>
      <c r="D273" s="82" t="s">
        <v>668</v>
      </c>
      <c r="E273" s="87">
        <v>131.25</v>
      </c>
      <c r="F273" s="81" t="s">
        <v>628</v>
      </c>
      <c r="G273" s="81" t="s">
        <v>121</v>
      </c>
      <c r="H273" s="81" t="s">
        <v>121</v>
      </c>
      <c r="I273" s="84" t="s">
        <v>121</v>
      </c>
      <c r="J273" s="85"/>
      <c r="K273" s="85"/>
      <c r="L273" s="85"/>
      <c r="M273" s="86"/>
      <c r="N273" s="80"/>
      <c r="O273" s="81">
        <v>4</v>
      </c>
      <c r="P273" s="82" t="s">
        <v>669</v>
      </c>
      <c r="Q273" s="87">
        <v>92.2</v>
      </c>
      <c r="R273" s="81" t="s">
        <v>627</v>
      </c>
      <c r="S273" s="81" t="s">
        <v>121</v>
      </c>
      <c r="T273" s="81" t="s">
        <v>121</v>
      </c>
      <c r="U273" s="84" t="s">
        <v>121</v>
      </c>
    </row>
    <row r="274" spans="1:21" ht="13.2">
      <c r="A274" s="56" t="s">
        <v>155</v>
      </c>
      <c r="B274" s="144"/>
      <c r="C274" s="81">
        <v>5</v>
      </c>
      <c r="D274" s="82" t="s">
        <v>670</v>
      </c>
      <c r="E274" s="87">
        <v>113.1</v>
      </c>
      <c r="F274" s="81" t="s">
        <v>628</v>
      </c>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155</v>
      </c>
      <c r="B275" s="144"/>
      <c r="C275" s="81">
        <v>6</v>
      </c>
      <c r="D275" s="82" t="s">
        <v>671</v>
      </c>
      <c r="E275" s="87">
        <v>106.8</v>
      </c>
      <c r="F275" s="81" t="s">
        <v>627</v>
      </c>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155</v>
      </c>
      <c r="B276" s="144"/>
      <c r="C276" s="81">
        <v>7</v>
      </c>
      <c r="D276" s="82" t="s">
        <v>672</v>
      </c>
      <c r="E276" s="87">
        <v>104.5</v>
      </c>
      <c r="F276" s="81" t="s">
        <v>627</v>
      </c>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155</v>
      </c>
      <c r="B277" s="144"/>
      <c r="C277" s="81">
        <v>8</v>
      </c>
      <c r="D277" s="88" t="s">
        <v>673</v>
      </c>
      <c r="E277" s="87">
        <v>103.4</v>
      </c>
      <c r="F277" s="81" t="s">
        <v>628</v>
      </c>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155</v>
      </c>
      <c r="B278" s="144"/>
      <c r="C278" s="81">
        <v>9</v>
      </c>
      <c r="D278" s="88" t="s">
        <v>674</v>
      </c>
      <c r="E278" s="87">
        <v>102</v>
      </c>
      <c r="F278" s="81" t="s">
        <v>627</v>
      </c>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155</v>
      </c>
      <c r="B279" s="144"/>
      <c r="C279" s="81">
        <v>10</v>
      </c>
      <c r="D279" s="88" t="s">
        <v>675</v>
      </c>
      <c r="E279" s="87">
        <v>90.8</v>
      </c>
      <c r="F279" s="81" t="s">
        <v>628</v>
      </c>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155</v>
      </c>
      <c r="B280" s="144"/>
      <c r="C280" s="230" t="s">
        <v>210</v>
      </c>
      <c r="D280" s="227"/>
      <c r="E280" s="227"/>
      <c r="F280" s="227"/>
      <c r="G280" s="90">
        <v>8</v>
      </c>
      <c r="H280" s="90">
        <v>1</v>
      </c>
      <c r="I280" s="84" t="s">
        <v>121</v>
      </c>
      <c r="J280" s="85"/>
      <c r="K280" s="85"/>
      <c r="L280" s="85"/>
      <c r="M280" s="86"/>
      <c r="N280" s="80"/>
      <c r="O280" s="230" t="s">
        <v>211</v>
      </c>
      <c r="P280" s="227"/>
      <c r="Q280" s="227"/>
      <c r="R280" s="227"/>
      <c r="S280" s="90">
        <v>4</v>
      </c>
      <c r="T280" s="90">
        <v>5</v>
      </c>
      <c r="U280" s="84" t="s">
        <v>121</v>
      </c>
    </row>
    <row r="281" spans="1:21" ht="13.2">
      <c r="A281" s="56" t="s">
        <v>121</v>
      </c>
      <c r="B281" s="14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146"/>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147"/>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148"/>
      <c r="C284" s="81">
        <v>1</v>
      </c>
      <c r="D284" s="82" t="s">
        <v>676</v>
      </c>
      <c r="E284" s="83">
        <v>205.3</v>
      </c>
      <c r="F284" s="81" t="s">
        <v>627</v>
      </c>
      <c r="G284" s="81">
        <v>5</v>
      </c>
      <c r="H284" s="81" t="s">
        <v>121</v>
      </c>
      <c r="I284" s="100" t="s">
        <v>121</v>
      </c>
      <c r="J284" s="85"/>
      <c r="K284" s="85"/>
      <c r="L284" s="85"/>
      <c r="M284" s="86"/>
      <c r="N284" s="99"/>
      <c r="O284" s="81">
        <v>1</v>
      </c>
      <c r="P284" s="82" t="s">
        <v>677</v>
      </c>
      <c r="Q284" s="83">
        <v>226.35</v>
      </c>
      <c r="R284" s="81" t="s">
        <v>628</v>
      </c>
      <c r="S284" s="81" t="s">
        <v>121</v>
      </c>
      <c r="T284" s="81">
        <v>5</v>
      </c>
      <c r="U284" s="100" t="s">
        <v>121</v>
      </c>
    </row>
    <row r="285" spans="1:21" ht="13.2">
      <c r="A285" s="56" t="s">
        <v>159</v>
      </c>
      <c r="B285" s="148"/>
      <c r="C285" s="81">
        <v>2</v>
      </c>
      <c r="D285" s="82" t="s">
        <v>678</v>
      </c>
      <c r="E285" s="87">
        <v>204.2</v>
      </c>
      <c r="F285" s="81" t="s">
        <v>628</v>
      </c>
      <c r="G285" s="81" t="s">
        <v>121</v>
      </c>
      <c r="H285" s="81">
        <v>3</v>
      </c>
      <c r="I285" s="100" t="s">
        <v>121</v>
      </c>
      <c r="J285" s="85"/>
      <c r="K285" s="85"/>
      <c r="L285" s="85"/>
      <c r="M285" s="86"/>
      <c r="N285" s="99"/>
      <c r="O285" s="81">
        <v>2</v>
      </c>
      <c r="P285" s="82" t="s">
        <v>679</v>
      </c>
      <c r="Q285" s="87">
        <v>224.7</v>
      </c>
      <c r="R285" s="81" t="s">
        <v>628</v>
      </c>
      <c r="S285" s="81" t="s">
        <v>121</v>
      </c>
      <c r="T285" s="81">
        <v>3</v>
      </c>
      <c r="U285" s="100" t="s">
        <v>121</v>
      </c>
    </row>
    <row r="286" spans="1:21" ht="13.2">
      <c r="A286" s="56" t="s">
        <v>159</v>
      </c>
      <c r="B286" s="148"/>
      <c r="C286" s="81">
        <v>3</v>
      </c>
      <c r="D286" s="82" t="s">
        <v>680</v>
      </c>
      <c r="E286" s="87">
        <v>174.45</v>
      </c>
      <c r="F286" s="81" t="s">
        <v>627</v>
      </c>
      <c r="G286" s="81">
        <v>1</v>
      </c>
      <c r="H286" s="81" t="s">
        <v>121</v>
      </c>
      <c r="I286" s="100" t="s">
        <v>121</v>
      </c>
      <c r="J286" s="85"/>
      <c r="K286" s="85"/>
      <c r="L286" s="85"/>
      <c r="M286" s="86"/>
      <c r="N286" s="99"/>
      <c r="O286" s="81">
        <v>3</v>
      </c>
      <c r="P286" s="82" t="s">
        <v>681</v>
      </c>
      <c r="Q286" s="87">
        <v>153.4</v>
      </c>
      <c r="R286" s="81" t="s">
        <v>627</v>
      </c>
      <c r="S286" s="81">
        <v>1</v>
      </c>
      <c r="T286" s="81" t="s">
        <v>121</v>
      </c>
      <c r="U286" s="100" t="s">
        <v>121</v>
      </c>
    </row>
    <row r="287" spans="1:21" ht="13.2">
      <c r="A287" s="56" t="s">
        <v>159</v>
      </c>
      <c r="B287" s="148"/>
      <c r="C287" s="81">
        <v>4</v>
      </c>
      <c r="D287" s="82" t="s">
        <v>357</v>
      </c>
      <c r="E287" s="87">
        <v>173.05</v>
      </c>
      <c r="F287" s="81" t="s">
        <v>628</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159</v>
      </c>
      <c r="B288" s="148"/>
      <c r="C288" s="81">
        <v>5</v>
      </c>
      <c r="D288" s="82" t="s">
        <v>682</v>
      </c>
      <c r="E288" s="87">
        <v>150.1</v>
      </c>
      <c r="F288" s="81" t="s">
        <v>628</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159</v>
      </c>
      <c r="B289" s="148"/>
      <c r="C289" s="81">
        <v>6</v>
      </c>
      <c r="D289" s="82" t="s">
        <v>683</v>
      </c>
      <c r="E289" s="87">
        <v>149.1</v>
      </c>
      <c r="F289" s="81" t="s">
        <v>627</v>
      </c>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148"/>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148"/>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148"/>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148"/>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148"/>
      <c r="C294" s="230" t="s">
        <v>220</v>
      </c>
      <c r="D294" s="227"/>
      <c r="E294" s="227"/>
      <c r="F294" s="227"/>
      <c r="G294" s="90">
        <v>6</v>
      </c>
      <c r="H294" s="90">
        <v>3</v>
      </c>
      <c r="I294" s="100" t="s">
        <v>121</v>
      </c>
      <c r="J294" s="85"/>
      <c r="K294" s="85"/>
      <c r="L294" s="85"/>
      <c r="M294" s="86"/>
      <c r="N294" s="99"/>
      <c r="O294" s="230" t="s">
        <v>221</v>
      </c>
      <c r="P294" s="227"/>
      <c r="Q294" s="227"/>
      <c r="R294" s="227"/>
      <c r="S294" s="90">
        <v>1</v>
      </c>
      <c r="T294" s="90">
        <v>8</v>
      </c>
      <c r="U294" s="100" t="s">
        <v>121</v>
      </c>
    </row>
    <row r="295" spans="1:21" ht="13.2">
      <c r="A295" s="56"/>
      <c r="C295" s="24"/>
      <c r="D295" s="4"/>
      <c r="E295" s="4"/>
      <c r="F295" s="4"/>
      <c r="G295" s="4"/>
      <c r="H295" s="4"/>
      <c r="I295" s="4" t="s">
        <v>121</v>
      </c>
      <c r="J295" s="4"/>
      <c r="K295" s="4"/>
      <c r="L295" s="4"/>
      <c r="M295" s="71"/>
      <c r="N295" s="4"/>
      <c r="O295" s="4"/>
      <c r="P295" s="4"/>
      <c r="Q295" s="4"/>
      <c r="R295" s="4"/>
      <c r="S295" s="4"/>
      <c r="T295" s="4"/>
      <c r="U295" s="4" t="s">
        <v>121</v>
      </c>
    </row>
    <row r="296" spans="1:21" ht="13.2">
      <c r="A296" s="56"/>
      <c r="C296" s="106" t="s">
        <v>222</v>
      </c>
      <c r="D296" s="85"/>
      <c r="E296" s="85"/>
      <c r="F296" s="85"/>
      <c r="G296" s="85"/>
      <c r="H296" s="85"/>
      <c r="I296" s="85" t="s">
        <v>121</v>
      </c>
      <c r="J296" s="85"/>
      <c r="K296" s="85"/>
      <c r="L296" s="85"/>
      <c r="M296" s="86"/>
      <c r="N296" s="107"/>
      <c r="O296" s="108" t="s">
        <v>223</v>
      </c>
      <c r="P296" s="107"/>
      <c r="Q296" s="231" t="s">
        <v>684</v>
      </c>
      <c r="R296" s="227"/>
      <c r="S296" s="227"/>
      <c r="T296" s="228"/>
      <c r="U296" s="4" t="s">
        <v>121</v>
      </c>
    </row>
    <row r="297" spans="1:21" ht="13.2">
      <c r="A297" s="56"/>
      <c r="C297" s="249" t="s">
        <v>685</v>
      </c>
      <c r="D297" s="235"/>
      <c r="E297" s="235"/>
      <c r="F297" s="235"/>
      <c r="G297" s="235"/>
      <c r="H297" s="236"/>
      <c r="I297" s="85" t="s">
        <v>121</v>
      </c>
      <c r="J297" s="85"/>
      <c r="K297" s="85"/>
      <c r="L297" s="85"/>
      <c r="M297" s="86"/>
      <c r="N297" s="107"/>
      <c r="O297" s="110" t="s">
        <v>226</v>
      </c>
      <c r="P297" s="111"/>
      <c r="Q297" s="231" t="s">
        <v>686</v>
      </c>
      <c r="R297" s="227"/>
      <c r="S297" s="227"/>
      <c r="T297" s="228"/>
      <c r="U297" s="4" t="s">
        <v>121</v>
      </c>
    </row>
    <row r="298" spans="1:21" ht="13.2">
      <c r="A298" s="56"/>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C299" s="112" t="s">
        <v>228</v>
      </c>
      <c r="D299" s="113"/>
      <c r="E299" s="233" t="s">
        <v>686</v>
      </c>
      <c r="F299" s="227"/>
      <c r="G299" s="227"/>
      <c r="H299" s="228"/>
      <c r="I299" s="85" t="s">
        <v>121</v>
      </c>
      <c r="J299" s="85"/>
      <c r="K299" s="85"/>
      <c r="L299" s="85"/>
      <c r="M299" s="86"/>
      <c r="N299" s="107"/>
      <c r="O299" s="112" t="s">
        <v>229</v>
      </c>
      <c r="P299" s="113"/>
      <c r="Q299" s="233" t="s">
        <v>687</v>
      </c>
      <c r="R299" s="227"/>
      <c r="S299" s="227"/>
      <c r="T299" s="228"/>
      <c r="U299" s="4" t="s">
        <v>121</v>
      </c>
    </row>
    <row r="300" spans="1:21" ht="13.2">
      <c r="A300" s="56"/>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C301" s="273" t="s">
        <v>688</v>
      </c>
      <c r="D301" s="235"/>
      <c r="E301" s="235"/>
      <c r="F301" s="235"/>
      <c r="G301" s="235"/>
      <c r="H301" s="236"/>
      <c r="I301" s="4" t="s">
        <v>121</v>
      </c>
      <c r="J301" s="4"/>
      <c r="K301" s="4"/>
      <c r="L301" s="4"/>
      <c r="M301" s="71"/>
      <c r="N301" s="109"/>
      <c r="O301" s="274" t="s">
        <v>689</v>
      </c>
      <c r="P301" s="235"/>
      <c r="Q301" s="235"/>
      <c r="R301" s="235"/>
      <c r="S301" s="235"/>
      <c r="T301" s="236"/>
      <c r="U301" s="4" t="s">
        <v>121</v>
      </c>
    </row>
    <row r="302" spans="1:21" ht="13.2">
      <c r="C302" s="237"/>
      <c r="D302" s="226"/>
      <c r="E302" s="226"/>
      <c r="F302" s="226"/>
      <c r="G302" s="226"/>
      <c r="H302" s="238"/>
      <c r="I302" s="4" t="s">
        <v>121</v>
      </c>
      <c r="J302" s="4"/>
      <c r="K302" s="4"/>
      <c r="L302" s="4"/>
      <c r="M302" s="71"/>
      <c r="N302" s="109"/>
      <c r="O302" s="237"/>
      <c r="P302" s="226"/>
      <c r="Q302" s="226"/>
      <c r="R302" s="226"/>
      <c r="S302" s="226"/>
      <c r="T302" s="238"/>
      <c r="U302" t="s">
        <v>121</v>
      </c>
    </row>
    <row r="303" spans="1:21" ht="13.2">
      <c r="C303" s="237"/>
      <c r="D303" s="226"/>
      <c r="E303" s="226"/>
      <c r="F303" s="226"/>
      <c r="G303" s="226"/>
      <c r="H303" s="238"/>
      <c r="I303" s="4" t="s">
        <v>121</v>
      </c>
      <c r="J303" s="4"/>
      <c r="K303" s="4"/>
      <c r="L303" s="4"/>
      <c r="M303" s="71"/>
      <c r="N303" s="109"/>
      <c r="O303" s="237"/>
      <c r="P303" s="226"/>
      <c r="Q303" s="226"/>
      <c r="R303" s="226"/>
      <c r="S303" s="226"/>
      <c r="T303" s="238"/>
      <c r="U303" t="s">
        <v>121</v>
      </c>
    </row>
    <row r="304" spans="1:21" ht="13.2">
      <c r="C304" s="239"/>
      <c r="D304" s="240"/>
      <c r="E304" s="240"/>
      <c r="F304" s="240"/>
      <c r="G304" s="240"/>
      <c r="H304" s="241"/>
      <c r="I304" s="4" t="s">
        <v>121</v>
      </c>
      <c r="J304" s="4"/>
      <c r="K304" s="4"/>
      <c r="L304" s="4"/>
      <c r="M304" s="71"/>
      <c r="N304" s="109"/>
      <c r="O304" s="239"/>
      <c r="P304" s="240"/>
      <c r="Q304" s="240"/>
      <c r="R304" s="240"/>
      <c r="S304" s="240"/>
      <c r="T304" s="241"/>
      <c r="U304" t="s">
        <v>121</v>
      </c>
    </row>
    <row r="305" spans="3:21" ht="13.2">
      <c r="C305" s="24"/>
      <c r="I305" t="s">
        <v>121</v>
      </c>
      <c r="O305" s="4"/>
      <c r="U305" t="s">
        <v>121</v>
      </c>
    </row>
    <row r="306" spans="3:21" ht="13.2">
      <c r="C306" s="24"/>
      <c r="O306" s="4"/>
    </row>
    <row r="307" spans="3:21" ht="13.2">
      <c r="C307" s="24"/>
      <c r="O307" s="4"/>
    </row>
    <row r="308" spans="3:21" ht="13.2">
      <c r="C308" s="24"/>
      <c r="O308" s="4"/>
    </row>
    <row r="309" spans="3:21" ht="13.2">
      <c r="C309" s="24"/>
      <c r="O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1"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8"/>
      <c r="D1" s="26">
        <v>44383</v>
      </c>
      <c r="E1" s="9"/>
      <c r="F1" s="27" t="s">
        <v>128</v>
      </c>
      <c r="G1" s="10"/>
      <c r="H1" s="9"/>
      <c r="I1" s="11"/>
      <c r="J1" s="11"/>
      <c r="K1" s="11"/>
      <c r="L1" s="11"/>
      <c r="M1" s="11"/>
      <c r="N1" s="11"/>
      <c r="O1" s="11"/>
      <c r="P1" s="11"/>
      <c r="Q1" s="28" t="s">
        <v>0</v>
      </c>
      <c r="R1" s="255">
        <v>4</v>
      </c>
      <c r="S1" s="227"/>
      <c r="T1" s="227"/>
      <c r="U1" s="12"/>
    </row>
    <row r="2" spans="1:21" ht="15.6">
      <c r="B2" s="256" t="s">
        <v>129</v>
      </c>
      <c r="C2" s="226"/>
      <c r="D2" s="13" t="s">
        <v>130</v>
      </c>
      <c r="E2" s="10"/>
      <c r="F2" s="225" t="s">
        <v>1</v>
      </c>
      <c r="G2" s="226"/>
      <c r="H2" s="226"/>
      <c r="I2" s="257" t="s">
        <v>121</v>
      </c>
      <c r="J2" s="226"/>
      <c r="K2" s="226"/>
      <c r="L2" s="9"/>
      <c r="M2" s="9"/>
      <c r="N2" s="9"/>
      <c r="O2" s="9"/>
      <c r="P2" s="13" t="s">
        <v>132</v>
      </c>
      <c r="Q2" s="10"/>
      <c r="R2" s="225" t="s">
        <v>1</v>
      </c>
      <c r="S2" s="226"/>
      <c r="T2" s="226"/>
      <c r="U2" s="10" t="s">
        <v>121</v>
      </c>
    </row>
    <row r="3" spans="1:21">
      <c r="A3" s="29">
        <v>1</v>
      </c>
      <c r="B3" s="30">
        <v>1</v>
      </c>
      <c r="C3" s="9"/>
      <c r="D3" s="258" t="s">
        <v>690</v>
      </c>
      <c r="E3" s="228"/>
      <c r="F3" s="259">
        <v>32</v>
      </c>
      <c r="G3" s="227"/>
      <c r="H3" s="228"/>
      <c r="I3" s="31">
        <v>0</v>
      </c>
      <c r="J3" s="9"/>
      <c r="K3" s="32"/>
      <c r="L3" s="32" t="s">
        <v>3</v>
      </c>
      <c r="M3" s="9"/>
      <c r="N3" s="9"/>
      <c r="O3" s="9"/>
      <c r="P3" s="260" t="s">
        <v>691</v>
      </c>
      <c r="Q3" s="227"/>
      <c r="R3" s="261">
        <v>36</v>
      </c>
      <c r="S3" s="227"/>
      <c r="T3" s="228"/>
      <c r="U3" s="31">
        <v>0</v>
      </c>
    </row>
    <row r="4" spans="1:21">
      <c r="A4" s="29">
        <v>2</v>
      </c>
      <c r="B4" s="30">
        <v>2</v>
      </c>
      <c r="C4" s="16"/>
      <c r="D4" s="258" t="s">
        <v>692</v>
      </c>
      <c r="E4" s="228"/>
      <c r="F4" s="259">
        <v>33</v>
      </c>
      <c r="G4" s="227"/>
      <c r="H4" s="227"/>
      <c r="I4" s="31">
        <v>0</v>
      </c>
      <c r="J4" s="14"/>
      <c r="K4" s="32"/>
      <c r="L4" s="32" t="s">
        <v>3</v>
      </c>
      <c r="M4" s="14"/>
      <c r="N4" s="14"/>
      <c r="O4" s="15"/>
      <c r="P4" s="260" t="s">
        <v>693</v>
      </c>
      <c r="Q4" s="227"/>
      <c r="R4" s="261">
        <v>35</v>
      </c>
      <c r="S4" s="227"/>
      <c r="T4" s="227"/>
      <c r="U4" s="31">
        <v>0</v>
      </c>
    </row>
    <row r="5" spans="1:21">
      <c r="A5" s="29">
        <v>3</v>
      </c>
      <c r="B5" s="30">
        <v>3</v>
      </c>
      <c r="C5" s="16"/>
      <c r="D5" s="264" t="s">
        <v>694</v>
      </c>
      <c r="E5" s="236"/>
      <c r="F5" s="259">
        <v>30</v>
      </c>
      <c r="G5" s="227"/>
      <c r="H5" s="228"/>
      <c r="I5" s="31">
        <v>0</v>
      </c>
      <c r="J5" s="14"/>
      <c r="K5" s="32"/>
      <c r="L5" s="32" t="s">
        <v>3</v>
      </c>
      <c r="M5" s="14"/>
      <c r="N5" s="14"/>
      <c r="O5" s="15"/>
      <c r="P5" s="262" t="s">
        <v>695</v>
      </c>
      <c r="Q5" s="235"/>
      <c r="R5" s="263">
        <v>42</v>
      </c>
      <c r="S5" s="235"/>
      <c r="T5" s="236"/>
      <c r="U5" s="31">
        <v>0</v>
      </c>
    </row>
    <row r="6" spans="1:21">
      <c r="B6" s="33"/>
      <c r="C6" s="8"/>
      <c r="D6" s="34" t="s">
        <v>139</v>
      </c>
      <c r="E6" s="35">
        <v>1</v>
      </c>
      <c r="F6" s="10"/>
      <c r="G6" s="10"/>
      <c r="H6" s="10"/>
      <c r="I6" s="36"/>
      <c r="J6" s="36"/>
      <c r="K6" s="36"/>
      <c r="L6" s="36"/>
      <c r="M6" s="36"/>
      <c r="N6" s="36"/>
      <c r="O6" s="36"/>
      <c r="P6" s="34" t="s">
        <v>140</v>
      </c>
      <c r="Q6" s="267">
        <v>44383</v>
      </c>
      <c r="R6" s="226"/>
      <c r="S6" s="226"/>
      <c r="T6" s="226"/>
      <c r="U6" s="37"/>
    </row>
    <row r="7" spans="1:21">
      <c r="B7" s="38"/>
      <c r="C7" s="7"/>
      <c r="D7" s="39" t="s">
        <v>141</v>
      </c>
      <c r="E7" s="11"/>
      <c r="F7" s="9"/>
      <c r="G7" s="9"/>
      <c r="H7" s="9"/>
      <c r="I7" s="9"/>
      <c r="J7" s="9"/>
      <c r="K7" s="9"/>
      <c r="L7" s="9"/>
      <c r="M7" s="9"/>
      <c r="N7" s="9"/>
      <c r="O7" s="9"/>
      <c r="P7" s="40" t="s">
        <v>2</v>
      </c>
      <c r="Q7" s="268" t="s">
        <v>142</v>
      </c>
      <c r="R7" s="226"/>
      <c r="S7" s="226"/>
      <c r="T7" s="226"/>
      <c r="U7" s="9"/>
    </row>
    <row r="8" spans="1:21">
      <c r="B8" s="41"/>
      <c r="C8" s="42"/>
      <c r="D8" s="11"/>
      <c r="E8" s="11"/>
      <c r="F8" s="9"/>
      <c r="G8" s="9"/>
      <c r="H8" s="9"/>
      <c r="I8" s="9"/>
      <c r="J8" s="9"/>
      <c r="K8" s="9"/>
      <c r="L8" s="9"/>
      <c r="M8" s="9"/>
      <c r="N8" s="9"/>
      <c r="O8" s="9"/>
      <c r="P8" s="11"/>
      <c r="Q8" s="11"/>
      <c r="R8" s="11"/>
      <c r="S8" s="9"/>
      <c r="T8" s="9"/>
      <c r="U8" s="9"/>
    </row>
    <row r="9" spans="1:21" ht="63.6" customHeight="1">
      <c r="B9" s="43"/>
      <c r="C9" s="251" t="s">
        <v>130</v>
      </c>
      <c r="D9" s="227"/>
      <c r="E9" s="265" t="s">
        <v>690</v>
      </c>
      <c r="F9" s="227"/>
      <c r="G9" s="228"/>
      <c r="H9" s="44" t="s">
        <v>696</v>
      </c>
      <c r="I9" s="45"/>
      <c r="J9" s="46"/>
      <c r="K9" s="46"/>
      <c r="L9" s="46"/>
      <c r="M9" s="46"/>
      <c r="N9" s="47"/>
      <c r="O9" s="244" t="s">
        <v>132</v>
      </c>
      <c r="P9" s="227"/>
      <c r="Q9" s="269" t="s">
        <v>691</v>
      </c>
      <c r="R9" s="227"/>
      <c r="S9" s="228"/>
      <c r="T9" s="49" t="s">
        <v>697</v>
      </c>
      <c r="U9" s="50"/>
    </row>
    <row r="10" spans="1:21">
      <c r="B10" s="51"/>
      <c r="C10" s="272" t="s">
        <v>1</v>
      </c>
      <c r="D10" s="228"/>
      <c r="E10" s="266">
        <v>32</v>
      </c>
      <c r="F10" s="227"/>
      <c r="G10" s="227"/>
      <c r="H10" s="52"/>
      <c r="I10" s="45"/>
      <c r="J10" s="53"/>
      <c r="K10" s="53"/>
      <c r="L10" s="53"/>
      <c r="M10" s="53"/>
      <c r="N10" s="47"/>
      <c r="O10" s="270" t="s">
        <v>1</v>
      </c>
      <c r="P10" s="228"/>
      <c r="Q10" s="271">
        <v>36</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B13" s="4"/>
      <c r="C13" s="62" t="s">
        <v>147</v>
      </c>
      <c r="D13" s="63" t="s">
        <v>148</v>
      </c>
      <c r="E13" s="57"/>
      <c r="F13" s="57"/>
      <c r="G13" s="64">
        <v>0</v>
      </c>
      <c r="H13" s="65">
        <v>9</v>
      </c>
      <c r="I13" s="55"/>
      <c r="J13" s="55"/>
      <c r="K13" s="55"/>
      <c r="L13" s="55"/>
      <c r="M13" s="61"/>
      <c r="N13" s="4"/>
      <c r="O13" s="62" t="s">
        <v>149</v>
      </c>
      <c r="P13" s="63" t="s">
        <v>150</v>
      </c>
      <c r="Q13" s="57"/>
      <c r="R13" s="57"/>
      <c r="S13" s="64">
        <v>4</v>
      </c>
      <c r="T13" s="65">
        <v>5</v>
      </c>
      <c r="U13" s="55"/>
    </row>
    <row r="14" spans="1:21" ht="15.75" customHeight="1">
      <c r="A14" s="56"/>
      <c r="B14" s="4"/>
      <c r="C14" s="62" t="s">
        <v>151</v>
      </c>
      <c r="D14" s="63" t="s">
        <v>152</v>
      </c>
      <c r="E14" s="57"/>
      <c r="F14" s="57"/>
      <c r="G14" s="64">
        <v>8</v>
      </c>
      <c r="H14" s="65">
        <v>1</v>
      </c>
      <c r="I14" s="55"/>
      <c r="J14" s="55"/>
      <c r="K14" s="55"/>
      <c r="L14" s="55"/>
      <c r="M14" s="61"/>
      <c r="N14" s="4"/>
      <c r="O14" s="62" t="s">
        <v>153</v>
      </c>
      <c r="P14" s="63" t="s">
        <v>154</v>
      </c>
      <c r="Q14" s="57"/>
      <c r="R14" s="57"/>
      <c r="S14" s="64">
        <v>4</v>
      </c>
      <c r="T14" s="65">
        <v>5</v>
      </c>
      <c r="U14" s="55"/>
    </row>
    <row r="15" spans="1:21" ht="15.75" customHeight="1">
      <c r="A15" s="56"/>
      <c r="B15" s="4"/>
      <c r="C15" s="62" t="s">
        <v>155</v>
      </c>
      <c r="D15" s="63" t="s">
        <v>156</v>
      </c>
      <c r="E15" s="57"/>
      <c r="F15" s="57"/>
      <c r="G15" s="64">
        <v>6</v>
      </c>
      <c r="H15" s="65">
        <v>3</v>
      </c>
      <c r="I15" s="55"/>
      <c r="J15" s="55"/>
      <c r="K15" s="55"/>
      <c r="L15" s="55"/>
      <c r="M15" s="61"/>
      <c r="N15" s="4"/>
      <c r="O15" s="62" t="s">
        <v>157</v>
      </c>
      <c r="P15" s="63" t="s">
        <v>158</v>
      </c>
      <c r="Q15" s="57"/>
      <c r="R15" s="57"/>
      <c r="S15" s="64">
        <v>0</v>
      </c>
      <c r="T15" s="65">
        <v>5</v>
      </c>
      <c r="U15" s="55"/>
    </row>
    <row r="16" spans="1:21" ht="15.75" customHeight="1">
      <c r="A16" s="56"/>
      <c r="B16" s="4"/>
      <c r="C16" s="62" t="s">
        <v>159</v>
      </c>
      <c r="D16" s="63" t="s">
        <v>160</v>
      </c>
      <c r="E16" s="57"/>
      <c r="F16" s="57"/>
      <c r="G16" s="64">
        <v>9</v>
      </c>
      <c r="H16" s="65">
        <v>0</v>
      </c>
      <c r="I16" s="55"/>
      <c r="J16" s="55"/>
      <c r="K16" s="55"/>
      <c r="L16" s="55"/>
      <c r="M16" s="61"/>
      <c r="N16" s="4"/>
      <c r="O16" s="62" t="s">
        <v>161</v>
      </c>
      <c r="P16" s="63" t="s">
        <v>162</v>
      </c>
      <c r="Q16" s="57"/>
      <c r="R16" s="57"/>
      <c r="S16" s="64">
        <v>1</v>
      </c>
      <c r="T16" s="65">
        <v>8</v>
      </c>
      <c r="U16" s="55"/>
    </row>
    <row r="17" spans="1:21" ht="15.75" customHeight="1">
      <c r="A17" s="56"/>
      <c r="B17" s="4"/>
      <c r="C17" s="66"/>
      <c r="D17" s="67" t="s">
        <v>163</v>
      </c>
      <c r="E17" s="68"/>
      <c r="F17" s="68"/>
      <c r="G17" s="69">
        <v>23</v>
      </c>
      <c r="H17" s="70">
        <v>13</v>
      </c>
      <c r="I17" s="55"/>
      <c r="J17" s="55"/>
      <c r="K17" s="55"/>
      <c r="L17" s="55"/>
      <c r="M17" s="61"/>
      <c r="N17" s="4"/>
      <c r="O17" s="66"/>
      <c r="P17" s="67" t="s">
        <v>163</v>
      </c>
      <c r="Q17" s="68"/>
      <c r="R17" s="68"/>
      <c r="S17" s="69">
        <v>9</v>
      </c>
      <c r="T17" s="70">
        <v>23</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80"/>
      <c r="C22" s="81">
        <v>1</v>
      </c>
      <c r="D22" s="82" t="s">
        <v>698</v>
      </c>
      <c r="E22" s="83">
        <v>68.900000000000006</v>
      </c>
      <c r="F22" s="81" t="s">
        <v>697</v>
      </c>
      <c r="G22" s="81" t="s">
        <v>121</v>
      </c>
      <c r="H22" s="81">
        <v>5</v>
      </c>
      <c r="I22" s="84" t="s">
        <v>121</v>
      </c>
      <c r="J22" s="85"/>
      <c r="K22" s="85"/>
      <c r="L22" s="85"/>
      <c r="M22" s="86"/>
      <c r="N22" s="80"/>
      <c r="O22" s="81">
        <v>1</v>
      </c>
      <c r="P22" s="82" t="s">
        <v>699</v>
      </c>
      <c r="Q22" s="83">
        <v>65.3</v>
      </c>
      <c r="R22" s="81" t="s">
        <v>697</v>
      </c>
      <c r="S22" s="81" t="s">
        <v>121</v>
      </c>
      <c r="T22" s="81">
        <v>5</v>
      </c>
      <c r="U22" s="84" t="s">
        <v>121</v>
      </c>
    </row>
    <row r="23" spans="1:21" ht="15.75" customHeight="1">
      <c r="A23" s="56" t="s">
        <v>147</v>
      </c>
      <c r="B23" s="80"/>
      <c r="C23" s="81">
        <v>2</v>
      </c>
      <c r="D23" s="82" t="s">
        <v>700</v>
      </c>
      <c r="E23" s="87">
        <v>64.099999999999994</v>
      </c>
      <c r="F23" s="81" t="s">
        <v>697</v>
      </c>
      <c r="G23" s="81" t="s">
        <v>121</v>
      </c>
      <c r="H23" s="81">
        <v>3</v>
      </c>
      <c r="I23" s="84" t="s">
        <v>121</v>
      </c>
      <c r="J23" s="85"/>
      <c r="K23" s="85"/>
      <c r="L23" s="85"/>
      <c r="M23" s="86"/>
      <c r="N23" s="80"/>
      <c r="O23" s="81">
        <v>2</v>
      </c>
      <c r="P23" s="82" t="s">
        <v>701</v>
      </c>
      <c r="Q23" s="87">
        <v>43.1</v>
      </c>
      <c r="R23" s="81" t="s">
        <v>696</v>
      </c>
      <c r="S23" s="81">
        <v>3</v>
      </c>
      <c r="T23" s="81" t="s">
        <v>121</v>
      </c>
      <c r="U23" s="84" t="s">
        <v>121</v>
      </c>
    </row>
    <row r="24" spans="1:21" ht="15.75" customHeight="1">
      <c r="A24" s="56" t="s">
        <v>147</v>
      </c>
      <c r="B24" s="80"/>
      <c r="C24" s="81">
        <v>3</v>
      </c>
      <c r="D24" s="82" t="s">
        <v>702</v>
      </c>
      <c r="E24" s="87">
        <v>63.5</v>
      </c>
      <c r="F24" s="81" t="s">
        <v>697</v>
      </c>
      <c r="G24" s="81" t="s">
        <v>121</v>
      </c>
      <c r="H24" s="81">
        <v>1</v>
      </c>
      <c r="I24" s="84" t="s">
        <v>121</v>
      </c>
      <c r="J24" s="85"/>
      <c r="K24" s="85"/>
      <c r="L24" s="85"/>
      <c r="M24" s="86"/>
      <c r="N24" s="80"/>
      <c r="O24" s="81">
        <v>3</v>
      </c>
      <c r="P24" s="82" t="s">
        <v>703</v>
      </c>
      <c r="Q24" s="87">
        <v>42.8</v>
      </c>
      <c r="R24" s="81" t="s">
        <v>696</v>
      </c>
      <c r="S24" s="81">
        <v>1</v>
      </c>
      <c r="T24" s="81" t="s">
        <v>121</v>
      </c>
      <c r="U24" s="84" t="s">
        <v>121</v>
      </c>
    </row>
    <row r="25" spans="1:21" ht="15.75" customHeight="1">
      <c r="A25" s="56" t="s">
        <v>147</v>
      </c>
      <c r="B25" s="80"/>
      <c r="C25" s="81">
        <v>4</v>
      </c>
      <c r="D25" s="82" t="s">
        <v>704</v>
      </c>
      <c r="E25" s="87">
        <v>58.6</v>
      </c>
      <c r="F25" s="81" t="s">
        <v>696</v>
      </c>
      <c r="G25" s="81" t="s">
        <v>121</v>
      </c>
      <c r="H25" s="81" t="s">
        <v>121</v>
      </c>
      <c r="I25" s="84" t="s">
        <v>121</v>
      </c>
      <c r="J25" s="85"/>
      <c r="K25" s="85"/>
      <c r="L25" s="85"/>
      <c r="M25" s="86"/>
      <c r="N25" s="80"/>
      <c r="O25" s="81">
        <v>4</v>
      </c>
      <c r="P25" s="82" t="s">
        <v>705</v>
      </c>
      <c r="Q25" s="87">
        <v>41.6</v>
      </c>
      <c r="R25" s="81" t="s">
        <v>697</v>
      </c>
      <c r="S25" s="81" t="s">
        <v>121</v>
      </c>
      <c r="T25" s="81" t="s">
        <v>121</v>
      </c>
      <c r="U25" s="84" t="s">
        <v>121</v>
      </c>
    </row>
    <row r="26" spans="1:21" ht="15.75" customHeight="1">
      <c r="A26" s="56" t="s">
        <v>147</v>
      </c>
      <c r="B26" s="80"/>
      <c r="C26" s="81">
        <v>5</v>
      </c>
      <c r="D26" s="82" t="s">
        <v>706</v>
      </c>
      <c r="E26" s="87">
        <v>57.5</v>
      </c>
      <c r="F26" s="81" t="s">
        <v>697</v>
      </c>
      <c r="G26" s="81" t="s">
        <v>121</v>
      </c>
      <c r="H26" s="81" t="s">
        <v>121</v>
      </c>
      <c r="I26" s="84" t="s">
        <v>121</v>
      </c>
      <c r="J26" s="85"/>
      <c r="K26" s="85"/>
      <c r="L26" s="85"/>
      <c r="M26" s="86"/>
      <c r="N26" s="80"/>
      <c r="O26" s="81">
        <v>5</v>
      </c>
      <c r="P26" s="82" t="s">
        <v>707</v>
      </c>
      <c r="Q26" s="87">
        <v>41.4</v>
      </c>
      <c r="R26" s="81" t="s">
        <v>697</v>
      </c>
      <c r="S26" s="81" t="s">
        <v>121</v>
      </c>
      <c r="T26" s="81" t="s">
        <v>121</v>
      </c>
      <c r="U26" s="84" t="s">
        <v>121</v>
      </c>
    </row>
    <row r="27" spans="1:21" ht="15.75" customHeight="1">
      <c r="A27" s="56" t="s">
        <v>147</v>
      </c>
      <c r="B27" s="80"/>
      <c r="C27" s="81">
        <v>6</v>
      </c>
      <c r="D27" s="82" t="s">
        <v>708</v>
      </c>
      <c r="E27" s="87">
        <v>57.3</v>
      </c>
      <c r="F27" s="81" t="s">
        <v>696</v>
      </c>
      <c r="G27" s="81" t="s">
        <v>121</v>
      </c>
      <c r="H27" s="81" t="s">
        <v>121</v>
      </c>
      <c r="I27" s="84" t="s">
        <v>121</v>
      </c>
      <c r="J27" s="85"/>
      <c r="K27" s="85"/>
      <c r="L27" s="85"/>
      <c r="M27" s="86"/>
      <c r="N27" s="80"/>
      <c r="O27" s="81">
        <v>6</v>
      </c>
      <c r="P27" s="82" t="s">
        <v>709</v>
      </c>
      <c r="Q27" s="87">
        <v>36.1</v>
      </c>
      <c r="R27" s="81" t="s">
        <v>696</v>
      </c>
      <c r="S27" s="81" t="s">
        <v>121</v>
      </c>
      <c r="T27" s="81" t="s">
        <v>121</v>
      </c>
      <c r="U27" s="84" t="s">
        <v>121</v>
      </c>
    </row>
    <row r="28" spans="1:21" ht="15.75" customHeight="1">
      <c r="A28" s="56" t="s">
        <v>147</v>
      </c>
      <c r="B28" s="80"/>
      <c r="C28" s="81">
        <v>7</v>
      </c>
      <c r="D28" s="82" t="s">
        <v>710</v>
      </c>
      <c r="E28" s="87">
        <v>49.7</v>
      </c>
      <c r="F28" s="81" t="s">
        <v>697</v>
      </c>
      <c r="G28" s="81" t="s">
        <v>121</v>
      </c>
      <c r="H28" s="81" t="s">
        <v>121</v>
      </c>
      <c r="I28" s="84" t="s">
        <v>121</v>
      </c>
      <c r="J28" s="85"/>
      <c r="K28" s="85"/>
      <c r="L28" s="85"/>
      <c r="M28" s="86"/>
      <c r="N28" s="80"/>
      <c r="O28" s="81" t="s">
        <v>121</v>
      </c>
      <c r="P28" s="82"/>
      <c r="Q28" s="87" t="s">
        <v>121</v>
      </c>
      <c r="R28" s="81"/>
      <c r="S28" s="81" t="s">
        <v>121</v>
      </c>
      <c r="T28" s="81" t="s">
        <v>121</v>
      </c>
      <c r="U28" s="84" t="s">
        <v>121</v>
      </c>
    </row>
    <row r="29" spans="1:21" ht="15.75" customHeight="1">
      <c r="A29" s="56" t="s">
        <v>147</v>
      </c>
      <c r="B29" s="80"/>
      <c r="C29" s="81">
        <v>8</v>
      </c>
      <c r="D29" s="88" t="s">
        <v>711</v>
      </c>
      <c r="E29" s="87">
        <v>47.6</v>
      </c>
      <c r="F29" s="81" t="s">
        <v>697</v>
      </c>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147</v>
      </c>
      <c r="B30" s="80"/>
      <c r="C30" s="81">
        <v>9</v>
      </c>
      <c r="D30" s="88" t="s">
        <v>712</v>
      </c>
      <c r="E30" s="87">
        <v>42.3</v>
      </c>
      <c r="F30" s="81" t="s">
        <v>696</v>
      </c>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147</v>
      </c>
      <c r="B31" s="80"/>
      <c r="C31" s="81">
        <v>10</v>
      </c>
      <c r="D31" s="88" t="s">
        <v>713</v>
      </c>
      <c r="E31" s="87">
        <v>40.9</v>
      </c>
      <c r="F31" s="81" t="s">
        <v>697</v>
      </c>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147</v>
      </c>
      <c r="B32" s="80"/>
      <c r="C32" s="81">
        <v>11</v>
      </c>
      <c r="D32" s="88" t="s">
        <v>714</v>
      </c>
      <c r="E32" s="87">
        <v>40.4</v>
      </c>
      <c r="F32" s="81" t="s">
        <v>697</v>
      </c>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147</v>
      </c>
      <c r="B33" s="80"/>
      <c r="C33" s="81">
        <v>12</v>
      </c>
      <c r="D33" s="88" t="s">
        <v>715</v>
      </c>
      <c r="E33" s="87">
        <v>37.299999999999997</v>
      </c>
      <c r="F33" s="81" t="s">
        <v>696</v>
      </c>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147</v>
      </c>
      <c r="B34" s="80"/>
      <c r="C34" s="81">
        <v>13</v>
      </c>
      <c r="D34" s="88" t="s">
        <v>716</v>
      </c>
      <c r="E34" s="87">
        <v>30.9</v>
      </c>
      <c r="F34" s="81" t="s">
        <v>697</v>
      </c>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30" t="s">
        <v>184</v>
      </c>
      <c r="D47" s="227"/>
      <c r="E47" s="227"/>
      <c r="F47" s="227"/>
      <c r="G47" s="90">
        <v>0</v>
      </c>
      <c r="H47" s="90">
        <v>9</v>
      </c>
      <c r="I47" s="84" t="s">
        <v>121</v>
      </c>
      <c r="J47" s="85"/>
      <c r="K47" s="85"/>
      <c r="L47" s="85"/>
      <c r="M47" s="86"/>
      <c r="N47" s="80"/>
      <c r="O47" s="230" t="s">
        <v>185</v>
      </c>
      <c r="P47" s="227"/>
      <c r="Q47" s="227"/>
      <c r="R47" s="227"/>
      <c r="S47" s="90">
        <v>4</v>
      </c>
      <c r="T47" s="90">
        <v>5</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99"/>
      <c r="C51" s="81">
        <v>1</v>
      </c>
      <c r="D51" s="82" t="s">
        <v>717</v>
      </c>
      <c r="E51" s="83">
        <v>111.4</v>
      </c>
      <c r="F51" s="81" t="s">
        <v>696</v>
      </c>
      <c r="G51" s="81">
        <v>5</v>
      </c>
      <c r="H51" s="81" t="s">
        <v>121</v>
      </c>
      <c r="I51" s="100" t="s">
        <v>123</v>
      </c>
      <c r="J51" s="85"/>
      <c r="K51" s="85"/>
      <c r="L51" s="85"/>
      <c r="M51" s="86"/>
      <c r="N51" s="99"/>
      <c r="O51" s="81">
        <v>1</v>
      </c>
      <c r="P51" s="82" t="s">
        <v>718</v>
      </c>
      <c r="Q51" s="83">
        <v>120.2</v>
      </c>
      <c r="R51" s="81" t="s">
        <v>697</v>
      </c>
      <c r="S51" s="81" t="s">
        <v>121</v>
      </c>
      <c r="T51" s="81">
        <v>5</v>
      </c>
      <c r="U51" s="100" t="s">
        <v>121</v>
      </c>
    </row>
    <row r="52" spans="1:21" ht="13.2">
      <c r="A52" s="56" t="s">
        <v>151</v>
      </c>
      <c r="B52" s="99"/>
      <c r="C52" s="81">
        <v>2</v>
      </c>
      <c r="D52" s="82" t="s">
        <v>719</v>
      </c>
      <c r="E52" s="87">
        <v>86.7</v>
      </c>
      <c r="F52" s="81" t="s">
        <v>696</v>
      </c>
      <c r="G52" s="81">
        <v>3</v>
      </c>
      <c r="H52" s="81" t="s">
        <v>121</v>
      </c>
      <c r="I52" s="100" t="s">
        <v>121</v>
      </c>
      <c r="J52" s="85"/>
      <c r="K52" s="85"/>
      <c r="L52" s="85"/>
      <c r="M52" s="86"/>
      <c r="N52" s="99"/>
      <c r="O52" s="81">
        <v>2</v>
      </c>
      <c r="P52" s="82" t="s">
        <v>720</v>
      </c>
      <c r="Q52" s="87">
        <v>76.8</v>
      </c>
      <c r="R52" s="81" t="s">
        <v>696</v>
      </c>
      <c r="S52" s="81">
        <v>3</v>
      </c>
      <c r="T52" s="81" t="s">
        <v>121</v>
      </c>
      <c r="U52" s="100" t="s">
        <v>123</v>
      </c>
    </row>
    <row r="53" spans="1:21" ht="13.2">
      <c r="A53" s="56" t="s">
        <v>151</v>
      </c>
      <c r="B53" s="99"/>
      <c r="C53" s="81">
        <v>3</v>
      </c>
      <c r="D53" s="82" t="s">
        <v>721</v>
      </c>
      <c r="E53" s="87">
        <v>82</v>
      </c>
      <c r="F53" s="81" t="s">
        <v>697</v>
      </c>
      <c r="G53" s="81" t="s">
        <v>121</v>
      </c>
      <c r="H53" s="81">
        <v>1</v>
      </c>
      <c r="I53" s="100" t="s">
        <v>121</v>
      </c>
      <c r="J53" s="85"/>
      <c r="K53" s="85"/>
      <c r="L53" s="85"/>
      <c r="M53" s="86"/>
      <c r="N53" s="99"/>
      <c r="O53" s="81">
        <v>3</v>
      </c>
      <c r="P53" s="82" t="s">
        <v>722</v>
      </c>
      <c r="Q53" s="87">
        <v>73.7</v>
      </c>
      <c r="R53" s="81" t="s">
        <v>696</v>
      </c>
      <c r="S53" s="81">
        <v>1</v>
      </c>
      <c r="T53" s="81" t="s">
        <v>121</v>
      </c>
      <c r="U53" s="100" t="s">
        <v>123</v>
      </c>
    </row>
    <row r="54" spans="1:21" ht="13.2">
      <c r="A54" s="56" t="s">
        <v>151</v>
      </c>
      <c r="B54" s="99"/>
      <c r="C54" s="81">
        <v>4</v>
      </c>
      <c r="D54" s="82" t="s">
        <v>723</v>
      </c>
      <c r="E54" s="87">
        <v>80.2</v>
      </c>
      <c r="F54" s="81" t="s">
        <v>697</v>
      </c>
      <c r="G54" s="81" t="s">
        <v>121</v>
      </c>
      <c r="H54" s="81" t="s">
        <v>121</v>
      </c>
      <c r="I54" s="100" t="s">
        <v>121</v>
      </c>
      <c r="J54" s="85"/>
      <c r="K54" s="85"/>
      <c r="L54" s="85"/>
      <c r="M54" s="86"/>
      <c r="N54" s="99"/>
      <c r="O54" s="81">
        <v>4</v>
      </c>
      <c r="P54" s="82" t="s">
        <v>724</v>
      </c>
      <c r="Q54" s="87">
        <v>50</v>
      </c>
      <c r="R54" s="81" t="s">
        <v>696</v>
      </c>
      <c r="S54" s="81" t="s">
        <v>121</v>
      </c>
      <c r="T54" s="81" t="s">
        <v>121</v>
      </c>
      <c r="U54" s="100" t="s">
        <v>121</v>
      </c>
    </row>
    <row r="55" spans="1:21" ht="13.2">
      <c r="A55" s="56" t="s">
        <v>151</v>
      </c>
      <c r="B55" s="99"/>
      <c r="C55" s="81">
        <v>5</v>
      </c>
      <c r="D55" s="82" t="s">
        <v>725</v>
      </c>
      <c r="E55" s="87">
        <v>72.2</v>
      </c>
      <c r="F55" s="81" t="s">
        <v>696</v>
      </c>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99"/>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30" t="s">
        <v>199</v>
      </c>
      <c r="D66" s="227"/>
      <c r="E66" s="227"/>
      <c r="F66" s="228"/>
      <c r="G66" s="90">
        <v>8</v>
      </c>
      <c r="H66" s="90">
        <v>1</v>
      </c>
      <c r="I66" s="100" t="s">
        <v>121</v>
      </c>
      <c r="J66" s="85"/>
      <c r="K66" s="85"/>
      <c r="L66" s="85"/>
      <c r="M66" s="86"/>
      <c r="N66" s="99"/>
      <c r="O66" s="230" t="s">
        <v>200</v>
      </c>
      <c r="P66" s="227"/>
      <c r="Q66" s="227"/>
      <c r="R66" s="228"/>
      <c r="S66" s="90">
        <v>4</v>
      </c>
      <c r="T66" s="90">
        <v>5</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13.2">
      <c r="A70" s="56" t="s">
        <v>155</v>
      </c>
      <c r="B70" s="80"/>
      <c r="C70" s="81">
        <v>1</v>
      </c>
      <c r="D70" s="82" t="s">
        <v>726</v>
      </c>
      <c r="E70" s="83">
        <v>128.9</v>
      </c>
      <c r="F70" s="81" t="s">
        <v>696</v>
      </c>
      <c r="G70" s="81">
        <v>5</v>
      </c>
      <c r="H70" s="81" t="s">
        <v>121</v>
      </c>
      <c r="I70" s="84" t="s">
        <v>121</v>
      </c>
      <c r="J70" s="85"/>
      <c r="K70" s="85"/>
      <c r="L70" s="85"/>
      <c r="M70" s="86"/>
      <c r="N70" s="80"/>
      <c r="O70" s="81">
        <v>1</v>
      </c>
      <c r="P70" s="82" t="s">
        <v>727</v>
      </c>
      <c r="Q70" s="83">
        <v>93.7</v>
      </c>
      <c r="R70" s="81" t="s">
        <v>697</v>
      </c>
      <c r="S70" s="81" t="s">
        <v>121</v>
      </c>
      <c r="T70" s="81">
        <v>5</v>
      </c>
      <c r="U70" s="84" t="s">
        <v>123</v>
      </c>
    </row>
    <row r="71" spans="1:21" ht="13.2">
      <c r="A71" s="56" t="s">
        <v>155</v>
      </c>
      <c r="B71" s="80"/>
      <c r="C71" s="81">
        <v>2</v>
      </c>
      <c r="D71" s="82" t="s">
        <v>728</v>
      </c>
      <c r="E71" s="87">
        <v>117.8</v>
      </c>
      <c r="F71" s="81" t="s">
        <v>697</v>
      </c>
      <c r="G71" s="81" t="s">
        <v>121</v>
      </c>
      <c r="H71" s="81">
        <v>3</v>
      </c>
      <c r="I71" s="84" t="s">
        <v>123</v>
      </c>
      <c r="J71" s="85"/>
      <c r="K71" s="85"/>
      <c r="L71" s="85"/>
      <c r="M71" s="86"/>
      <c r="N71" s="80"/>
      <c r="O71" s="81" t="s">
        <v>121</v>
      </c>
      <c r="P71" s="82"/>
      <c r="Q71" s="87" t="s">
        <v>121</v>
      </c>
      <c r="R71" s="81"/>
      <c r="S71" s="81" t="s">
        <v>121</v>
      </c>
      <c r="T71" s="81" t="s">
        <v>121</v>
      </c>
      <c r="U71" s="84" t="s">
        <v>121</v>
      </c>
    </row>
    <row r="72" spans="1:21" ht="13.2">
      <c r="A72" s="56" t="s">
        <v>155</v>
      </c>
      <c r="B72" s="80"/>
      <c r="C72" s="81">
        <v>3</v>
      </c>
      <c r="D72" s="82" t="s">
        <v>729</v>
      </c>
      <c r="E72" s="87">
        <v>99.1</v>
      </c>
      <c r="F72" s="81" t="s">
        <v>696</v>
      </c>
      <c r="G72" s="81">
        <v>1</v>
      </c>
      <c r="H72" s="81" t="s">
        <v>121</v>
      </c>
      <c r="I72" s="84" t="s">
        <v>121</v>
      </c>
      <c r="J72" s="85"/>
      <c r="K72" s="85"/>
      <c r="L72" s="85"/>
      <c r="M72" s="86"/>
      <c r="N72" s="80"/>
      <c r="O72" s="81" t="s">
        <v>121</v>
      </c>
      <c r="P72" s="82"/>
      <c r="Q72" s="87" t="s">
        <v>121</v>
      </c>
      <c r="R72" s="81"/>
      <c r="S72" s="81" t="s">
        <v>121</v>
      </c>
      <c r="T72" s="81" t="s">
        <v>121</v>
      </c>
      <c r="U72" s="84" t="s">
        <v>121</v>
      </c>
    </row>
    <row r="73" spans="1:21" ht="13.2">
      <c r="A73" s="56" t="s">
        <v>155</v>
      </c>
      <c r="B73" s="80"/>
      <c r="C73" s="81">
        <v>4</v>
      </c>
      <c r="D73" s="82" t="s">
        <v>730</v>
      </c>
      <c r="E73" s="87">
        <v>77.599999999999994</v>
      </c>
      <c r="F73" s="81" t="s">
        <v>696</v>
      </c>
      <c r="G73" s="81" t="s">
        <v>121</v>
      </c>
      <c r="H73" s="81" t="s">
        <v>121</v>
      </c>
      <c r="I73" s="84" t="s">
        <v>123</v>
      </c>
      <c r="J73" s="85"/>
      <c r="K73" s="85"/>
      <c r="L73" s="85"/>
      <c r="M73" s="86"/>
      <c r="N73" s="80"/>
      <c r="O73" s="81" t="s">
        <v>121</v>
      </c>
      <c r="P73" s="82"/>
      <c r="Q73" s="87" t="s">
        <v>121</v>
      </c>
      <c r="R73" s="81"/>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30" t="s">
        <v>210</v>
      </c>
      <c r="D80" s="227"/>
      <c r="E80" s="227"/>
      <c r="F80" s="227"/>
      <c r="G80" s="90">
        <v>6</v>
      </c>
      <c r="H80" s="90">
        <v>3</v>
      </c>
      <c r="I80" s="84" t="s">
        <v>121</v>
      </c>
      <c r="J80" s="85"/>
      <c r="K80" s="85"/>
      <c r="L80" s="85"/>
      <c r="M80" s="86"/>
      <c r="N80" s="80"/>
      <c r="O80" s="230" t="s">
        <v>211</v>
      </c>
      <c r="P80" s="227"/>
      <c r="Q80" s="227"/>
      <c r="R80" s="227"/>
      <c r="S80" s="90">
        <v>0</v>
      </c>
      <c r="T80" s="90">
        <v>5</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99"/>
      <c r="C84" s="81">
        <v>1</v>
      </c>
      <c r="D84" s="82" t="s">
        <v>731</v>
      </c>
      <c r="E84" s="83">
        <v>152.6</v>
      </c>
      <c r="F84" s="81" t="s">
        <v>696</v>
      </c>
      <c r="G84" s="81">
        <v>5</v>
      </c>
      <c r="H84" s="81" t="s">
        <v>121</v>
      </c>
      <c r="I84" s="100" t="s">
        <v>121</v>
      </c>
      <c r="J84" s="85"/>
      <c r="K84" s="85"/>
      <c r="L84" s="85"/>
      <c r="M84" s="86"/>
      <c r="N84" s="99"/>
      <c r="O84" s="81">
        <v>1</v>
      </c>
      <c r="P84" s="82" t="s">
        <v>732</v>
      </c>
      <c r="Q84" s="83">
        <v>244.9</v>
      </c>
      <c r="R84" s="81" t="s">
        <v>697</v>
      </c>
      <c r="S84" s="81" t="s">
        <v>121</v>
      </c>
      <c r="T84" s="81">
        <v>5</v>
      </c>
      <c r="U84" s="100" t="s">
        <v>123</v>
      </c>
    </row>
    <row r="85" spans="1:21" ht="13.2">
      <c r="A85" s="56" t="s">
        <v>159</v>
      </c>
      <c r="B85" s="99"/>
      <c r="C85" s="81">
        <v>2</v>
      </c>
      <c r="D85" s="82" t="s">
        <v>733</v>
      </c>
      <c r="E85" s="87">
        <v>152.19999999999999</v>
      </c>
      <c r="F85" s="81" t="s">
        <v>696</v>
      </c>
      <c r="G85" s="81">
        <v>3</v>
      </c>
      <c r="H85" s="81" t="s">
        <v>121</v>
      </c>
      <c r="I85" s="100" t="s">
        <v>121</v>
      </c>
      <c r="J85" s="85"/>
      <c r="K85" s="85"/>
      <c r="L85" s="85"/>
      <c r="M85" s="86"/>
      <c r="N85" s="99"/>
      <c r="O85" s="81">
        <v>2</v>
      </c>
      <c r="P85" s="82" t="s">
        <v>734</v>
      </c>
      <c r="Q85" s="87">
        <v>217.9</v>
      </c>
      <c r="R85" s="81" t="s">
        <v>697</v>
      </c>
      <c r="S85" s="81" t="s">
        <v>121</v>
      </c>
      <c r="T85" s="81">
        <v>3</v>
      </c>
      <c r="U85" s="100" t="s">
        <v>121</v>
      </c>
    </row>
    <row r="86" spans="1:21" ht="13.2">
      <c r="A86" s="56" t="s">
        <v>159</v>
      </c>
      <c r="B86" s="99"/>
      <c r="C86" s="81">
        <v>3</v>
      </c>
      <c r="D86" s="82" t="s">
        <v>735</v>
      </c>
      <c r="E86" s="87">
        <v>140.30000000000001</v>
      </c>
      <c r="F86" s="81" t="s">
        <v>696</v>
      </c>
      <c r="G86" s="81">
        <v>1</v>
      </c>
      <c r="H86" s="81" t="s">
        <v>121</v>
      </c>
      <c r="I86" s="100" t="s">
        <v>121</v>
      </c>
      <c r="J86" s="85"/>
      <c r="K86" s="85"/>
      <c r="L86" s="85"/>
      <c r="M86" s="86"/>
      <c r="N86" s="99"/>
      <c r="O86" s="81">
        <v>3</v>
      </c>
      <c r="P86" s="82" t="s">
        <v>736</v>
      </c>
      <c r="Q86" s="87">
        <v>213.9</v>
      </c>
      <c r="R86" s="81" t="s">
        <v>696</v>
      </c>
      <c r="S86" s="81">
        <v>1</v>
      </c>
      <c r="T86" s="81" t="s">
        <v>121</v>
      </c>
      <c r="U86" s="100" t="s">
        <v>121</v>
      </c>
    </row>
    <row r="87" spans="1:21" ht="13.2">
      <c r="A87" s="56" t="s">
        <v>121</v>
      </c>
      <c r="B87" s="99"/>
      <c r="C87" s="81" t="s">
        <v>121</v>
      </c>
      <c r="D87" s="82"/>
      <c r="E87" s="87" t="s">
        <v>121</v>
      </c>
      <c r="F87" s="81"/>
      <c r="G87" s="81" t="s">
        <v>121</v>
      </c>
      <c r="H87" s="81" t="s">
        <v>121</v>
      </c>
      <c r="I87" s="100" t="s">
        <v>121</v>
      </c>
      <c r="J87" s="85"/>
      <c r="K87" s="85"/>
      <c r="L87" s="85"/>
      <c r="M87" s="86"/>
      <c r="N87" s="99"/>
      <c r="O87" s="81">
        <v>4</v>
      </c>
      <c r="P87" s="82" t="s">
        <v>737</v>
      </c>
      <c r="Q87" s="87">
        <v>210.7</v>
      </c>
      <c r="R87" s="81" t="s">
        <v>697</v>
      </c>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v>5</v>
      </c>
      <c r="P88" s="88" t="s">
        <v>738</v>
      </c>
      <c r="Q88" s="87">
        <v>105</v>
      </c>
      <c r="R88" s="81" t="s">
        <v>696</v>
      </c>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30" t="s">
        <v>220</v>
      </c>
      <c r="D94" s="227"/>
      <c r="E94" s="227"/>
      <c r="F94" s="227"/>
      <c r="G94" s="90">
        <v>9</v>
      </c>
      <c r="H94" s="90">
        <v>0</v>
      </c>
      <c r="I94" s="100" t="s">
        <v>121</v>
      </c>
      <c r="J94" s="85"/>
      <c r="K94" s="85"/>
      <c r="L94" s="85"/>
      <c r="M94" s="86"/>
      <c r="N94" s="99"/>
      <c r="O94" s="230" t="s">
        <v>221</v>
      </c>
      <c r="P94" s="227"/>
      <c r="Q94" s="227"/>
      <c r="R94" s="227"/>
      <c r="S94" s="90">
        <v>1</v>
      </c>
      <c r="T94" s="90">
        <v>8</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739</v>
      </c>
      <c r="R96" s="227"/>
      <c r="S96" s="227"/>
      <c r="T96" s="228"/>
      <c r="U96" s="4" t="s">
        <v>121</v>
      </c>
    </row>
    <row r="97" spans="1:21" ht="13.2">
      <c r="A97" s="56"/>
      <c r="B97" s="4"/>
      <c r="C97" s="249" t="s">
        <v>740</v>
      </c>
      <c r="D97" s="235"/>
      <c r="E97" s="235"/>
      <c r="F97" s="235"/>
      <c r="G97" s="235"/>
      <c r="H97" s="236"/>
      <c r="I97" s="85" t="s">
        <v>121</v>
      </c>
      <c r="J97" s="85"/>
      <c r="K97" s="85"/>
      <c r="L97" s="85"/>
      <c r="M97" s="86"/>
      <c r="N97" s="107"/>
      <c r="O97" s="110" t="s">
        <v>226</v>
      </c>
      <c r="P97" s="111"/>
      <c r="Q97" s="231" t="s">
        <v>741</v>
      </c>
      <c r="R97" s="227"/>
      <c r="S97" s="227"/>
      <c r="T97" s="228"/>
      <c r="U97" s="4"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B99" s="4"/>
      <c r="C99" s="112" t="s">
        <v>228</v>
      </c>
      <c r="D99" s="113"/>
      <c r="E99" s="233" t="s">
        <v>741</v>
      </c>
      <c r="F99" s="227"/>
      <c r="G99" s="227"/>
      <c r="H99" s="228"/>
      <c r="I99" s="85" t="s">
        <v>121</v>
      </c>
      <c r="J99" s="85"/>
      <c r="K99" s="85"/>
      <c r="L99" s="85"/>
      <c r="M99" s="86"/>
      <c r="N99" s="107"/>
      <c r="O99" s="112" t="s">
        <v>229</v>
      </c>
      <c r="P99" s="113"/>
      <c r="Q99" s="233" t="s">
        <v>742</v>
      </c>
      <c r="R99" s="227"/>
      <c r="S99" s="227"/>
      <c r="T99" s="228"/>
      <c r="U99" s="4"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B101" s="4"/>
      <c r="C101" s="273" t="s">
        <v>743</v>
      </c>
      <c r="D101" s="235"/>
      <c r="E101" s="235"/>
      <c r="F101" s="235"/>
      <c r="G101" s="235"/>
      <c r="H101" s="236"/>
      <c r="I101" s="4" t="s">
        <v>121</v>
      </c>
      <c r="J101" s="4"/>
      <c r="K101" s="4"/>
      <c r="L101" s="4"/>
      <c r="M101" s="71"/>
      <c r="N101" s="109"/>
      <c r="O101" s="234" t="s">
        <v>744</v>
      </c>
      <c r="P101" s="235"/>
      <c r="Q101" s="235"/>
      <c r="R101" s="235"/>
      <c r="S101" s="235"/>
      <c r="T101" s="236"/>
      <c r="U101" s="4"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14"/>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129"/>
      <c r="C109" s="251" t="s">
        <v>130</v>
      </c>
      <c r="D109" s="227"/>
      <c r="E109" s="252" t="s">
        <v>692</v>
      </c>
      <c r="F109" s="227"/>
      <c r="G109" s="228"/>
      <c r="H109" s="130" t="s">
        <v>745</v>
      </c>
      <c r="I109" s="131" t="s">
        <v>121</v>
      </c>
      <c r="J109" s="132"/>
      <c r="K109" s="132"/>
      <c r="L109" s="132"/>
      <c r="M109" s="133"/>
      <c r="N109" s="48"/>
      <c r="O109" s="244" t="s">
        <v>132</v>
      </c>
      <c r="P109" s="227"/>
      <c r="Q109" s="245" t="s">
        <v>693</v>
      </c>
      <c r="R109" s="227"/>
      <c r="S109" s="228"/>
      <c r="T109" s="134" t="s">
        <v>746</v>
      </c>
      <c r="U109" s="135" t="s">
        <v>121</v>
      </c>
    </row>
    <row r="110" spans="1:21" ht="17.399999999999999">
      <c r="A110" s="56"/>
      <c r="B110" s="136"/>
      <c r="C110" s="253" t="s">
        <v>1</v>
      </c>
      <c r="D110" s="228"/>
      <c r="E110" s="254">
        <v>33</v>
      </c>
      <c r="F110" s="227"/>
      <c r="G110" s="227"/>
      <c r="H110" s="137"/>
      <c r="I110" s="131" t="s">
        <v>121</v>
      </c>
      <c r="J110" s="138"/>
      <c r="K110" s="138"/>
      <c r="L110" s="138"/>
      <c r="M110" s="139"/>
      <c r="N110" s="48"/>
      <c r="O110" s="246" t="s">
        <v>1</v>
      </c>
      <c r="P110" s="228"/>
      <c r="Q110" s="247">
        <v>35</v>
      </c>
      <c r="R110" s="227"/>
      <c r="S110" s="227"/>
      <c r="T110" s="140"/>
      <c r="U110" s="135"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B113" s="4"/>
      <c r="C113" s="62" t="s">
        <v>147</v>
      </c>
      <c r="D113" s="63" t="s">
        <v>148</v>
      </c>
      <c r="E113" s="57"/>
      <c r="F113" s="57"/>
      <c r="G113" s="64">
        <v>4</v>
      </c>
      <c r="H113" s="65">
        <v>5</v>
      </c>
      <c r="I113" s="55" t="s">
        <v>121</v>
      </c>
      <c r="J113" s="55"/>
      <c r="K113" s="55"/>
      <c r="L113" s="55"/>
      <c r="M113" s="61"/>
      <c r="N113" s="4"/>
      <c r="O113" s="62" t="s">
        <v>149</v>
      </c>
      <c r="P113" s="63" t="s">
        <v>150</v>
      </c>
      <c r="Q113" s="57"/>
      <c r="R113" s="57"/>
      <c r="S113" s="64">
        <v>4</v>
      </c>
      <c r="T113" s="65">
        <v>5</v>
      </c>
      <c r="U113" s="55" t="s">
        <v>121</v>
      </c>
    </row>
    <row r="114" spans="1:21" ht="13.2">
      <c r="A114" s="56"/>
      <c r="B114" s="4"/>
      <c r="C114" s="62" t="s">
        <v>151</v>
      </c>
      <c r="D114" s="63" t="s">
        <v>152</v>
      </c>
      <c r="E114" s="57"/>
      <c r="F114" s="57"/>
      <c r="G114" s="64">
        <v>0</v>
      </c>
      <c r="H114" s="65">
        <v>8</v>
      </c>
      <c r="I114" s="55" t="s">
        <v>121</v>
      </c>
      <c r="J114" s="55"/>
      <c r="K114" s="55"/>
      <c r="L114" s="55"/>
      <c r="M114" s="61"/>
      <c r="N114" s="4"/>
      <c r="O114" s="62" t="s">
        <v>153</v>
      </c>
      <c r="P114" s="63" t="s">
        <v>154</v>
      </c>
      <c r="Q114" s="57"/>
      <c r="R114" s="57"/>
      <c r="S114" s="64">
        <v>6</v>
      </c>
      <c r="T114" s="65">
        <v>3</v>
      </c>
      <c r="U114" s="55" t="s">
        <v>121</v>
      </c>
    </row>
    <row r="115" spans="1:21" ht="13.2">
      <c r="A115" s="56"/>
      <c r="B115" s="4"/>
      <c r="C115" s="62" t="s">
        <v>155</v>
      </c>
      <c r="D115" s="63" t="s">
        <v>156</v>
      </c>
      <c r="E115" s="57"/>
      <c r="F115" s="57"/>
      <c r="G115" s="64">
        <v>3</v>
      </c>
      <c r="H115" s="65">
        <v>6</v>
      </c>
      <c r="I115" s="55" t="s">
        <v>121</v>
      </c>
      <c r="J115" s="55"/>
      <c r="K115" s="55"/>
      <c r="L115" s="55"/>
      <c r="M115" s="61"/>
      <c r="N115" s="4"/>
      <c r="O115" s="62" t="s">
        <v>157</v>
      </c>
      <c r="P115" s="63" t="s">
        <v>158</v>
      </c>
      <c r="Q115" s="57"/>
      <c r="R115" s="57"/>
      <c r="S115" s="64">
        <v>8</v>
      </c>
      <c r="T115" s="65">
        <v>0</v>
      </c>
      <c r="U115" s="55" t="s">
        <v>121</v>
      </c>
    </row>
    <row r="116" spans="1:21" ht="13.2">
      <c r="A116" s="56"/>
      <c r="B116" s="4"/>
      <c r="C116" s="62" t="s">
        <v>159</v>
      </c>
      <c r="D116" s="63" t="s">
        <v>160</v>
      </c>
      <c r="E116" s="57"/>
      <c r="F116" s="57"/>
      <c r="G116" s="64">
        <v>8</v>
      </c>
      <c r="H116" s="65">
        <v>0</v>
      </c>
      <c r="I116" s="55" t="s">
        <v>121</v>
      </c>
      <c r="J116" s="55"/>
      <c r="K116" s="55"/>
      <c r="L116" s="55"/>
      <c r="M116" s="61"/>
      <c r="N116" s="4"/>
      <c r="O116" s="62" t="s">
        <v>161</v>
      </c>
      <c r="P116" s="63" t="s">
        <v>162</v>
      </c>
      <c r="Q116" s="57"/>
      <c r="R116" s="57"/>
      <c r="S116" s="64">
        <v>0</v>
      </c>
      <c r="T116" s="65">
        <v>8</v>
      </c>
      <c r="U116" s="55" t="s">
        <v>121</v>
      </c>
    </row>
    <row r="117" spans="1:21" ht="13.2">
      <c r="A117" s="56"/>
      <c r="B117" s="4"/>
      <c r="C117" s="66"/>
      <c r="D117" s="67" t="s">
        <v>163</v>
      </c>
      <c r="E117" s="68"/>
      <c r="F117" s="68"/>
      <c r="G117" s="69">
        <v>15</v>
      </c>
      <c r="H117" s="70">
        <v>19</v>
      </c>
      <c r="I117" s="55" t="s">
        <v>121</v>
      </c>
      <c r="J117" s="55"/>
      <c r="K117" s="55"/>
      <c r="L117" s="55"/>
      <c r="M117" s="61"/>
      <c r="N117" s="4"/>
      <c r="O117" s="66"/>
      <c r="P117" s="67" t="s">
        <v>163</v>
      </c>
      <c r="Q117" s="68"/>
      <c r="R117" s="68"/>
      <c r="S117" s="69">
        <v>18</v>
      </c>
      <c r="T117" s="70">
        <v>16</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80"/>
      <c r="C122" s="81">
        <v>1</v>
      </c>
      <c r="D122" s="82" t="s">
        <v>747</v>
      </c>
      <c r="E122" s="83">
        <v>76.75</v>
      </c>
      <c r="F122" s="81" t="s">
        <v>746</v>
      </c>
      <c r="G122" s="81" t="s">
        <v>121</v>
      </c>
      <c r="H122" s="81">
        <v>5</v>
      </c>
      <c r="I122" s="84" t="s">
        <v>121</v>
      </c>
      <c r="J122" s="85"/>
      <c r="K122" s="85"/>
      <c r="L122" s="85"/>
      <c r="M122" s="86"/>
      <c r="N122" s="80"/>
      <c r="O122" s="81">
        <v>1</v>
      </c>
      <c r="P122" s="82" t="s">
        <v>748</v>
      </c>
      <c r="Q122" s="83">
        <v>51.1</v>
      </c>
      <c r="R122" s="81" t="s">
        <v>746</v>
      </c>
      <c r="S122" s="81" t="s">
        <v>121</v>
      </c>
      <c r="T122" s="81">
        <v>5</v>
      </c>
      <c r="U122" s="84" t="s">
        <v>121</v>
      </c>
    </row>
    <row r="123" spans="1:21" ht="13.2">
      <c r="A123" s="56" t="s">
        <v>147</v>
      </c>
      <c r="B123" s="80"/>
      <c r="C123" s="81">
        <v>2</v>
      </c>
      <c r="D123" s="82" t="s">
        <v>749</v>
      </c>
      <c r="E123" s="87">
        <v>66.3</v>
      </c>
      <c r="F123" s="81" t="s">
        <v>745</v>
      </c>
      <c r="G123" s="81">
        <v>3</v>
      </c>
      <c r="H123" s="81" t="s">
        <v>121</v>
      </c>
      <c r="I123" s="84" t="s">
        <v>121</v>
      </c>
      <c r="J123" s="85"/>
      <c r="K123" s="85"/>
      <c r="L123" s="85"/>
      <c r="M123" s="86"/>
      <c r="N123" s="80"/>
      <c r="O123" s="81">
        <v>2</v>
      </c>
      <c r="P123" s="82" t="s">
        <v>750</v>
      </c>
      <c r="Q123" s="87">
        <v>50.55</v>
      </c>
      <c r="R123" s="81" t="s">
        <v>745</v>
      </c>
      <c r="S123" s="81">
        <v>3</v>
      </c>
      <c r="T123" s="81" t="s">
        <v>121</v>
      </c>
      <c r="U123" s="84" t="s">
        <v>121</v>
      </c>
    </row>
    <row r="124" spans="1:21" ht="13.2">
      <c r="A124" s="56" t="s">
        <v>147</v>
      </c>
      <c r="B124" s="80"/>
      <c r="C124" s="81">
        <v>3</v>
      </c>
      <c r="D124" s="82" t="s">
        <v>751</v>
      </c>
      <c r="E124" s="87">
        <v>64.849999999999994</v>
      </c>
      <c r="F124" s="81" t="s">
        <v>745</v>
      </c>
      <c r="G124" s="81">
        <v>1</v>
      </c>
      <c r="H124" s="81" t="s">
        <v>121</v>
      </c>
      <c r="I124" s="84" t="s">
        <v>121</v>
      </c>
      <c r="J124" s="85"/>
      <c r="K124" s="85"/>
      <c r="L124" s="85"/>
      <c r="M124" s="86"/>
      <c r="N124" s="80"/>
      <c r="O124" s="81">
        <v>3</v>
      </c>
      <c r="P124" s="82" t="s">
        <v>752</v>
      </c>
      <c r="Q124" s="87">
        <v>47.25</v>
      </c>
      <c r="R124" s="81" t="s">
        <v>745</v>
      </c>
      <c r="S124" s="81">
        <v>1</v>
      </c>
      <c r="T124" s="81" t="s">
        <v>121</v>
      </c>
      <c r="U124" s="84" t="s">
        <v>121</v>
      </c>
    </row>
    <row r="125" spans="1:21" ht="13.2">
      <c r="A125" s="56" t="s">
        <v>147</v>
      </c>
      <c r="B125" s="80"/>
      <c r="C125" s="81">
        <v>4</v>
      </c>
      <c r="D125" s="82" t="s">
        <v>753</v>
      </c>
      <c r="E125" s="87">
        <v>62.5</v>
      </c>
      <c r="F125" s="81" t="s">
        <v>746</v>
      </c>
      <c r="G125" s="81" t="s">
        <v>121</v>
      </c>
      <c r="H125" s="81" t="s">
        <v>121</v>
      </c>
      <c r="I125" s="84" t="s">
        <v>121</v>
      </c>
      <c r="J125" s="85"/>
      <c r="K125" s="85"/>
      <c r="L125" s="85"/>
      <c r="M125" s="86"/>
      <c r="N125" s="80"/>
      <c r="O125" s="81">
        <v>4</v>
      </c>
      <c r="P125" s="82" t="s">
        <v>754</v>
      </c>
      <c r="Q125" s="87">
        <v>42.85</v>
      </c>
      <c r="R125" s="81" t="s">
        <v>745</v>
      </c>
      <c r="S125" s="81" t="s">
        <v>121</v>
      </c>
      <c r="T125" s="81" t="s">
        <v>121</v>
      </c>
      <c r="U125" s="84" t="s">
        <v>121</v>
      </c>
    </row>
    <row r="126" spans="1:21" ht="13.2">
      <c r="A126" s="56" t="s">
        <v>147</v>
      </c>
      <c r="B126" s="80"/>
      <c r="C126" s="81">
        <v>5</v>
      </c>
      <c r="D126" s="82" t="s">
        <v>755</v>
      </c>
      <c r="E126" s="87">
        <v>57.9</v>
      </c>
      <c r="F126" s="81" t="s">
        <v>745</v>
      </c>
      <c r="G126" s="81" t="s">
        <v>121</v>
      </c>
      <c r="H126" s="81" t="s">
        <v>121</v>
      </c>
      <c r="I126" s="84" t="s">
        <v>121</v>
      </c>
      <c r="J126" s="85"/>
      <c r="K126" s="85"/>
      <c r="L126" s="85"/>
      <c r="M126" s="86"/>
      <c r="N126" s="80"/>
      <c r="O126" s="81" t="s">
        <v>121</v>
      </c>
      <c r="P126" s="82"/>
      <c r="Q126" s="87" t="s">
        <v>121</v>
      </c>
      <c r="R126" s="81"/>
      <c r="S126" s="81" t="s">
        <v>121</v>
      </c>
      <c r="T126" s="81" t="s">
        <v>121</v>
      </c>
      <c r="U126" s="84" t="s">
        <v>121</v>
      </c>
    </row>
    <row r="127" spans="1:21" ht="13.2">
      <c r="A127" s="56" t="s">
        <v>147</v>
      </c>
      <c r="B127" s="80"/>
      <c r="C127" s="81">
        <v>6</v>
      </c>
      <c r="D127" s="82" t="s">
        <v>756</v>
      </c>
      <c r="E127" s="87">
        <v>55.8</v>
      </c>
      <c r="F127" s="81" t="s">
        <v>746</v>
      </c>
      <c r="G127" s="81" t="s">
        <v>121</v>
      </c>
      <c r="H127" s="81" t="s">
        <v>121</v>
      </c>
      <c r="I127" s="84" t="s">
        <v>121</v>
      </c>
      <c r="J127" s="85"/>
      <c r="K127" s="85"/>
      <c r="L127" s="85"/>
      <c r="M127" s="86"/>
      <c r="N127" s="80"/>
      <c r="O127" s="81" t="s">
        <v>121</v>
      </c>
      <c r="P127" s="82"/>
      <c r="Q127" s="87" t="s">
        <v>121</v>
      </c>
      <c r="R127" s="81"/>
      <c r="S127" s="81" t="s">
        <v>121</v>
      </c>
      <c r="T127" s="81" t="s">
        <v>121</v>
      </c>
      <c r="U127" s="84" t="s">
        <v>121</v>
      </c>
    </row>
    <row r="128" spans="1:21" ht="13.2">
      <c r="A128" s="56" t="s">
        <v>147</v>
      </c>
      <c r="B128" s="80"/>
      <c r="C128" s="81">
        <v>7</v>
      </c>
      <c r="D128" s="82" t="s">
        <v>757</v>
      </c>
      <c r="E128" s="87">
        <v>54.5</v>
      </c>
      <c r="F128" s="81" t="s">
        <v>746</v>
      </c>
      <c r="G128" s="81" t="s">
        <v>121</v>
      </c>
      <c r="H128" s="81" t="s">
        <v>121</v>
      </c>
      <c r="I128" s="84" t="s">
        <v>121</v>
      </c>
      <c r="J128" s="85"/>
      <c r="K128" s="85"/>
      <c r="L128" s="85"/>
      <c r="M128" s="86"/>
      <c r="N128" s="80"/>
      <c r="O128" s="81" t="s">
        <v>121</v>
      </c>
      <c r="P128" s="82"/>
      <c r="Q128" s="87" t="s">
        <v>121</v>
      </c>
      <c r="R128" s="81"/>
      <c r="S128" s="81" t="s">
        <v>121</v>
      </c>
      <c r="T128" s="81" t="s">
        <v>121</v>
      </c>
      <c r="U128" s="84" t="s">
        <v>121</v>
      </c>
    </row>
    <row r="129" spans="1:21" ht="13.2">
      <c r="A129" s="56" t="s">
        <v>147</v>
      </c>
      <c r="B129" s="80"/>
      <c r="C129" s="81">
        <v>8</v>
      </c>
      <c r="D129" s="88" t="s">
        <v>758</v>
      </c>
      <c r="E129" s="87">
        <v>45.6</v>
      </c>
      <c r="F129" s="81" t="s">
        <v>746</v>
      </c>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147</v>
      </c>
      <c r="B130" s="80"/>
      <c r="C130" s="81">
        <v>9</v>
      </c>
      <c r="D130" s="88" t="s">
        <v>759</v>
      </c>
      <c r="E130" s="87">
        <v>43.2</v>
      </c>
      <c r="F130" s="81" t="s">
        <v>745</v>
      </c>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121</v>
      </c>
      <c r="B131" s="80"/>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4</v>
      </c>
      <c r="H147" s="90">
        <v>5</v>
      </c>
      <c r="I147" s="84" t="s">
        <v>121</v>
      </c>
      <c r="J147" s="85"/>
      <c r="K147" s="85"/>
      <c r="L147" s="85"/>
      <c r="M147" s="86"/>
      <c r="N147" s="80"/>
      <c r="O147" s="230" t="s">
        <v>185</v>
      </c>
      <c r="P147" s="227"/>
      <c r="Q147" s="227"/>
      <c r="R147" s="227"/>
      <c r="S147" s="90">
        <v>4</v>
      </c>
      <c r="T147" s="90">
        <v>5</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13.2">
      <c r="A151" s="56" t="s">
        <v>151</v>
      </c>
      <c r="B151" s="99"/>
      <c r="C151" s="81">
        <v>1</v>
      </c>
      <c r="D151" s="82" t="s">
        <v>760</v>
      </c>
      <c r="E151" s="83">
        <v>121.15</v>
      </c>
      <c r="F151" s="81" t="s">
        <v>746</v>
      </c>
      <c r="G151" s="81" t="s">
        <v>121</v>
      </c>
      <c r="H151" s="81">
        <v>5</v>
      </c>
      <c r="I151" s="100" t="s">
        <v>121</v>
      </c>
      <c r="J151" s="85"/>
      <c r="K151" s="85"/>
      <c r="L151" s="85"/>
      <c r="M151" s="86"/>
      <c r="N151" s="99"/>
      <c r="O151" s="81">
        <v>1</v>
      </c>
      <c r="P151" s="82" t="s">
        <v>761</v>
      </c>
      <c r="Q151" s="83">
        <v>127.15</v>
      </c>
      <c r="R151" s="81" t="s">
        <v>745</v>
      </c>
      <c r="S151" s="81">
        <v>5</v>
      </c>
      <c r="T151" s="81" t="s">
        <v>121</v>
      </c>
      <c r="U151" s="100" t="s">
        <v>121</v>
      </c>
    </row>
    <row r="152" spans="1:21" ht="13.2">
      <c r="A152" s="56" t="s">
        <v>151</v>
      </c>
      <c r="B152" s="99"/>
      <c r="C152" s="81">
        <v>2</v>
      </c>
      <c r="D152" s="82" t="s">
        <v>762</v>
      </c>
      <c r="E152" s="87">
        <v>89.15</v>
      </c>
      <c r="F152" s="81" t="s">
        <v>746</v>
      </c>
      <c r="G152" s="81" t="s">
        <v>121</v>
      </c>
      <c r="H152" s="81">
        <v>3</v>
      </c>
      <c r="I152" s="100" t="s">
        <v>121</v>
      </c>
      <c r="J152" s="85"/>
      <c r="K152" s="85"/>
      <c r="L152" s="85"/>
      <c r="M152" s="86"/>
      <c r="N152" s="99"/>
      <c r="O152" s="81">
        <v>2</v>
      </c>
      <c r="P152" s="82" t="s">
        <v>763</v>
      </c>
      <c r="Q152" s="87">
        <v>102.5</v>
      </c>
      <c r="R152" s="81" t="s">
        <v>746</v>
      </c>
      <c r="S152" s="81" t="s">
        <v>121</v>
      </c>
      <c r="T152" s="81">
        <v>3</v>
      </c>
      <c r="U152" s="100" t="s">
        <v>121</v>
      </c>
    </row>
    <row r="153" spans="1:21" ht="13.2">
      <c r="A153" s="56" t="s">
        <v>121</v>
      </c>
      <c r="B153" s="99"/>
      <c r="C153" s="81" t="s">
        <v>121</v>
      </c>
      <c r="D153" s="82"/>
      <c r="E153" s="87" t="s">
        <v>121</v>
      </c>
      <c r="F153" s="81"/>
      <c r="G153" s="81" t="s">
        <v>121</v>
      </c>
      <c r="H153" s="81" t="s">
        <v>121</v>
      </c>
      <c r="I153" s="100" t="s">
        <v>121</v>
      </c>
      <c r="J153" s="85"/>
      <c r="K153" s="85"/>
      <c r="L153" s="85"/>
      <c r="M153" s="86"/>
      <c r="N153" s="99"/>
      <c r="O153" s="81">
        <v>3</v>
      </c>
      <c r="P153" s="82" t="s">
        <v>764</v>
      </c>
      <c r="Q153" s="87">
        <v>84.7</v>
      </c>
      <c r="R153" s="81" t="s">
        <v>745</v>
      </c>
      <c r="S153" s="81">
        <v>1</v>
      </c>
      <c r="T153" s="81" t="s">
        <v>121</v>
      </c>
      <c r="U153" s="100" t="s">
        <v>121</v>
      </c>
    </row>
    <row r="154" spans="1:21" ht="13.2">
      <c r="A154" s="56" t="s">
        <v>121</v>
      </c>
      <c r="B154" s="99"/>
      <c r="C154" s="81" t="s">
        <v>121</v>
      </c>
      <c r="D154" s="82"/>
      <c r="E154" s="87" t="s">
        <v>121</v>
      </c>
      <c r="F154" s="81"/>
      <c r="G154" s="81" t="s">
        <v>121</v>
      </c>
      <c r="H154" s="81" t="s">
        <v>121</v>
      </c>
      <c r="I154" s="100" t="s">
        <v>121</v>
      </c>
      <c r="J154" s="85"/>
      <c r="K154" s="85"/>
      <c r="L154" s="85"/>
      <c r="M154" s="86"/>
      <c r="N154" s="99"/>
      <c r="O154" s="81">
        <v>4</v>
      </c>
      <c r="P154" s="82" t="s">
        <v>765</v>
      </c>
      <c r="Q154" s="87">
        <v>69.599999999999994</v>
      </c>
      <c r="R154" s="81" t="s">
        <v>745</v>
      </c>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0</v>
      </c>
      <c r="H166" s="90">
        <v>8</v>
      </c>
      <c r="I166" s="100" t="s">
        <v>121</v>
      </c>
      <c r="J166" s="85"/>
      <c r="K166" s="85"/>
      <c r="L166" s="85"/>
      <c r="M166" s="86"/>
      <c r="N166" s="99"/>
      <c r="O166" s="230" t="s">
        <v>200</v>
      </c>
      <c r="P166" s="227"/>
      <c r="Q166" s="227"/>
      <c r="R166" s="228"/>
      <c r="S166" s="90">
        <v>6</v>
      </c>
      <c r="T166" s="90">
        <v>3</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155</v>
      </c>
      <c r="B170" s="80"/>
      <c r="C170" s="81">
        <v>1</v>
      </c>
      <c r="D170" s="82" t="s">
        <v>766</v>
      </c>
      <c r="E170" s="83">
        <v>145.05000000000001</v>
      </c>
      <c r="F170" s="81" t="s">
        <v>746</v>
      </c>
      <c r="G170" s="81" t="s">
        <v>121</v>
      </c>
      <c r="H170" s="81">
        <v>5</v>
      </c>
      <c r="I170" s="84" t="s">
        <v>121</v>
      </c>
      <c r="J170" s="85"/>
      <c r="K170" s="85"/>
      <c r="L170" s="85"/>
      <c r="M170" s="86"/>
      <c r="N170" s="80"/>
      <c r="O170" s="81">
        <v>1</v>
      </c>
      <c r="P170" s="82" t="s">
        <v>767</v>
      </c>
      <c r="Q170" s="83">
        <v>143.85</v>
      </c>
      <c r="R170" s="81" t="s">
        <v>745</v>
      </c>
      <c r="S170" s="81">
        <v>5</v>
      </c>
      <c r="T170" s="81" t="s">
        <v>121</v>
      </c>
      <c r="U170" s="84" t="s">
        <v>121</v>
      </c>
    </row>
    <row r="171" spans="1:21" ht="13.2">
      <c r="A171" s="56" t="s">
        <v>155</v>
      </c>
      <c r="B171" s="80"/>
      <c r="C171" s="81">
        <v>2</v>
      </c>
      <c r="D171" s="82" t="s">
        <v>768</v>
      </c>
      <c r="E171" s="87">
        <v>144.4</v>
      </c>
      <c r="F171" s="81" t="s">
        <v>745</v>
      </c>
      <c r="G171" s="81">
        <v>3</v>
      </c>
      <c r="H171" s="81" t="s">
        <v>121</v>
      </c>
      <c r="I171" s="84" t="s">
        <v>121</v>
      </c>
      <c r="J171" s="85"/>
      <c r="K171" s="85"/>
      <c r="L171" s="85"/>
      <c r="M171" s="86"/>
      <c r="N171" s="80"/>
      <c r="O171" s="81">
        <v>2</v>
      </c>
      <c r="P171" s="82" t="s">
        <v>769</v>
      </c>
      <c r="Q171" s="87">
        <v>127.75</v>
      </c>
      <c r="R171" s="81" t="s">
        <v>745</v>
      </c>
      <c r="S171" s="81">
        <v>3</v>
      </c>
      <c r="T171" s="81" t="s">
        <v>121</v>
      </c>
      <c r="U171" s="84" t="s">
        <v>121</v>
      </c>
    </row>
    <row r="172" spans="1:21" ht="13.2">
      <c r="A172" s="56" t="s">
        <v>155</v>
      </c>
      <c r="B172" s="80"/>
      <c r="C172" s="81">
        <v>3</v>
      </c>
      <c r="D172" s="82" t="s">
        <v>770</v>
      </c>
      <c r="E172" s="87">
        <v>119.75</v>
      </c>
      <c r="F172" s="81" t="s">
        <v>746</v>
      </c>
      <c r="G172" s="81" t="s">
        <v>121</v>
      </c>
      <c r="H172" s="81">
        <v>1</v>
      </c>
      <c r="I172" s="84" t="s">
        <v>121</v>
      </c>
      <c r="J172" s="85"/>
      <c r="K172" s="85"/>
      <c r="L172" s="85"/>
      <c r="M172" s="86"/>
      <c r="N172" s="80"/>
      <c r="O172" s="81" t="s">
        <v>121</v>
      </c>
      <c r="P172" s="82"/>
      <c r="Q172" s="87" t="s">
        <v>121</v>
      </c>
      <c r="R172" s="81"/>
      <c r="S172" s="81" t="s">
        <v>121</v>
      </c>
      <c r="T172" s="81" t="s">
        <v>121</v>
      </c>
      <c r="U172" s="84" t="s">
        <v>121</v>
      </c>
    </row>
    <row r="173" spans="1:21" ht="13.2">
      <c r="A173" s="56" t="s">
        <v>121</v>
      </c>
      <c r="B173" s="80"/>
      <c r="C173" s="81" t="s">
        <v>121</v>
      </c>
      <c r="D173" s="82"/>
      <c r="E173" s="87" t="s">
        <v>121</v>
      </c>
      <c r="F173" s="81"/>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3</v>
      </c>
      <c r="H180" s="90">
        <v>6</v>
      </c>
      <c r="I180" s="84" t="s">
        <v>121</v>
      </c>
      <c r="J180" s="85"/>
      <c r="K180" s="85"/>
      <c r="L180" s="85"/>
      <c r="M180" s="86"/>
      <c r="N180" s="80"/>
      <c r="O180" s="230" t="s">
        <v>211</v>
      </c>
      <c r="P180" s="227"/>
      <c r="Q180" s="227"/>
      <c r="R180" s="227"/>
      <c r="S180" s="90">
        <v>8</v>
      </c>
      <c r="T180" s="90">
        <v>0</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99"/>
      <c r="C184" s="81">
        <v>1</v>
      </c>
      <c r="D184" s="82" t="s">
        <v>771</v>
      </c>
      <c r="E184" s="83">
        <v>185.15</v>
      </c>
      <c r="F184" s="81" t="s">
        <v>745</v>
      </c>
      <c r="G184" s="81">
        <v>5</v>
      </c>
      <c r="H184" s="81" t="s">
        <v>121</v>
      </c>
      <c r="I184" s="100" t="s">
        <v>121</v>
      </c>
      <c r="J184" s="85"/>
      <c r="K184" s="85"/>
      <c r="L184" s="85"/>
      <c r="M184" s="86"/>
      <c r="N184" s="99"/>
      <c r="O184" s="81">
        <v>1</v>
      </c>
      <c r="P184" s="82" t="s">
        <v>772</v>
      </c>
      <c r="Q184" s="83">
        <v>177.15</v>
      </c>
      <c r="R184" s="81" t="s">
        <v>746</v>
      </c>
      <c r="S184" s="81" t="s">
        <v>121</v>
      </c>
      <c r="T184" s="81">
        <v>5</v>
      </c>
      <c r="U184" s="100" t="s">
        <v>121</v>
      </c>
    </row>
    <row r="185" spans="1:21" ht="13.2">
      <c r="A185" s="56" t="s">
        <v>159</v>
      </c>
      <c r="B185" s="99"/>
      <c r="C185" s="81">
        <v>2</v>
      </c>
      <c r="D185" s="82" t="s">
        <v>773</v>
      </c>
      <c r="E185" s="87">
        <v>176.65</v>
      </c>
      <c r="F185" s="81" t="s">
        <v>745</v>
      </c>
      <c r="G185" s="81">
        <v>3</v>
      </c>
      <c r="H185" s="81" t="s">
        <v>121</v>
      </c>
      <c r="I185" s="100" t="s">
        <v>121</v>
      </c>
      <c r="J185" s="85"/>
      <c r="K185" s="85"/>
      <c r="L185" s="85"/>
      <c r="M185" s="86"/>
      <c r="N185" s="99"/>
      <c r="O185" s="81">
        <v>2</v>
      </c>
      <c r="P185" s="82" t="s">
        <v>774</v>
      </c>
      <c r="Q185" s="87">
        <v>150.44999999999999</v>
      </c>
      <c r="R185" s="81" t="s">
        <v>746</v>
      </c>
      <c r="S185" s="81" t="s">
        <v>121</v>
      </c>
      <c r="T185" s="81">
        <v>3</v>
      </c>
      <c r="U185" s="100" t="s">
        <v>121</v>
      </c>
    </row>
    <row r="186" spans="1:21" ht="13.2">
      <c r="A186" s="56" t="s">
        <v>121</v>
      </c>
      <c r="B186" s="99"/>
      <c r="C186" s="81" t="s">
        <v>121</v>
      </c>
      <c r="D186" s="82"/>
      <c r="E186" s="87" t="s">
        <v>121</v>
      </c>
      <c r="F186" s="81"/>
      <c r="G186" s="81" t="s">
        <v>121</v>
      </c>
      <c r="H186" s="81" t="s">
        <v>121</v>
      </c>
      <c r="I186" s="100" t="s">
        <v>121</v>
      </c>
      <c r="J186" s="85"/>
      <c r="K186" s="85"/>
      <c r="L186" s="85"/>
      <c r="M186" s="86"/>
      <c r="N186" s="99"/>
      <c r="O186" s="81" t="s">
        <v>121</v>
      </c>
      <c r="P186" s="82"/>
      <c r="Q186" s="87" t="s">
        <v>121</v>
      </c>
      <c r="R186" s="81"/>
      <c r="S186" s="81" t="s">
        <v>121</v>
      </c>
      <c r="T186" s="81" t="s">
        <v>121</v>
      </c>
      <c r="U186" s="100" t="s">
        <v>121</v>
      </c>
    </row>
    <row r="187" spans="1:21" ht="13.2">
      <c r="A187" s="56" t="s">
        <v>121</v>
      </c>
      <c r="B187" s="99"/>
      <c r="C187" s="81" t="s">
        <v>121</v>
      </c>
      <c r="D187" s="82"/>
      <c r="E187" s="87" t="s">
        <v>121</v>
      </c>
      <c r="F187" s="81"/>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8</v>
      </c>
      <c r="H194" s="90">
        <v>0</v>
      </c>
      <c r="I194" s="100" t="s">
        <v>121</v>
      </c>
      <c r="J194" s="85"/>
      <c r="K194" s="85"/>
      <c r="L194" s="85"/>
      <c r="M194" s="86"/>
      <c r="N194" s="99"/>
      <c r="O194" s="230" t="s">
        <v>221</v>
      </c>
      <c r="P194" s="227"/>
      <c r="Q194" s="227"/>
      <c r="R194" s="227"/>
      <c r="S194" s="90">
        <v>0</v>
      </c>
      <c r="T194" s="90">
        <v>8</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775</v>
      </c>
      <c r="R196" s="227"/>
      <c r="S196" s="227"/>
      <c r="T196" s="228"/>
      <c r="U196" s="4" t="s">
        <v>121</v>
      </c>
    </row>
    <row r="197" spans="1:21" ht="13.2">
      <c r="A197" s="56"/>
      <c r="B197" s="4"/>
      <c r="C197" s="249" t="s">
        <v>776</v>
      </c>
      <c r="D197" s="235"/>
      <c r="E197" s="235"/>
      <c r="F197" s="235"/>
      <c r="G197" s="235"/>
      <c r="H197" s="236"/>
      <c r="I197" s="85" t="s">
        <v>121</v>
      </c>
      <c r="J197" s="85"/>
      <c r="K197" s="85"/>
      <c r="L197" s="85"/>
      <c r="M197" s="86"/>
      <c r="N197" s="107"/>
      <c r="O197" s="110" t="s">
        <v>226</v>
      </c>
      <c r="P197" s="111"/>
      <c r="Q197" s="231" t="s">
        <v>777</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777</v>
      </c>
      <c r="F199" s="227"/>
      <c r="G199" s="227"/>
      <c r="H199" s="228"/>
      <c r="I199" s="85" t="s">
        <v>121</v>
      </c>
      <c r="J199" s="85"/>
      <c r="K199" s="85"/>
      <c r="L199" s="85"/>
      <c r="M199" s="86"/>
      <c r="N199" s="107"/>
      <c r="O199" s="112" t="s">
        <v>229</v>
      </c>
      <c r="P199" s="113"/>
      <c r="Q199" s="233" t="s">
        <v>778</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73" t="s">
        <v>779</v>
      </c>
      <c r="D201" s="235"/>
      <c r="E201" s="235"/>
      <c r="F201" s="235"/>
      <c r="G201" s="235"/>
      <c r="H201" s="236"/>
      <c r="I201" s="4" t="s">
        <v>121</v>
      </c>
      <c r="J201" s="4"/>
      <c r="K201" s="4"/>
      <c r="L201" s="4"/>
      <c r="M201" s="71"/>
      <c r="N201" s="109"/>
      <c r="O201" s="234" t="s">
        <v>780</v>
      </c>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129"/>
      <c r="C209" s="251" t="s">
        <v>130</v>
      </c>
      <c r="D209" s="227"/>
      <c r="E209" s="252" t="s">
        <v>694</v>
      </c>
      <c r="F209" s="227"/>
      <c r="G209" s="228"/>
      <c r="H209" s="130" t="s">
        <v>781</v>
      </c>
      <c r="I209" s="131" t="s">
        <v>121</v>
      </c>
      <c r="J209" s="132"/>
      <c r="K209" s="132"/>
      <c r="L209" s="132"/>
      <c r="M209" s="133"/>
      <c r="N209" s="48"/>
      <c r="O209" s="244" t="s">
        <v>132</v>
      </c>
      <c r="P209" s="227"/>
      <c r="Q209" s="245" t="s">
        <v>695</v>
      </c>
      <c r="R209" s="227"/>
      <c r="S209" s="228"/>
      <c r="T209" s="134" t="s">
        <v>782</v>
      </c>
      <c r="U209" s="135" t="s">
        <v>121</v>
      </c>
    </row>
    <row r="210" spans="1:21" ht="17.399999999999999">
      <c r="A210" s="56"/>
      <c r="B210" s="136"/>
      <c r="C210" s="253" t="s">
        <v>1</v>
      </c>
      <c r="D210" s="228"/>
      <c r="E210" s="254">
        <v>30</v>
      </c>
      <c r="F210" s="227"/>
      <c r="G210" s="227"/>
      <c r="H210" s="137"/>
      <c r="I210" s="131" t="s">
        <v>121</v>
      </c>
      <c r="J210" s="138"/>
      <c r="K210" s="138"/>
      <c r="L210" s="138"/>
      <c r="M210" s="139"/>
      <c r="N210" s="48"/>
      <c r="O210" s="246" t="s">
        <v>1</v>
      </c>
      <c r="P210" s="228"/>
      <c r="Q210" s="247">
        <v>42</v>
      </c>
      <c r="R210" s="227"/>
      <c r="S210" s="227"/>
      <c r="T210" s="140"/>
      <c r="U210" s="135"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B213" s="4"/>
      <c r="C213" s="62" t="s">
        <v>147</v>
      </c>
      <c r="D213" s="63" t="s">
        <v>148</v>
      </c>
      <c r="E213" s="57"/>
      <c r="F213" s="57"/>
      <c r="G213" s="64">
        <v>0</v>
      </c>
      <c r="H213" s="65">
        <v>9</v>
      </c>
      <c r="I213" s="55" t="s">
        <v>121</v>
      </c>
      <c r="J213" s="55"/>
      <c r="K213" s="55"/>
      <c r="L213" s="55"/>
      <c r="M213" s="61"/>
      <c r="N213" s="4"/>
      <c r="O213" s="62" t="s">
        <v>149</v>
      </c>
      <c r="P213" s="63" t="s">
        <v>150</v>
      </c>
      <c r="Q213" s="57"/>
      <c r="R213" s="57"/>
      <c r="S213" s="64">
        <v>6</v>
      </c>
      <c r="T213" s="65">
        <v>3</v>
      </c>
      <c r="U213" s="55" t="s">
        <v>121</v>
      </c>
    </row>
    <row r="214" spans="1:21" ht="13.2">
      <c r="A214" s="56"/>
      <c r="B214" s="4"/>
      <c r="C214" s="62" t="s">
        <v>151</v>
      </c>
      <c r="D214" s="63" t="s">
        <v>152</v>
      </c>
      <c r="E214" s="57"/>
      <c r="F214" s="57"/>
      <c r="G214" s="64">
        <v>0</v>
      </c>
      <c r="H214" s="65">
        <v>9</v>
      </c>
      <c r="I214" s="55" t="s">
        <v>121</v>
      </c>
      <c r="J214" s="55"/>
      <c r="K214" s="55"/>
      <c r="L214" s="55"/>
      <c r="M214" s="61"/>
      <c r="N214" s="4"/>
      <c r="O214" s="62" t="s">
        <v>153</v>
      </c>
      <c r="P214" s="63" t="s">
        <v>154</v>
      </c>
      <c r="Q214" s="57"/>
      <c r="R214" s="57"/>
      <c r="S214" s="64">
        <v>5</v>
      </c>
      <c r="T214" s="65">
        <v>4</v>
      </c>
      <c r="U214" s="55" t="s">
        <v>121</v>
      </c>
    </row>
    <row r="215" spans="1:21" ht="13.2">
      <c r="A215" s="56"/>
      <c r="B215" s="4"/>
      <c r="C215" s="62" t="s">
        <v>155</v>
      </c>
      <c r="D215" s="63" t="s">
        <v>156</v>
      </c>
      <c r="E215" s="57"/>
      <c r="F215" s="57"/>
      <c r="G215" s="64">
        <v>9</v>
      </c>
      <c r="H215" s="65">
        <v>0</v>
      </c>
      <c r="I215" s="55" t="s">
        <v>121</v>
      </c>
      <c r="J215" s="55"/>
      <c r="K215" s="55"/>
      <c r="L215" s="55"/>
      <c r="M215" s="61"/>
      <c r="N215" s="4"/>
      <c r="O215" s="62" t="s">
        <v>157</v>
      </c>
      <c r="P215" s="63" t="s">
        <v>158</v>
      </c>
      <c r="Q215" s="57"/>
      <c r="R215" s="57"/>
      <c r="S215" s="64">
        <v>3</v>
      </c>
      <c r="T215" s="65">
        <v>6</v>
      </c>
      <c r="U215" s="55" t="s">
        <v>121</v>
      </c>
    </row>
    <row r="216" spans="1:21" ht="13.2">
      <c r="A216" s="56"/>
      <c r="B216" s="4"/>
      <c r="C216" s="62" t="s">
        <v>159</v>
      </c>
      <c r="D216" s="63" t="s">
        <v>160</v>
      </c>
      <c r="E216" s="57"/>
      <c r="F216" s="57"/>
      <c r="G216" s="64">
        <v>6</v>
      </c>
      <c r="H216" s="65">
        <v>3</v>
      </c>
      <c r="I216" s="55" t="s">
        <v>121</v>
      </c>
      <c r="J216" s="55"/>
      <c r="K216" s="55"/>
      <c r="L216" s="55"/>
      <c r="M216" s="61"/>
      <c r="N216" s="4"/>
      <c r="O216" s="62" t="s">
        <v>161</v>
      </c>
      <c r="P216" s="63" t="s">
        <v>162</v>
      </c>
      <c r="Q216" s="57"/>
      <c r="R216" s="57"/>
      <c r="S216" s="64">
        <v>1</v>
      </c>
      <c r="T216" s="65">
        <v>8</v>
      </c>
      <c r="U216" s="55" t="s">
        <v>121</v>
      </c>
    </row>
    <row r="217" spans="1:21" ht="13.2">
      <c r="A217" s="56"/>
      <c r="B217" s="4"/>
      <c r="C217" s="66"/>
      <c r="D217" s="67" t="s">
        <v>163</v>
      </c>
      <c r="E217" s="68"/>
      <c r="F217" s="68"/>
      <c r="G217" s="69">
        <v>15</v>
      </c>
      <c r="H217" s="70">
        <v>21</v>
      </c>
      <c r="I217" s="55" t="s">
        <v>121</v>
      </c>
      <c r="J217" s="55"/>
      <c r="K217" s="55"/>
      <c r="L217" s="55"/>
      <c r="M217" s="61"/>
      <c r="N217" s="4"/>
      <c r="O217" s="66"/>
      <c r="P217" s="67" t="s">
        <v>163</v>
      </c>
      <c r="Q217" s="68"/>
      <c r="R217" s="68"/>
      <c r="S217" s="69">
        <v>15</v>
      </c>
      <c r="T217" s="70">
        <v>21</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80"/>
      <c r="C222" s="81">
        <v>1</v>
      </c>
      <c r="D222" s="82" t="s">
        <v>783</v>
      </c>
      <c r="E222" s="83">
        <v>67.2</v>
      </c>
      <c r="F222" s="81" t="s">
        <v>782</v>
      </c>
      <c r="G222" s="81" t="s">
        <v>121</v>
      </c>
      <c r="H222" s="81">
        <v>5</v>
      </c>
      <c r="I222" s="84" t="s">
        <v>121</v>
      </c>
      <c r="J222" s="85"/>
      <c r="K222" s="85"/>
      <c r="L222" s="85"/>
      <c r="M222" s="86"/>
      <c r="N222" s="80"/>
      <c r="O222" s="81">
        <v>1</v>
      </c>
      <c r="P222" s="82" t="s">
        <v>784</v>
      </c>
      <c r="Q222" s="83">
        <v>74.75</v>
      </c>
      <c r="R222" s="81" t="s">
        <v>781</v>
      </c>
      <c r="S222" s="81">
        <v>5</v>
      </c>
      <c r="T222" s="81" t="s">
        <v>121</v>
      </c>
      <c r="U222" s="84" t="s">
        <v>121</v>
      </c>
    </row>
    <row r="223" spans="1:21" ht="13.2">
      <c r="A223" s="56" t="s">
        <v>147</v>
      </c>
      <c r="B223" s="80"/>
      <c r="C223" s="81">
        <v>2</v>
      </c>
      <c r="D223" s="82" t="s">
        <v>785</v>
      </c>
      <c r="E223" s="87">
        <v>53.05</v>
      </c>
      <c r="F223" s="81" t="s">
        <v>782</v>
      </c>
      <c r="G223" s="81" t="s">
        <v>121</v>
      </c>
      <c r="H223" s="81">
        <v>3</v>
      </c>
      <c r="I223" s="84" t="s">
        <v>121</v>
      </c>
      <c r="J223" s="85"/>
      <c r="K223" s="85"/>
      <c r="L223" s="85"/>
      <c r="M223" s="86"/>
      <c r="N223" s="80"/>
      <c r="O223" s="81">
        <v>2</v>
      </c>
      <c r="P223" s="82" t="s">
        <v>786</v>
      </c>
      <c r="Q223" s="87">
        <v>56.05</v>
      </c>
      <c r="R223" s="81" t="s">
        <v>782</v>
      </c>
      <c r="S223" s="81" t="s">
        <v>121</v>
      </c>
      <c r="T223" s="81">
        <v>3</v>
      </c>
      <c r="U223" s="84" t="s">
        <v>121</v>
      </c>
    </row>
    <row r="224" spans="1:21" ht="13.2">
      <c r="A224" s="56" t="s">
        <v>147</v>
      </c>
      <c r="B224" s="80"/>
      <c r="C224" s="81">
        <v>3</v>
      </c>
      <c r="D224" s="82" t="s">
        <v>787</v>
      </c>
      <c r="E224" s="87">
        <v>52.75</v>
      </c>
      <c r="F224" s="81" t="s">
        <v>782</v>
      </c>
      <c r="G224" s="81" t="s">
        <v>121</v>
      </c>
      <c r="H224" s="81">
        <v>1</v>
      </c>
      <c r="I224" s="84" t="s">
        <v>121</v>
      </c>
      <c r="J224" s="85"/>
      <c r="K224" s="85"/>
      <c r="L224" s="85"/>
      <c r="M224" s="86"/>
      <c r="N224" s="80"/>
      <c r="O224" s="81">
        <v>3</v>
      </c>
      <c r="P224" s="82" t="s">
        <v>788</v>
      </c>
      <c r="Q224" s="87">
        <v>53.55</v>
      </c>
      <c r="R224" s="81" t="s">
        <v>781</v>
      </c>
      <c r="S224" s="81">
        <v>1</v>
      </c>
      <c r="T224" s="81" t="s">
        <v>121</v>
      </c>
      <c r="U224" s="84" t="s">
        <v>121</v>
      </c>
    </row>
    <row r="225" spans="1:21" ht="13.2">
      <c r="A225" s="56" t="s">
        <v>147</v>
      </c>
      <c r="B225" s="80"/>
      <c r="C225" s="81">
        <v>4</v>
      </c>
      <c r="D225" s="82" t="s">
        <v>789</v>
      </c>
      <c r="E225" s="87">
        <v>49.8</v>
      </c>
      <c r="F225" s="81" t="s">
        <v>781</v>
      </c>
      <c r="G225" s="81" t="s">
        <v>121</v>
      </c>
      <c r="H225" s="81" t="s">
        <v>121</v>
      </c>
      <c r="I225" s="84" t="s">
        <v>121</v>
      </c>
      <c r="J225" s="85"/>
      <c r="K225" s="85"/>
      <c r="L225" s="85"/>
      <c r="M225" s="86"/>
      <c r="N225" s="80"/>
      <c r="O225" s="81">
        <v>4</v>
      </c>
      <c r="P225" s="82" t="s">
        <v>790</v>
      </c>
      <c r="Q225" s="87">
        <v>48.45</v>
      </c>
      <c r="R225" s="81" t="s">
        <v>782</v>
      </c>
      <c r="S225" s="81" t="s">
        <v>121</v>
      </c>
      <c r="T225" s="81" t="s">
        <v>121</v>
      </c>
      <c r="U225" s="84" t="s">
        <v>121</v>
      </c>
    </row>
    <row r="226" spans="1:21" ht="13.2">
      <c r="A226" s="56" t="s">
        <v>147</v>
      </c>
      <c r="B226" s="80"/>
      <c r="C226" s="81">
        <v>5</v>
      </c>
      <c r="D226" s="82" t="s">
        <v>791</v>
      </c>
      <c r="E226" s="87">
        <v>47.55</v>
      </c>
      <c r="F226" s="81" t="s">
        <v>781</v>
      </c>
      <c r="G226" s="81" t="s">
        <v>121</v>
      </c>
      <c r="H226" s="81" t="s">
        <v>121</v>
      </c>
      <c r="I226" s="84" t="s">
        <v>121</v>
      </c>
      <c r="J226" s="85"/>
      <c r="K226" s="85"/>
      <c r="L226" s="85"/>
      <c r="M226" s="86"/>
      <c r="N226" s="80"/>
      <c r="O226" s="81">
        <v>5</v>
      </c>
      <c r="P226" s="82" t="s">
        <v>792</v>
      </c>
      <c r="Q226" s="87">
        <v>47.15</v>
      </c>
      <c r="R226" s="81" t="s">
        <v>782</v>
      </c>
      <c r="S226" s="81" t="s">
        <v>121</v>
      </c>
      <c r="T226" s="81" t="s">
        <v>121</v>
      </c>
      <c r="U226" s="84" t="s">
        <v>121</v>
      </c>
    </row>
    <row r="227" spans="1:21" ht="13.2">
      <c r="A227" s="56" t="s">
        <v>147</v>
      </c>
      <c r="B227" s="80"/>
      <c r="C227" s="81">
        <v>6</v>
      </c>
      <c r="D227" s="82" t="s">
        <v>793</v>
      </c>
      <c r="E227" s="87">
        <v>42.25</v>
      </c>
      <c r="F227" s="81" t="s">
        <v>782</v>
      </c>
      <c r="G227" s="81" t="s">
        <v>121</v>
      </c>
      <c r="H227" s="81" t="s">
        <v>121</v>
      </c>
      <c r="I227" s="84" t="s">
        <v>121</v>
      </c>
      <c r="J227" s="85"/>
      <c r="K227" s="85"/>
      <c r="L227" s="85"/>
      <c r="M227" s="86"/>
      <c r="N227" s="80"/>
      <c r="O227" s="81">
        <v>6</v>
      </c>
      <c r="P227" s="82" t="s">
        <v>794</v>
      </c>
      <c r="Q227" s="87">
        <v>44.9</v>
      </c>
      <c r="R227" s="81" t="s">
        <v>781</v>
      </c>
      <c r="S227" s="81" t="s">
        <v>121</v>
      </c>
      <c r="T227" s="81" t="s">
        <v>121</v>
      </c>
      <c r="U227" s="84" t="s">
        <v>121</v>
      </c>
    </row>
    <row r="228" spans="1:21" ht="26.4">
      <c r="A228" s="56" t="s">
        <v>147</v>
      </c>
      <c r="B228" s="80"/>
      <c r="C228" s="81">
        <v>7</v>
      </c>
      <c r="D228" s="82" t="s">
        <v>795</v>
      </c>
      <c r="E228" s="87">
        <v>39.4</v>
      </c>
      <c r="F228" s="81" t="s">
        <v>781</v>
      </c>
      <c r="G228" s="81" t="s">
        <v>121</v>
      </c>
      <c r="H228" s="81" t="s">
        <v>121</v>
      </c>
      <c r="I228" s="84" t="s">
        <v>121</v>
      </c>
      <c r="J228" s="85"/>
      <c r="K228" s="85"/>
      <c r="L228" s="85"/>
      <c r="M228" s="86"/>
      <c r="N228" s="80"/>
      <c r="O228" s="81">
        <v>7</v>
      </c>
      <c r="P228" s="82" t="s">
        <v>796</v>
      </c>
      <c r="Q228" s="87">
        <v>36.85</v>
      </c>
      <c r="R228" s="81" t="s">
        <v>782</v>
      </c>
      <c r="S228" s="81" t="s">
        <v>121</v>
      </c>
      <c r="T228" s="81" t="s">
        <v>121</v>
      </c>
      <c r="U228" s="84" t="s">
        <v>121</v>
      </c>
    </row>
    <row r="229" spans="1:21" ht="13.2">
      <c r="A229" s="56" t="s">
        <v>147</v>
      </c>
      <c r="B229" s="80"/>
      <c r="C229" s="81">
        <v>8</v>
      </c>
      <c r="D229" s="88" t="s">
        <v>797</v>
      </c>
      <c r="E229" s="87">
        <v>31.1</v>
      </c>
      <c r="F229" s="81" t="s">
        <v>782</v>
      </c>
      <c r="G229" s="81" t="s">
        <v>121</v>
      </c>
      <c r="H229" s="81" t="s">
        <v>121</v>
      </c>
      <c r="I229" s="84" t="s">
        <v>121</v>
      </c>
      <c r="J229" s="85"/>
      <c r="K229" s="85"/>
      <c r="L229" s="85"/>
      <c r="M229" s="86"/>
      <c r="N229" s="80"/>
      <c r="O229" s="81">
        <v>8</v>
      </c>
      <c r="P229" s="82" t="s">
        <v>798</v>
      </c>
      <c r="Q229" s="87">
        <v>30.7</v>
      </c>
      <c r="R229" s="81" t="s">
        <v>782</v>
      </c>
      <c r="S229" s="81" t="s">
        <v>121</v>
      </c>
      <c r="T229" s="81" t="s">
        <v>121</v>
      </c>
      <c r="U229" s="84" t="s">
        <v>121</v>
      </c>
    </row>
    <row r="230" spans="1:21" ht="13.2">
      <c r="A230" s="56" t="s">
        <v>147</v>
      </c>
      <c r="B230" s="80"/>
      <c r="C230" s="81">
        <v>9</v>
      </c>
      <c r="D230" s="88" t="s">
        <v>799</v>
      </c>
      <c r="E230" s="87">
        <v>30.8</v>
      </c>
      <c r="F230" s="81" t="s">
        <v>782</v>
      </c>
      <c r="G230" s="81" t="s">
        <v>121</v>
      </c>
      <c r="H230" s="81" t="s">
        <v>121</v>
      </c>
      <c r="I230" s="84" t="s">
        <v>121</v>
      </c>
      <c r="J230" s="85"/>
      <c r="K230" s="85"/>
      <c r="L230" s="85"/>
      <c r="M230" s="86"/>
      <c r="N230" s="80"/>
      <c r="O230" s="81">
        <v>9</v>
      </c>
      <c r="P230" s="82" t="s">
        <v>800</v>
      </c>
      <c r="Q230" s="87">
        <v>28.4</v>
      </c>
      <c r="R230" s="81" t="s">
        <v>781</v>
      </c>
      <c r="S230" s="81" t="s">
        <v>121</v>
      </c>
      <c r="T230" s="81" t="s">
        <v>121</v>
      </c>
      <c r="U230" s="84" t="s">
        <v>121</v>
      </c>
    </row>
    <row r="231" spans="1:21" ht="13.2">
      <c r="A231" s="56" t="s">
        <v>147</v>
      </c>
      <c r="B231" s="80"/>
      <c r="C231" s="81">
        <v>10</v>
      </c>
      <c r="D231" s="88" t="s">
        <v>801</v>
      </c>
      <c r="E231" s="87">
        <v>29.45</v>
      </c>
      <c r="F231" s="81" t="s">
        <v>782</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121</v>
      </c>
      <c r="B232" s="80"/>
      <c r="C232" s="81" t="s">
        <v>121</v>
      </c>
      <c r="D232" s="88"/>
      <c r="E232" s="87" t="s">
        <v>121</v>
      </c>
      <c r="F232" s="81"/>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0</v>
      </c>
      <c r="H247" s="90">
        <v>9</v>
      </c>
      <c r="I247" s="84" t="s">
        <v>121</v>
      </c>
      <c r="J247" s="85"/>
      <c r="K247" s="85"/>
      <c r="L247" s="85"/>
      <c r="M247" s="86"/>
      <c r="N247" s="80"/>
      <c r="O247" s="230" t="s">
        <v>185</v>
      </c>
      <c r="P247" s="227"/>
      <c r="Q247" s="227"/>
      <c r="R247" s="227"/>
      <c r="S247" s="90">
        <v>6</v>
      </c>
      <c r="T247" s="90">
        <v>3</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99"/>
      <c r="C251" s="81">
        <v>1</v>
      </c>
      <c r="D251" s="82" t="s">
        <v>802</v>
      </c>
      <c r="E251" s="83">
        <v>98.35</v>
      </c>
      <c r="F251" s="81" t="s">
        <v>782</v>
      </c>
      <c r="G251" s="81" t="s">
        <v>121</v>
      </c>
      <c r="H251" s="81">
        <v>5</v>
      </c>
      <c r="I251" s="100" t="s">
        <v>121</v>
      </c>
      <c r="J251" s="85"/>
      <c r="K251" s="85"/>
      <c r="L251" s="85"/>
      <c r="M251" s="86"/>
      <c r="N251" s="99"/>
      <c r="O251" s="81">
        <v>1</v>
      </c>
      <c r="P251" s="82" t="s">
        <v>803</v>
      </c>
      <c r="Q251" s="83">
        <v>94.55</v>
      </c>
      <c r="R251" s="81" t="s">
        <v>781</v>
      </c>
      <c r="S251" s="81">
        <v>5</v>
      </c>
      <c r="T251" s="81" t="s">
        <v>121</v>
      </c>
      <c r="U251" s="100" t="s">
        <v>121</v>
      </c>
    </row>
    <row r="252" spans="1:21" ht="13.2">
      <c r="A252" s="56" t="s">
        <v>151</v>
      </c>
      <c r="B252" s="99"/>
      <c r="C252" s="81">
        <v>2</v>
      </c>
      <c r="D252" s="82" t="s">
        <v>804</v>
      </c>
      <c r="E252" s="87">
        <v>82.8</v>
      </c>
      <c r="F252" s="81" t="s">
        <v>782</v>
      </c>
      <c r="G252" s="81" t="s">
        <v>121</v>
      </c>
      <c r="H252" s="81">
        <v>3</v>
      </c>
      <c r="I252" s="100" t="s">
        <v>121</v>
      </c>
      <c r="J252" s="85"/>
      <c r="K252" s="85"/>
      <c r="L252" s="85"/>
      <c r="M252" s="86"/>
      <c r="N252" s="99"/>
      <c r="O252" s="81">
        <v>2</v>
      </c>
      <c r="P252" s="82" t="s">
        <v>805</v>
      </c>
      <c r="Q252" s="87">
        <v>84.05</v>
      </c>
      <c r="R252" s="81" t="s">
        <v>782</v>
      </c>
      <c r="S252" s="81" t="s">
        <v>121</v>
      </c>
      <c r="T252" s="81">
        <v>3</v>
      </c>
      <c r="U252" s="100" t="s">
        <v>121</v>
      </c>
    </row>
    <row r="253" spans="1:21" ht="13.2">
      <c r="A253" s="56" t="s">
        <v>151</v>
      </c>
      <c r="B253" s="99"/>
      <c r="C253" s="81">
        <v>3</v>
      </c>
      <c r="D253" s="82" t="s">
        <v>806</v>
      </c>
      <c r="E253" s="87">
        <v>77.8</v>
      </c>
      <c r="F253" s="81" t="s">
        <v>782</v>
      </c>
      <c r="G253" s="81" t="s">
        <v>121</v>
      </c>
      <c r="H253" s="81">
        <v>1</v>
      </c>
      <c r="I253" s="100" t="s">
        <v>121</v>
      </c>
      <c r="J253" s="85"/>
      <c r="K253" s="85"/>
      <c r="L253" s="85"/>
      <c r="M253" s="86"/>
      <c r="N253" s="99"/>
      <c r="O253" s="81">
        <v>3</v>
      </c>
      <c r="P253" s="82" t="s">
        <v>807</v>
      </c>
      <c r="Q253" s="87">
        <v>57.8</v>
      </c>
      <c r="R253" s="81" t="s">
        <v>782</v>
      </c>
      <c r="S253" s="81" t="s">
        <v>121</v>
      </c>
      <c r="T253" s="81">
        <v>1</v>
      </c>
      <c r="U253" s="100" t="s">
        <v>121</v>
      </c>
    </row>
    <row r="254" spans="1:21" ht="13.2">
      <c r="A254" s="56" t="s">
        <v>151</v>
      </c>
      <c r="B254" s="99"/>
      <c r="C254" s="81">
        <v>4</v>
      </c>
      <c r="D254" s="82" t="s">
        <v>808</v>
      </c>
      <c r="E254" s="87">
        <v>67.8</v>
      </c>
      <c r="F254" s="81" t="s">
        <v>781</v>
      </c>
      <c r="G254" s="81" t="s">
        <v>121</v>
      </c>
      <c r="H254" s="81" t="s">
        <v>121</v>
      </c>
      <c r="I254" s="100" t="s">
        <v>123</v>
      </c>
      <c r="J254" s="85"/>
      <c r="K254" s="85"/>
      <c r="L254" s="85"/>
      <c r="M254" s="86"/>
      <c r="N254" s="99"/>
      <c r="O254" s="81" t="s">
        <v>121</v>
      </c>
      <c r="P254" s="82"/>
      <c r="Q254" s="87" t="s">
        <v>121</v>
      </c>
      <c r="R254" s="81"/>
      <c r="S254" s="81" t="s">
        <v>121</v>
      </c>
      <c r="T254" s="81" t="s">
        <v>121</v>
      </c>
      <c r="U254" s="100" t="s">
        <v>121</v>
      </c>
    </row>
    <row r="255" spans="1:21" ht="13.2">
      <c r="A255" s="56" t="s">
        <v>151</v>
      </c>
      <c r="B255" s="99"/>
      <c r="C255" s="81">
        <v>5</v>
      </c>
      <c r="D255" s="82" t="s">
        <v>809</v>
      </c>
      <c r="E255" s="87">
        <v>53.05</v>
      </c>
      <c r="F255" s="81" t="s">
        <v>781</v>
      </c>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151</v>
      </c>
      <c r="B256" s="99"/>
      <c r="C256" s="81">
        <v>6</v>
      </c>
      <c r="D256" s="82" t="s">
        <v>810</v>
      </c>
      <c r="E256" s="87">
        <v>48.1</v>
      </c>
      <c r="F256" s="81" t="s">
        <v>781</v>
      </c>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0</v>
      </c>
      <c r="H266" s="90">
        <v>9</v>
      </c>
      <c r="I266" s="100" t="s">
        <v>121</v>
      </c>
      <c r="J266" s="85"/>
      <c r="K266" s="85"/>
      <c r="L266" s="85"/>
      <c r="M266" s="86"/>
      <c r="N266" s="99"/>
      <c r="O266" s="230" t="s">
        <v>200</v>
      </c>
      <c r="P266" s="227"/>
      <c r="Q266" s="227"/>
      <c r="R266" s="228"/>
      <c r="S266" s="90">
        <v>5</v>
      </c>
      <c r="T266" s="90">
        <v>4</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80"/>
      <c r="C270" s="81">
        <v>1</v>
      </c>
      <c r="D270" s="82" t="s">
        <v>811</v>
      </c>
      <c r="E270" s="83">
        <v>83.05</v>
      </c>
      <c r="F270" s="81" t="s">
        <v>781</v>
      </c>
      <c r="G270" s="81">
        <v>5</v>
      </c>
      <c r="H270" s="81" t="s">
        <v>121</v>
      </c>
      <c r="I270" s="84" t="s">
        <v>121</v>
      </c>
      <c r="J270" s="85"/>
      <c r="K270" s="85"/>
      <c r="L270" s="85"/>
      <c r="M270" s="86"/>
      <c r="N270" s="80"/>
      <c r="O270" s="81">
        <v>1</v>
      </c>
      <c r="P270" s="82" t="s">
        <v>812</v>
      </c>
      <c r="Q270" s="83">
        <v>125.15</v>
      </c>
      <c r="R270" s="81" t="s">
        <v>782</v>
      </c>
      <c r="S270" s="81" t="s">
        <v>121</v>
      </c>
      <c r="T270" s="81">
        <v>5</v>
      </c>
      <c r="U270" s="84" t="s">
        <v>121</v>
      </c>
    </row>
    <row r="271" spans="1:21" ht="13.2">
      <c r="A271" s="56" t="s">
        <v>155</v>
      </c>
      <c r="B271" s="80"/>
      <c r="C271" s="81">
        <v>2</v>
      </c>
      <c r="D271" s="82" t="s">
        <v>813</v>
      </c>
      <c r="E271" s="87">
        <v>80.05</v>
      </c>
      <c r="F271" s="81" t="s">
        <v>781</v>
      </c>
      <c r="G271" s="81">
        <v>3</v>
      </c>
      <c r="H271" s="81" t="s">
        <v>121</v>
      </c>
      <c r="I271" s="84" t="s">
        <v>121</v>
      </c>
      <c r="J271" s="85"/>
      <c r="K271" s="85"/>
      <c r="L271" s="85"/>
      <c r="M271" s="86"/>
      <c r="N271" s="80"/>
      <c r="O271" s="81">
        <v>2</v>
      </c>
      <c r="P271" s="82" t="s">
        <v>814</v>
      </c>
      <c r="Q271" s="87">
        <v>124.6</v>
      </c>
      <c r="R271" s="81" t="s">
        <v>781</v>
      </c>
      <c r="S271" s="81">
        <v>3</v>
      </c>
      <c r="T271" s="81" t="s">
        <v>121</v>
      </c>
      <c r="U271" s="84" t="s">
        <v>121</v>
      </c>
    </row>
    <row r="272" spans="1:21" ht="13.2">
      <c r="A272" s="56" t="s">
        <v>155</v>
      </c>
      <c r="B272" s="80"/>
      <c r="C272" s="81">
        <v>3</v>
      </c>
      <c r="D272" s="82" t="s">
        <v>815</v>
      </c>
      <c r="E272" s="87">
        <v>73.650000000000006</v>
      </c>
      <c r="F272" s="81" t="s">
        <v>781</v>
      </c>
      <c r="G272" s="81">
        <v>1</v>
      </c>
      <c r="H272" s="81" t="s">
        <v>121</v>
      </c>
      <c r="I272" s="84" t="s">
        <v>121</v>
      </c>
      <c r="J272" s="85"/>
      <c r="K272" s="85"/>
      <c r="L272" s="85"/>
      <c r="M272" s="86"/>
      <c r="N272" s="80"/>
      <c r="O272" s="81">
        <v>3</v>
      </c>
      <c r="P272" s="82" t="s">
        <v>816</v>
      </c>
      <c r="Q272" s="87">
        <v>123.75</v>
      </c>
      <c r="R272" s="81" t="s">
        <v>782</v>
      </c>
      <c r="S272" s="81" t="s">
        <v>121</v>
      </c>
      <c r="T272" s="81">
        <v>1</v>
      </c>
      <c r="U272" s="84" t="s">
        <v>121</v>
      </c>
    </row>
    <row r="273" spans="1:21" ht="13.2">
      <c r="A273" s="56" t="s">
        <v>155</v>
      </c>
      <c r="B273" s="80"/>
      <c r="C273" s="81">
        <v>4</v>
      </c>
      <c r="D273" s="82" t="s">
        <v>817</v>
      </c>
      <c r="E273" s="87">
        <v>66.2</v>
      </c>
      <c r="F273" s="81" t="s">
        <v>781</v>
      </c>
      <c r="G273" s="81" t="s">
        <v>121</v>
      </c>
      <c r="H273" s="81" t="s">
        <v>121</v>
      </c>
      <c r="I273" s="84" t="s">
        <v>121</v>
      </c>
      <c r="J273" s="85"/>
      <c r="K273" s="85"/>
      <c r="L273" s="85"/>
      <c r="M273" s="86"/>
      <c r="N273" s="80"/>
      <c r="O273" s="81">
        <v>4</v>
      </c>
      <c r="P273" s="82" t="s">
        <v>818</v>
      </c>
      <c r="Q273" s="87">
        <v>91.05</v>
      </c>
      <c r="R273" s="81" t="s">
        <v>782</v>
      </c>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v>5</v>
      </c>
      <c r="P274" s="82" t="s">
        <v>819</v>
      </c>
      <c r="Q274" s="87">
        <v>88.6</v>
      </c>
      <c r="R274" s="81" t="s">
        <v>782</v>
      </c>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v>6</v>
      </c>
      <c r="P275" s="82" t="s">
        <v>820</v>
      </c>
      <c r="Q275" s="87">
        <v>74.2</v>
      </c>
      <c r="R275" s="81" t="s">
        <v>781</v>
      </c>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9</v>
      </c>
      <c r="H280" s="90">
        <v>0</v>
      </c>
      <c r="I280" s="84" t="s">
        <v>121</v>
      </c>
      <c r="J280" s="85"/>
      <c r="K280" s="85"/>
      <c r="L280" s="85"/>
      <c r="M280" s="86"/>
      <c r="N280" s="80"/>
      <c r="O280" s="230" t="s">
        <v>211</v>
      </c>
      <c r="P280" s="227"/>
      <c r="Q280" s="227"/>
      <c r="R280" s="227"/>
      <c r="S280" s="90">
        <v>3</v>
      </c>
      <c r="T280" s="90">
        <v>6</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99"/>
      <c r="C284" s="81">
        <v>1</v>
      </c>
      <c r="D284" s="82" t="s">
        <v>821</v>
      </c>
      <c r="E284" s="83">
        <v>235.3</v>
      </c>
      <c r="F284" s="81" t="s">
        <v>781</v>
      </c>
      <c r="G284" s="81">
        <v>5</v>
      </c>
      <c r="H284" s="81" t="s">
        <v>121</v>
      </c>
      <c r="I284" s="100" t="s">
        <v>121</v>
      </c>
      <c r="J284" s="85"/>
      <c r="K284" s="85"/>
      <c r="L284" s="85"/>
      <c r="M284" s="86"/>
      <c r="N284" s="99"/>
      <c r="O284" s="81">
        <v>1</v>
      </c>
      <c r="P284" s="82" t="s">
        <v>822</v>
      </c>
      <c r="Q284" s="83">
        <v>160.75</v>
      </c>
      <c r="R284" s="81" t="s">
        <v>782</v>
      </c>
      <c r="S284" s="81" t="s">
        <v>121</v>
      </c>
      <c r="T284" s="81">
        <v>5</v>
      </c>
      <c r="U284" s="100" t="s">
        <v>121</v>
      </c>
    </row>
    <row r="285" spans="1:21" ht="13.2">
      <c r="A285" s="56" t="s">
        <v>159</v>
      </c>
      <c r="B285" s="99"/>
      <c r="C285" s="81">
        <v>2</v>
      </c>
      <c r="D285" s="82" t="s">
        <v>823</v>
      </c>
      <c r="E285" s="87">
        <v>179.05</v>
      </c>
      <c r="F285" s="81" t="s">
        <v>782</v>
      </c>
      <c r="G285" s="81" t="s">
        <v>121</v>
      </c>
      <c r="H285" s="81">
        <v>3</v>
      </c>
      <c r="I285" s="100" t="s">
        <v>121</v>
      </c>
      <c r="J285" s="85"/>
      <c r="K285" s="85"/>
      <c r="L285" s="85"/>
      <c r="M285" s="86"/>
      <c r="N285" s="99"/>
      <c r="O285" s="81">
        <v>2</v>
      </c>
      <c r="P285" s="82" t="s">
        <v>824</v>
      </c>
      <c r="Q285" s="87">
        <v>146.85</v>
      </c>
      <c r="R285" s="81" t="s">
        <v>782</v>
      </c>
      <c r="S285" s="81" t="s">
        <v>121</v>
      </c>
      <c r="T285" s="81">
        <v>3</v>
      </c>
      <c r="U285" s="100" t="s">
        <v>121</v>
      </c>
    </row>
    <row r="286" spans="1:21" ht="13.2">
      <c r="A286" s="56" t="s">
        <v>159</v>
      </c>
      <c r="B286" s="99"/>
      <c r="C286" s="81">
        <v>3</v>
      </c>
      <c r="D286" s="82" t="s">
        <v>825</v>
      </c>
      <c r="E286" s="87">
        <v>125.65</v>
      </c>
      <c r="F286" s="81" t="s">
        <v>781</v>
      </c>
      <c r="G286" s="81">
        <v>1</v>
      </c>
      <c r="H286" s="81" t="s">
        <v>121</v>
      </c>
      <c r="I286" s="100" t="s">
        <v>121</v>
      </c>
      <c r="J286" s="85"/>
      <c r="K286" s="85"/>
      <c r="L286" s="85"/>
      <c r="M286" s="86"/>
      <c r="N286" s="99"/>
      <c r="O286" s="81">
        <v>3</v>
      </c>
      <c r="P286" s="82" t="s">
        <v>826</v>
      </c>
      <c r="Q286" s="87">
        <v>145.25</v>
      </c>
      <c r="R286" s="81" t="s">
        <v>781</v>
      </c>
      <c r="S286" s="81">
        <v>1</v>
      </c>
      <c r="T286" s="81" t="s">
        <v>121</v>
      </c>
      <c r="U286" s="100" t="s">
        <v>121</v>
      </c>
    </row>
    <row r="287" spans="1:21" ht="13.2">
      <c r="A287" s="56" t="s">
        <v>159</v>
      </c>
      <c r="B287" s="99"/>
      <c r="C287" s="81">
        <v>4</v>
      </c>
      <c r="D287" s="82" t="s">
        <v>827</v>
      </c>
      <c r="E287" s="87">
        <v>115.8</v>
      </c>
      <c r="F287" s="81" t="s">
        <v>781</v>
      </c>
      <c r="G287" s="81" t="s">
        <v>121</v>
      </c>
      <c r="H287" s="81" t="s">
        <v>121</v>
      </c>
      <c r="I287" s="100" t="s">
        <v>121</v>
      </c>
      <c r="J287" s="85"/>
      <c r="K287" s="85"/>
      <c r="L287" s="85"/>
      <c r="M287" s="86"/>
      <c r="N287" s="99"/>
      <c r="O287" s="81">
        <v>4</v>
      </c>
      <c r="P287" s="82" t="s">
        <v>828</v>
      </c>
      <c r="Q287" s="87">
        <v>138.94999999999999</v>
      </c>
      <c r="R287" s="81" t="s">
        <v>781</v>
      </c>
      <c r="S287" s="81" t="s">
        <v>121</v>
      </c>
      <c r="T287" s="81" t="s">
        <v>121</v>
      </c>
      <c r="U287" s="100" t="s">
        <v>121</v>
      </c>
    </row>
    <row r="288" spans="1:21" ht="13.2">
      <c r="A288" s="56" t="s">
        <v>159</v>
      </c>
      <c r="B288" s="99"/>
      <c r="C288" s="81">
        <v>5</v>
      </c>
      <c r="D288" s="82" t="s">
        <v>829</v>
      </c>
      <c r="E288" s="87">
        <v>111.35</v>
      </c>
      <c r="F288" s="81" t="s">
        <v>781</v>
      </c>
      <c r="G288" s="81" t="s">
        <v>121</v>
      </c>
      <c r="H288" s="81" t="s">
        <v>121</v>
      </c>
      <c r="I288" s="100" t="s">
        <v>121</v>
      </c>
      <c r="J288" s="85"/>
      <c r="K288" s="85"/>
      <c r="L288" s="85"/>
      <c r="M288" s="86"/>
      <c r="N288" s="99"/>
      <c r="O288" s="81">
        <v>5</v>
      </c>
      <c r="P288" s="88" t="s">
        <v>830</v>
      </c>
      <c r="Q288" s="87">
        <v>102.7</v>
      </c>
      <c r="R288" s="81" t="s">
        <v>781</v>
      </c>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6</v>
      </c>
      <c r="H294" s="90">
        <v>3</v>
      </c>
      <c r="I294" s="100" t="s">
        <v>121</v>
      </c>
      <c r="J294" s="85"/>
      <c r="K294" s="85"/>
      <c r="L294" s="85"/>
      <c r="M294" s="86"/>
      <c r="N294" s="99"/>
      <c r="O294" s="230" t="s">
        <v>221</v>
      </c>
      <c r="P294" s="227"/>
      <c r="Q294" s="227"/>
      <c r="R294" s="227"/>
      <c r="S294" s="90">
        <v>1</v>
      </c>
      <c r="T294" s="90">
        <v>8</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831</v>
      </c>
      <c r="R296" s="227"/>
      <c r="S296" s="227"/>
      <c r="T296" s="228"/>
      <c r="U296" s="4" t="s">
        <v>121</v>
      </c>
    </row>
    <row r="297" spans="1:21" ht="13.2">
      <c r="A297" s="56"/>
      <c r="B297" s="4"/>
      <c r="C297" s="249" t="s">
        <v>832</v>
      </c>
      <c r="D297" s="235"/>
      <c r="E297" s="235"/>
      <c r="F297" s="235"/>
      <c r="G297" s="235"/>
      <c r="H297" s="236"/>
      <c r="I297" s="85" t="s">
        <v>121</v>
      </c>
      <c r="J297" s="85"/>
      <c r="K297" s="85"/>
      <c r="L297" s="85"/>
      <c r="M297" s="86"/>
      <c r="N297" s="107"/>
      <c r="O297" s="110" t="s">
        <v>226</v>
      </c>
      <c r="P297" s="111"/>
      <c r="Q297" s="231" t="s">
        <v>833</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831</v>
      </c>
      <c r="F299" s="227"/>
      <c r="G299" s="227"/>
      <c r="H299" s="228"/>
      <c r="I299" s="85" t="s">
        <v>121</v>
      </c>
      <c r="J299" s="85"/>
      <c r="K299" s="85"/>
      <c r="L299" s="85"/>
      <c r="M299" s="86"/>
      <c r="N299" s="107"/>
      <c r="O299" s="112" t="s">
        <v>229</v>
      </c>
      <c r="P299" s="113"/>
      <c r="Q299" s="233" t="s">
        <v>834</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73"/>
      <c r="D301" s="235"/>
      <c r="E301" s="235"/>
      <c r="F301" s="235"/>
      <c r="G301" s="235"/>
      <c r="H301" s="236"/>
      <c r="I301" s="4" t="s">
        <v>121</v>
      </c>
      <c r="J301" s="4"/>
      <c r="K301" s="4"/>
      <c r="L301" s="4"/>
      <c r="M301" s="71"/>
      <c r="N301" s="109"/>
      <c r="O301" s="234"/>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10"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8"/>
      <c r="D1" s="26">
        <v>44383</v>
      </c>
      <c r="E1" s="9"/>
      <c r="F1" s="27" t="s">
        <v>128</v>
      </c>
      <c r="G1" s="10"/>
      <c r="H1" s="9"/>
      <c r="I1" s="11"/>
      <c r="J1" s="11"/>
      <c r="K1" s="11"/>
      <c r="L1" s="11"/>
      <c r="M1" s="11"/>
      <c r="N1" s="11"/>
      <c r="O1" s="11"/>
      <c r="P1" s="11"/>
      <c r="Q1" s="28" t="s">
        <v>0</v>
      </c>
      <c r="R1" s="255">
        <v>5</v>
      </c>
      <c r="S1" s="227"/>
      <c r="T1" s="227"/>
      <c r="U1" s="12"/>
    </row>
    <row r="2" spans="1:21" ht="15.6">
      <c r="B2" s="256" t="s">
        <v>129</v>
      </c>
      <c r="C2" s="226"/>
      <c r="D2" s="13" t="s">
        <v>130</v>
      </c>
      <c r="E2" s="10"/>
      <c r="F2" s="225" t="s">
        <v>1</v>
      </c>
      <c r="G2" s="226"/>
      <c r="H2" s="226"/>
      <c r="I2" s="257" t="s">
        <v>121</v>
      </c>
      <c r="J2" s="226"/>
      <c r="K2" s="226"/>
      <c r="L2" s="9"/>
      <c r="M2" s="9"/>
      <c r="N2" s="9"/>
      <c r="O2" s="9"/>
      <c r="P2" s="13" t="s">
        <v>132</v>
      </c>
      <c r="Q2" s="10"/>
      <c r="R2" s="225" t="s">
        <v>1</v>
      </c>
      <c r="S2" s="226"/>
      <c r="T2" s="226"/>
      <c r="U2" s="10" t="s">
        <v>121</v>
      </c>
    </row>
    <row r="3" spans="1:21">
      <c r="A3" s="29">
        <v>1</v>
      </c>
      <c r="B3" s="30">
        <v>1</v>
      </c>
      <c r="C3" s="9"/>
      <c r="D3" s="258" t="s">
        <v>835</v>
      </c>
      <c r="E3" s="228"/>
      <c r="F3" s="259">
        <v>31</v>
      </c>
      <c r="G3" s="227"/>
      <c r="H3" s="228"/>
      <c r="I3" s="31">
        <v>0</v>
      </c>
      <c r="J3" s="9"/>
      <c r="K3" s="32"/>
      <c r="L3" s="32" t="s">
        <v>3</v>
      </c>
      <c r="M3" s="9"/>
      <c r="N3" s="9"/>
      <c r="O3" s="9"/>
      <c r="P3" s="260" t="s">
        <v>836</v>
      </c>
      <c r="Q3" s="227"/>
      <c r="R3" s="261">
        <v>36</v>
      </c>
      <c r="S3" s="227"/>
      <c r="T3" s="228"/>
      <c r="U3" s="31">
        <v>0</v>
      </c>
    </row>
    <row r="4" spans="1:21">
      <c r="A4" s="29">
        <v>2</v>
      </c>
      <c r="B4" s="30">
        <v>2</v>
      </c>
      <c r="C4" s="16"/>
      <c r="D4" s="258" t="s">
        <v>837</v>
      </c>
      <c r="E4" s="228"/>
      <c r="F4" s="259">
        <v>31</v>
      </c>
      <c r="G4" s="227"/>
      <c r="H4" s="227"/>
      <c r="I4" s="31">
        <v>0</v>
      </c>
      <c r="J4" s="14"/>
      <c r="K4" s="32"/>
      <c r="L4" s="32" t="s">
        <v>3</v>
      </c>
      <c r="M4" s="14"/>
      <c r="N4" s="14"/>
      <c r="O4" s="15"/>
      <c r="P4" s="260" t="s">
        <v>838</v>
      </c>
      <c r="Q4" s="227"/>
      <c r="R4" s="261">
        <v>40</v>
      </c>
      <c r="S4" s="227"/>
      <c r="T4" s="227"/>
      <c r="U4" s="31">
        <v>0</v>
      </c>
    </row>
    <row r="5" spans="1:21">
      <c r="A5" s="29">
        <v>3</v>
      </c>
      <c r="B5" s="30">
        <v>3</v>
      </c>
      <c r="C5" s="16"/>
      <c r="D5" s="264" t="s">
        <v>839</v>
      </c>
      <c r="E5" s="236"/>
      <c r="F5" s="259">
        <v>19</v>
      </c>
      <c r="G5" s="227"/>
      <c r="H5" s="228"/>
      <c r="I5" s="31">
        <v>0</v>
      </c>
      <c r="J5" s="14"/>
      <c r="K5" s="32"/>
      <c r="L5" s="32" t="s">
        <v>3</v>
      </c>
      <c r="M5" s="14"/>
      <c r="N5" s="14"/>
      <c r="O5" s="15"/>
      <c r="P5" s="262" t="s">
        <v>840</v>
      </c>
      <c r="Q5" s="235"/>
      <c r="R5" s="263">
        <v>48</v>
      </c>
      <c r="S5" s="235"/>
      <c r="T5" s="236"/>
      <c r="U5" s="31">
        <v>0</v>
      </c>
    </row>
    <row r="6" spans="1:21">
      <c r="B6" s="33"/>
      <c r="C6" s="8"/>
      <c r="D6" s="34" t="s">
        <v>139</v>
      </c>
      <c r="E6" s="35">
        <v>1</v>
      </c>
      <c r="F6" s="10"/>
      <c r="G6" s="10"/>
      <c r="H6" s="10"/>
      <c r="I6" s="36"/>
      <c r="J6" s="36"/>
      <c r="K6" s="36"/>
      <c r="L6" s="36"/>
      <c r="M6" s="36"/>
      <c r="N6" s="36"/>
      <c r="O6" s="36"/>
      <c r="P6" s="34" t="s">
        <v>140</v>
      </c>
      <c r="Q6" s="267">
        <v>44383</v>
      </c>
      <c r="R6" s="226"/>
      <c r="S6" s="226"/>
      <c r="T6" s="226"/>
      <c r="U6" s="37"/>
    </row>
    <row r="7" spans="1:21">
      <c r="B7" s="38"/>
      <c r="C7" s="7"/>
      <c r="D7" s="39" t="s">
        <v>141</v>
      </c>
      <c r="E7" s="11"/>
      <c r="F7" s="9"/>
      <c r="G7" s="9"/>
      <c r="H7" s="9"/>
      <c r="I7" s="9"/>
      <c r="J7" s="9"/>
      <c r="K7" s="9"/>
      <c r="L7" s="9"/>
      <c r="M7" s="9"/>
      <c r="N7" s="9"/>
      <c r="O7" s="9"/>
      <c r="P7" s="40" t="s">
        <v>2</v>
      </c>
      <c r="Q7" s="268" t="s">
        <v>142</v>
      </c>
      <c r="R7" s="226"/>
      <c r="S7" s="226"/>
      <c r="T7" s="226"/>
      <c r="U7" s="9"/>
    </row>
    <row r="8" spans="1:21">
      <c r="B8" s="41"/>
      <c r="C8" s="42"/>
      <c r="D8" s="11"/>
      <c r="E8" s="11"/>
      <c r="F8" s="9"/>
      <c r="G8" s="9"/>
      <c r="H8" s="9"/>
      <c r="I8" s="9"/>
      <c r="J8" s="9"/>
      <c r="K8" s="9"/>
      <c r="L8" s="9"/>
      <c r="M8" s="9"/>
      <c r="N8" s="9"/>
      <c r="O8" s="9"/>
      <c r="P8" s="11"/>
      <c r="Q8" s="11"/>
      <c r="R8" s="11"/>
      <c r="S8" s="9"/>
      <c r="T8" s="9"/>
      <c r="U8" s="9"/>
    </row>
    <row r="9" spans="1:21" ht="63.6" customHeight="1">
      <c r="B9" s="43"/>
      <c r="C9" s="251" t="s">
        <v>130</v>
      </c>
      <c r="D9" s="227"/>
      <c r="E9" s="265" t="s">
        <v>835</v>
      </c>
      <c r="F9" s="227"/>
      <c r="G9" s="228"/>
      <c r="H9" s="44" t="s">
        <v>841</v>
      </c>
      <c r="I9" s="45"/>
      <c r="J9" s="46"/>
      <c r="K9" s="46"/>
      <c r="L9" s="46"/>
      <c r="M9" s="46"/>
      <c r="N9" s="47"/>
      <c r="O9" s="244" t="s">
        <v>132</v>
      </c>
      <c r="P9" s="227"/>
      <c r="Q9" s="269" t="s">
        <v>836</v>
      </c>
      <c r="R9" s="227"/>
      <c r="S9" s="228"/>
      <c r="T9" s="49" t="s">
        <v>842</v>
      </c>
      <c r="U9" s="50"/>
    </row>
    <row r="10" spans="1:21">
      <c r="B10" s="51"/>
      <c r="C10" s="272" t="s">
        <v>1</v>
      </c>
      <c r="D10" s="228"/>
      <c r="E10" s="266">
        <v>31</v>
      </c>
      <c r="F10" s="227"/>
      <c r="G10" s="227"/>
      <c r="H10" s="52"/>
      <c r="I10" s="45"/>
      <c r="J10" s="53"/>
      <c r="K10" s="53"/>
      <c r="L10" s="53"/>
      <c r="M10" s="53"/>
      <c r="N10" s="47"/>
      <c r="O10" s="270" t="s">
        <v>1</v>
      </c>
      <c r="P10" s="228"/>
      <c r="Q10" s="271">
        <v>36</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B13" s="4"/>
      <c r="C13" s="62" t="s">
        <v>147</v>
      </c>
      <c r="D13" s="63" t="s">
        <v>148</v>
      </c>
      <c r="E13" s="57"/>
      <c r="F13" s="57"/>
      <c r="G13" s="64">
        <v>1</v>
      </c>
      <c r="H13" s="65">
        <v>8</v>
      </c>
      <c r="I13" s="55"/>
      <c r="J13" s="55"/>
      <c r="K13" s="55"/>
      <c r="L13" s="55"/>
      <c r="M13" s="61"/>
      <c r="N13" s="4"/>
      <c r="O13" s="62" t="s">
        <v>149</v>
      </c>
      <c r="P13" s="63" t="s">
        <v>150</v>
      </c>
      <c r="Q13" s="57"/>
      <c r="R13" s="57"/>
      <c r="S13" s="64">
        <v>5</v>
      </c>
      <c r="T13" s="65">
        <v>4</v>
      </c>
      <c r="U13" s="55"/>
    </row>
    <row r="14" spans="1:21" ht="15.75" customHeight="1">
      <c r="A14" s="56"/>
      <c r="B14" s="4"/>
      <c r="C14" s="62" t="s">
        <v>151</v>
      </c>
      <c r="D14" s="63" t="s">
        <v>152</v>
      </c>
      <c r="E14" s="57"/>
      <c r="F14" s="57"/>
      <c r="G14" s="64">
        <v>1</v>
      </c>
      <c r="H14" s="65">
        <v>8</v>
      </c>
      <c r="I14" s="55"/>
      <c r="J14" s="55"/>
      <c r="K14" s="55"/>
      <c r="L14" s="55"/>
      <c r="M14" s="61"/>
      <c r="N14" s="4"/>
      <c r="O14" s="62" t="s">
        <v>153</v>
      </c>
      <c r="P14" s="63" t="s">
        <v>154</v>
      </c>
      <c r="Q14" s="57"/>
      <c r="R14" s="57"/>
      <c r="S14" s="64">
        <v>4</v>
      </c>
      <c r="T14" s="65">
        <v>5</v>
      </c>
      <c r="U14" s="55"/>
    </row>
    <row r="15" spans="1:21" ht="15.75" customHeight="1">
      <c r="A15" s="56"/>
      <c r="B15" s="4"/>
      <c r="C15" s="62" t="s">
        <v>155</v>
      </c>
      <c r="D15" s="63" t="s">
        <v>156</v>
      </c>
      <c r="E15" s="57"/>
      <c r="F15" s="57"/>
      <c r="G15" s="64">
        <v>6</v>
      </c>
      <c r="H15" s="65">
        <v>3</v>
      </c>
      <c r="I15" s="55"/>
      <c r="J15" s="55"/>
      <c r="K15" s="55"/>
      <c r="L15" s="55"/>
      <c r="M15" s="61"/>
      <c r="N15" s="4"/>
      <c r="O15" s="62" t="s">
        <v>157</v>
      </c>
      <c r="P15" s="63" t="s">
        <v>158</v>
      </c>
      <c r="Q15" s="57"/>
      <c r="R15" s="57"/>
      <c r="S15" s="64">
        <v>3</v>
      </c>
      <c r="T15" s="65">
        <v>5</v>
      </c>
      <c r="U15" s="55"/>
    </row>
    <row r="16" spans="1:21" ht="15.75" customHeight="1">
      <c r="A16" s="56"/>
      <c r="B16" s="4"/>
      <c r="C16" s="62" t="s">
        <v>159</v>
      </c>
      <c r="D16" s="63" t="s">
        <v>160</v>
      </c>
      <c r="E16" s="57"/>
      <c r="F16" s="57"/>
      <c r="G16" s="64">
        <v>6</v>
      </c>
      <c r="H16" s="65">
        <v>3</v>
      </c>
      <c r="I16" s="55"/>
      <c r="J16" s="55"/>
      <c r="K16" s="55"/>
      <c r="L16" s="55"/>
      <c r="M16" s="61"/>
      <c r="N16" s="4"/>
      <c r="O16" s="62" t="s">
        <v>161</v>
      </c>
      <c r="P16" s="63" t="s">
        <v>162</v>
      </c>
      <c r="Q16" s="57"/>
      <c r="R16" s="57"/>
      <c r="S16" s="64">
        <v>5</v>
      </c>
      <c r="T16" s="65">
        <v>0</v>
      </c>
      <c r="U16" s="55"/>
    </row>
    <row r="17" spans="1:21" ht="15.75" customHeight="1">
      <c r="A17" s="56"/>
      <c r="B17" s="4"/>
      <c r="C17" s="66"/>
      <c r="D17" s="67" t="s">
        <v>163</v>
      </c>
      <c r="E17" s="68"/>
      <c r="F17" s="68"/>
      <c r="G17" s="69">
        <v>14</v>
      </c>
      <c r="H17" s="70">
        <v>22</v>
      </c>
      <c r="I17" s="55"/>
      <c r="J17" s="55"/>
      <c r="K17" s="55"/>
      <c r="L17" s="55"/>
      <c r="M17" s="61"/>
      <c r="N17" s="4"/>
      <c r="O17" s="66"/>
      <c r="P17" s="67" t="s">
        <v>163</v>
      </c>
      <c r="Q17" s="68"/>
      <c r="R17" s="68"/>
      <c r="S17" s="69">
        <v>17</v>
      </c>
      <c r="T17" s="70">
        <v>14</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80"/>
      <c r="C22" s="81">
        <v>1</v>
      </c>
      <c r="D22" s="82" t="s">
        <v>843</v>
      </c>
      <c r="E22" s="83">
        <v>90.1</v>
      </c>
      <c r="F22" s="81" t="s">
        <v>842</v>
      </c>
      <c r="G22" s="81" t="s">
        <v>121</v>
      </c>
      <c r="H22" s="81">
        <v>5</v>
      </c>
      <c r="I22" s="84" t="s">
        <v>121</v>
      </c>
      <c r="J22" s="85"/>
      <c r="K22" s="85"/>
      <c r="L22" s="85"/>
      <c r="M22" s="86"/>
      <c r="N22" s="80"/>
      <c r="O22" s="81">
        <v>1</v>
      </c>
      <c r="P22" s="82" t="s">
        <v>844</v>
      </c>
      <c r="Q22" s="83">
        <v>77.599999999999994</v>
      </c>
      <c r="R22" s="81" t="s">
        <v>841</v>
      </c>
      <c r="S22" s="81">
        <v>5</v>
      </c>
      <c r="T22" s="81" t="s">
        <v>121</v>
      </c>
      <c r="U22" s="84" t="s">
        <v>121</v>
      </c>
    </row>
    <row r="23" spans="1:21" ht="15.75" customHeight="1">
      <c r="A23" s="56" t="s">
        <v>147</v>
      </c>
      <c r="B23" s="80"/>
      <c r="C23" s="81">
        <v>2</v>
      </c>
      <c r="D23" s="82" t="s">
        <v>845</v>
      </c>
      <c r="E23" s="87">
        <v>70.45</v>
      </c>
      <c r="F23" s="81" t="s">
        <v>842</v>
      </c>
      <c r="G23" s="81" t="s">
        <v>121</v>
      </c>
      <c r="H23" s="81">
        <v>3</v>
      </c>
      <c r="I23" s="84" t="s">
        <v>121</v>
      </c>
      <c r="J23" s="85"/>
      <c r="K23" s="85"/>
      <c r="L23" s="85"/>
      <c r="M23" s="86"/>
      <c r="N23" s="80"/>
      <c r="O23" s="81">
        <v>2</v>
      </c>
      <c r="P23" s="82" t="s">
        <v>846</v>
      </c>
      <c r="Q23" s="87">
        <v>72.25</v>
      </c>
      <c r="R23" s="81" t="s">
        <v>842</v>
      </c>
      <c r="S23" s="81" t="s">
        <v>121</v>
      </c>
      <c r="T23" s="81">
        <v>3</v>
      </c>
      <c r="U23" s="84" t="s">
        <v>121</v>
      </c>
    </row>
    <row r="24" spans="1:21" ht="15.75" customHeight="1">
      <c r="A24" s="56" t="s">
        <v>147</v>
      </c>
      <c r="B24" s="80"/>
      <c r="C24" s="81">
        <v>3</v>
      </c>
      <c r="D24" s="82" t="s">
        <v>847</v>
      </c>
      <c r="E24" s="87">
        <v>67.55</v>
      </c>
      <c r="F24" s="81" t="s">
        <v>841</v>
      </c>
      <c r="G24" s="81">
        <v>1</v>
      </c>
      <c r="H24" s="81" t="s">
        <v>121</v>
      </c>
      <c r="I24" s="84" t="s">
        <v>121</v>
      </c>
      <c r="J24" s="85"/>
      <c r="K24" s="85"/>
      <c r="L24" s="85"/>
      <c r="M24" s="86"/>
      <c r="N24" s="80"/>
      <c r="O24" s="81">
        <v>3</v>
      </c>
      <c r="P24" s="82" t="s">
        <v>848</v>
      </c>
      <c r="Q24" s="87">
        <v>69.2</v>
      </c>
      <c r="R24" s="81" t="s">
        <v>842</v>
      </c>
      <c r="S24" s="81" t="s">
        <v>121</v>
      </c>
      <c r="T24" s="81">
        <v>1</v>
      </c>
      <c r="U24" s="84" t="s">
        <v>121</v>
      </c>
    </row>
    <row r="25" spans="1:21" ht="15.75" customHeight="1">
      <c r="A25" s="56" t="s">
        <v>147</v>
      </c>
      <c r="B25" s="80"/>
      <c r="C25" s="81">
        <v>4</v>
      </c>
      <c r="D25" s="82" t="s">
        <v>849</v>
      </c>
      <c r="E25" s="87">
        <v>65.25</v>
      </c>
      <c r="F25" s="81" t="s">
        <v>842</v>
      </c>
      <c r="G25" s="81" t="s">
        <v>121</v>
      </c>
      <c r="H25" s="81" t="s">
        <v>121</v>
      </c>
      <c r="I25" s="84" t="s">
        <v>121</v>
      </c>
      <c r="J25" s="85"/>
      <c r="K25" s="85"/>
      <c r="L25" s="85"/>
      <c r="M25" s="86"/>
      <c r="N25" s="80"/>
      <c r="O25" s="81">
        <v>4</v>
      </c>
      <c r="P25" s="82" t="s">
        <v>850</v>
      </c>
      <c r="Q25" s="87">
        <v>60.25</v>
      </c>
      <c r="R25" s="81" t="s">
        <v>841</v>
      </c>
      <c r="S25" s="81" t="s">
        <v>121</v>
      </c>
      <c r="T25" s="81" t="s">
        <v>121</v>
      </c>
      <c r="U25" s="84" t="s">
        <v>121</v>
      </c>
    </row>
    <row r="26" spans="1:21" ht="15.75" customHeight="1">
      <c r="A26" s="56" t="s">
        <v>147</v>
      </c>
      <c r="B26" s="80"/>
      <c r="C26" s="81">
        <v>5</v>
      </c>
      <c r="D26" s="82" t="s">
        <v>851</v>
      </c>
      <c r="E26" s="87">
        <v>59.9</v>
      </c>
      <c r="F26" s="81" t="s">
        <v>842</v>
      </c>
      <c r="G26" s="81" t="s">
        <v>121</v>
      </c>
      <c r="H26" s="81" t="s">
        <v>121</v>
      </c>
      <c r="I26" s="84" t="s">
        <v>121</v>
      </c>
      <c r="J26" s="85"/>
      <c r="K26" s="85"/>
      <c r="L26" s="85"/>
      <c r="M26" s="86"/>
      <c r="N26" s="80"/>
      <c r="O26" s="81">
        <v>5</v>
      </c>
      <c r="P26" s="82" t="s">
        <v>852</v>
      </c>
      <c r="Q26" s="87">
        <v>50.55</v>
      </c>
      <c r="R26" s="81" t="s">
        <v>841</v>
      </c>
      <c r="S26" s="81" t="s">
        <v>121</v>
      </c>
      <c r="T26" s="81" t="s">
        <v>121</v>
      </c>
      <c r="U26" s="84" t="s">
        <v>121</v>
      </c>
    </row>
    <row r="27" spans="1:21" ht="15.75" customHeight="1">
      <c r="A27" s="56" t="s">
        <v>147</v>
      </c>
      <c r="B27" s="80"/>
      <c r="C27" s="81">
        <v>6</v>
      </c>
      <c r="D27" s="82" t="s">
        <v>853</v>
      </c>
      <c r="E27" s="87">
        <v>50.2</v>
      </c>
      <c r="F27" s="81" t="s">
        <v>842</v>
      </c>
      <c r="G27" s="81" t="s">
        <v>121</v>
      </c>
      <c r="H27" s="81" t="s">
        <v>121</v>
      </c>
      <c r="I27" s="84" t="s">
        <v>121</v>
      </c>
      <c r="J27" s="85"/>
      <c r="K27" s="85"/>
      <c r="L27" s="85"/>
      <c r="M27" s="86"/>
      <c r="N27" s="80"/>
      <c r="O27" s="81">
        <v>6</v>
      </c>
      <c r="P27" s="82" t="s">
        <v>854</v>
      </c>
      <c r="Q27" s="87">
        <v>43.3</v>
      </c>
      <c r="R27" s="81" t="s">
        <v>842</v>
      </c>
      <c r="S27" s="81" t="s">
        <v>121</v>
      </c>
      <c r="T27" s="81" t="s">
        <v>121</v>
      </c>
      <c r="U27" s="84" t="s">
        <v>121</v>
      </c>
    </row>
    <row r="28" spans="1:21" ht="15.75" customHeight="1">
      <c r="A28" s="56" t="s">
        <v>147</v>
      </c>
      <c r="B28" s="80"/>
      <c r="C28" s="81">
        <v>7</v>
      </c>
      <c r="D28" s="82" t="s">
        <v>855</v>
      </c>
      <c r="E28" s="87">
        <v>48.55</v>
      </c>
      <c r="F28" s="81" t="s">
        <v>841</v>
      </c>
      <c r="G28" s="81" t="s">
        <v>121</v>
      </c>
      <c r="H28" s="81" t="s">
        <v>121</v>
      </c>
      <c r="I28" s="84" t="s">
        <v>121</v>
      </c>
      <c r="J28" s="85"/>
      <c r="K28" s="85"/>
      <c r="L28" s="85"/>
      <c r="M28" s="86"/>
      <c r="N28" s="80"/>
      <c r="O28" s="81">
        <v>7</v>
      </c>
      <c r="P28" s="82" t="s">
        <v>856</v>
      </c>
      <c r="Q28" s="87">
        <v>35.950000000000003</v>
      </c>
      <c r="R28" s="81" t="s">
        <v>841</v>
      </c>
      <c r="S28" s="81" t="s">
        <v>121</v>
      </c>
      <c r="T28" s="81" t="s">
        <v>121</v>
      </c>
      <c r="U28" s="84" t="s">
        <v>121</v>
      </c>
    </row>
    <row r="29" spans="1:21" ht="15.75" customHeight="1">
      <c r="A29" s="56" t="s">
        <v>147</v>
      </c>
      <c r="B29" s="80"/>
      <c r="C29" s="81">
        <v>8</v>
      </c>
      <c r="D29" s="88" t="s">
        <v>857</v>
      </c>
      <c r="E29" s="87">
        <v>44.95</v>
      </c>
      <c r="F29" s="81" t="s">
        <v>841</v>
      </c>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147</v>
      </c>
      <c r="B30" s="80"/>
      <c r="C30" s="81">
        <v>9</v>
      </c>
      <c r="D30" s="88" t="s">
        <v>858</v>
      </c>
      <c r="E30" s="87">
        <v>40.9</v>
      </c>
      <c r="F30" s="81" t="s">
        <v>841</v>
      </c>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147</v>
      </c>
      <c r="B31" s="80"/>
      <c r="C31" s="81">
        <v>10</v>
      </c>
      <c r="D31" s="88" t="s">
        <v>859</v>
      </c>
      <c r="E31" s="87">
        <v>38.5</v>
      </c>
      <c r="F31" s="81" t="s">
        <v>841</v>
      </c>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147</v>
      </c>
      <c r="B32" s="80"/>
      <c r="C32" s="81">
        <v>11</v>
      </c>
      <c r="D32" s="88" t="s">
        <v>860</v>
      </c>
      <c r="E32" s="87">
        <v>37.299999999999997</v>
      </c>
      <c r="F32" s="81" t="s">
        <v>841</v>
      </c>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147</v>
      </c>
      <c r="B33" s="80"/>
      <c r="C33" s="81">
        <v>12</v>
      </c>
      <c r="D33" s="88" t="s">
        <v>861</v>
      </c>
      <c r="E33" s="87">
        <v>34.799999999999997</v>
      </c>
      <c r="F33" s="81" t="s">
        <v>841</v>
      </c>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147</v>
      </c>
      <c r="B34" s="80"/>
      <c r="C34" s="81">
        <v>13</v>
      </c>
      <c r="D34" s="88" t="s">
        <v>862</v>
      </c>
      <c r="E34" s="87">
        <v>32.200000000000003</v>
      </c>
      <c r="F34" s="81" t="s">
        <v>841</v>
      </c>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147</v>
      </c>
      <c r="B35" s="80"/>
      <c r="C35" s="81">
        <v>14</v>
      </c>
      <c r="D35" s="88" t="s">
        <v>863</v>
      </c>
      <c r="E35" s="87">
        <v>31.7</v>
      </c>
      <c r="F35" s="81" t="s">
        <v>841</v>
      </c>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147</v>
      </c>
      <c r="B36" s="80"/>
      <c r="C36" s="81">
        <v>15</v>
      </c>
      <c r="D36" s="88" t="s">
        <v>864</v>
      </c>
      <c r="E36" s="87">
        <v>27.15</v>
      </c>
      <c r="F36" s="81" t="s">
        <v>841</v>
      </c>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30" t="s">
        <v>184</v>
      </c>
      <c r="D47" s="227"/>
      <c r="E47" s="227"/>
      <c r="F47" s="227"/>
      <c r="G47" s="90">
        <v>1</v>
      </c>
      <c r="H47" s="90">
        <v>8</v>
      </c>
      <c r="I47" s="84" t="s">
        <v>121</v>
      </c>
      <c r="J47" s="85"/>
      <c r="K47" s="85"/>
      <c r="L47" s="85"/>
      <c r="M47" s="86"/>
      <c r="N47" s="80"/>
      <c r="O47" s="230" t="s">
        <v>185</v>
      </c>
      <c r="P47" s="227"/>
      <c r="Q47" s="227"/>
      <c r="R47" s="227"/>
      <c r="S47" s="90">
        <v>5</v>
      </c>
      <c r="T47" s="90">
        <v>4</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99"/>
      <c r="C51" s="81">
        <v>1</v>
      </c>
      <c r="D51" s="82" t="s">
        <v>865</v>
      </c>
      <c r="E51" s="83">
        <v>116</v>
      </c>
      <c r="F51" s="81" t="s">
        <v>842</v>
      </c>
      <c r="G51" s="81" t="s">
        <v>121</v>
      </c>
      <c r="H51" s="81">
        <v>5</v>
      </c>
      <c r="I51" s="100" t="s">
        <v>121</v>
      </c>
      <c r="J51" s="85"/>
      <c r="K51" s="85"/>
      <c r="L51" s="85"/>
      <c r="M51" s="86"/>
      <c r="N51" s="99"/>
      <c r="O51" s="81">
        <v>1</v>
      </c>
      <c r="P51" s="82" t="s">
        <v>866</v>
      </c>
      <c r="Q51" s="83">
        <v>90.3</v>
      </c>
      <c r="R51" s="81" t="s">
        <v>842</v>
      </c>
      <c r="S51" s="81" t="s">
        <v>121</v>
      </c>
      <c r="T51" s="81">
        <v>5</v>
      </c>
      <c r="U51" s="100" t="s">
        <v>121</v>
      </c>
    </row>
    <row r="52" spans="1:21" ht="13.2">
      <c r="A52" s="56" t="s">
        <v>151</v>
      </c>
      <c r="B52" s="99"/>
      <c r="C52" s="81">
        <v>2</v>
      </c>
      <c r="D52" s="82" t="s">
        <v>867</v>
      </c>
      <c r="E52" s="87">
        <v>100.8</v>
      </c>
      <c r="F52" s="81" t="s">
        <v>842</v>
      </c>
      <c r="G52" s="81" t="s">
        <v>121</v>
      </c>
      <c r="H52" s="81">
        <v>3</v>
      </c>
      <c r="I52" s="100" t="s">
        <v>121</v>
      </c>
      <c r="J52" s="85"/>
      <c r="K52" s="85"/>
      <c r="L52" s="85"/>
      <c r="M52" s="86"/>
      <c r="N52" s="99"/>
      <c r="O52" s="81">
        <v>2</v>
      </c>
      <c r="P52" s="82" t="s">
        <v>868</v>
      </c>
      <c r="Q52" s="87">
        <v>88.8</v>
      </c>
      <c r="R52" s="81" t="s">
        <v>841</v>
      </c>
      <c r="S52" s="81">
        <v>3</v>
      </c>
      <c r="T52" s="81" t="s">
        <v>121</v>
      </c>
      <c r="U52" s="100" t="s">
        <v>121</v>
      </c>
    </row>
    <row r="53" spans="1:21" ht="13.2">
      <c r="A53" s="56" t="s">
        <v>151</v>
      </c>
      <c r="B53" s="99"/>
      <c r="C53" s="81">
        <v>3</v>
      </c>
      <c r="D53" s="82" t="s">
        <v>869</v>
      </c>
      <c r="E53" s="87">
        <v>97.3</v>
      </c>
      <c r="F53" s="81" t="s">
        <v>841</v>
      </c>
      <c r="G53" s="81">
        <v>1</v>
      </c>
      <c r="H53" s="81" t="s">
        <v>121</v>
      </c>
      <c r="I53" s="100" t="s">
        <v>123</v>
      </c>
      <c r="J53" s="85"/>
      <c r="K53" s="85"/>
      <c r="L53" s="85"/>
      <c r="M53" s="86"/>
      <c r="N53" s="99"/>
      <c r="O53" s="81">
        <v>3</v>
      </c>
      <c r="P53" s="82" t="s">
        <v>870</v>
      </c>
      <c r="Q53" s="87">
        <v>87.05</v>
      </c>
      <c r="R53" s="81" t="s">
        <v>841</v>
      </c>
      <c r="S53" s="81">
        <v>1</v>
      </c>
      <c r="T53" s="81" t="s">
        <v>121</v>
      </c>
      <c r="U53" s="100" t="s">
        <v>123</v>
      </c>
    </row>
    <row r="54" spans="1:21" ht="13.2">
      <c r="A54" s="56" t="s">
        <v>151</v>
      </c>
      <c r="B54" s="99"/>
      <c r="C54" s="81">
        <v>4</v>
      </c>
      <c r="D54" s="82" t="s">
        <v>871</v>
      </c>
      <c r="E54" s="87">
        <v>92.35</v>
      </c>
      <c r="F54" s="81" t="s">
        <v>842</v>
      </c>
      <c r="G54" s="81" t="s">
        <v>121</v>
      </c>
      <c r="H54" s="81" t="s">
        <v>121</v>
      </c>
      <c r="I54" s="100" t="s">
        <v>121</v>
      </c>
      <c r="J54" s="85"/>
      <c r="K54" s="85"/>
      <c r="L54" s="85"/>
      <c r="M54" s="86"/>
      <c r="N54" s="99"/>
      <c r="O54" s="81">
        <v>4</v>
      </c>
      <c r="P54" s="82" t="s">
        <v>872</v>
      </c>
      <c r="Q54" s="87">
        <v>82.1</v>
      </c>
      <c r="R54" s="81" t="s">
        <v>842</v>
      </c>
      <c r="S54" s="81" t="s">
        <v>121</v>
      </c>
      <c r="T54" s="81" t="s">
        <v>121</v>
      </c>
      <c r="U54" s="100" t="s">
        <v>121</v>
      </c>
    </row>
    <row r="55" spans="1:21" ht="13.2">
      <c r="A55" s="56" t="s">
        <v>151</v>
      </c>
      <c r="B55" s="99"/>
      <c r="C55" s="81">
        <v>5</v>
      </c>
      <c r="D55" s="82" t="s">
        <v>873</v>
      </c>
      <c r="E55" s="87">
        <v>92.05</v>
      </c>
      <c r="F55" s="81" t="s">
        <v>842</v>
      </c>
      <c r="G55" s="81" t="s">
        <v>121</v>
      </c>
      <c r="H55" s="81" t="s">
        <v>121</v>
      </c>
      <c r="I55" s="100" t="s">
        <v>121</v>
      </c>
      <c r="J55" s="85"/>
      <c r="K55" s="85"/>
      <c r="L55" s="85"/>
      <c r="M55" s="86"/>
      <c r="N55" s="99"/>
      <c r="O55" s="81">
        <v>5</v>
      </c>
      <c r="P55" s="82" t="s">
        <v>874</v>
      </c>
      <c r="Q55" s="87">
        <v>81.45</v>
      </c>
      <c r="R55" s="81" t="s">
        <v>842</v>
      </c>
      <c r="S55" s="81" t="s">
        <v>121</v>
      </c>
      <c r="T55" s="81" t="s">
        <v>121</v>
      </c>
      <c r="U55" s="100" t="s">
        <v>121</v>
      </c>
    </row>
    <row r="56" spans="1:21" ht="13.2">
      <c r="A56" s="56" t="s">
        <v>151</v>
      </c>
      <c r="B56" s="99"/>
      <c r="C56" s="81">
        <v>6</v>
      </c>
      <c r="D56" s="82" t="s">
        <v>875</v>
      </c>
      <c r="E56" s="87">
        <v>80.849999999999994</v>
      </c>
      <c r="F56" s="81" t="s">
        <v>842</v>
      </c>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30" t="s">
        <v>199</v>
      </c>
      <c r="D66" s="227"/>
      <c r="E66" s="227"/>
      <c r="F66" s="228"/>
      <c r="G66" s="90">
        <v>1</v>
      </c>
      <c r="H66" s="90">
        <v>8</v>
      </c>
      <c r="I66" s="100" t="s">
        <v>121</v>
      </c>
      <c r="J66" s="85"/>
      <c r="K66" s="85"/>
      <c r="L66" s="85"/>
      <c r="M66" s="86"/>
      <c r="N66" s="99"/>
      <c r="O66" s="230" t="s">
        <v>200</v>
      </c>
      <c r="P66" s="227"/>
      <c r="Q66" s="227"/>
      <c r="R66" s="228"/>
      <c r="S66" s="90">
        <v>4</v>
      </c>
      <c r="T66" s="90">
        <v>5</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26.4">
      <c r="A70" s="56" t="s">
        <v>155</v>
      </c>
      <c r="B70" s="80"/>
      <c r="C70" s="81">
        <v>1</v>
      </c>
      <c r="D70" s="82" t="s">
        <v>876</v>
      </c>
      <c r="E70" s="83">
        <v>153.5</v>
      </c>
      <c r="F70" s="81" t="s">
        <v>841</v>
      </c>
      <c r="G70" s="81">
        <v>5</v>
      </c>
      <c r="H70" s="81" t="s">
        <v>121</v>
      </c>
      <c r="I70" s="84" t="s">
        <v>121</v>
      </c>
      <c r="J70" s="85"/>
      <c r="K70" s="85"/>
      <c r="L70" s="85"/>
      <c r="M70" s="86"/>
      <c r="N70" s="80"/>
      <c r="O70" s="81">
        <v>1</v>
      </c>
      <c r="P70" s="82" t="s">
        <v>877</v>
      </c>
      <c r="Q70" s="83">
        <v>135.15</v>
      </c>
      <c r="R70" s="81" t="s">
        <v>842</v>
      </c>
      <c r="S70" s="81" t="s">
        <v>121</v>
      </c>
      <c r="T70" s="81">
        <v>5</v>
      </c>
      <c r="U70" s="84" t="s">
        <v>121</v>
      </c>
    </row>
    <row r="71" spans="1:21" ht="13.2">
      <c r="A71" s="56" t="s">
        <v>155</v>
      </c>
      <c r="B71" s="80"/>
      <c r="C71" s="81">
        <v>2</v>
      </c>
      <c r="D71" s="82" t="s">
        <v>878</v>
      </c>
      <c r="E71" s="87">
        <v>143</v>
      </c>
      <c r="F71" s="81" t="s">
        <v>842</v>
      </c>
      <c r="G71" s="81" t="s">
        <v>121</v>
      </c>
      <c r="H71" s="81">
        <v>3</v>
      </c>
      <c r="I71" s="84" t="s">
        <v>121</v>
      </c>
      <c r="J71" s="85"/>
      <c r="K71" s="85"/>
      <c r="L71" s="85"/>
      <c r="M71" s="86"/>
      <c r="N71" s="80"/>
      <c r="O71" s="81">
        <v>2</v>
      </c>
      <c r="P71" s="82" t="s">
        <v>879</v>
      </c>
      <c r="Q71" s="87">
        <v>119.7</v>
      </c>
      <c r="R71" s="81" t="s">
        <v>841</v>
      </c>
      <c r="S71" s="81">
        <v>3</v>
      </c>
      <c r="T71" s="81" t="s">
        <v>121</v>
      </c>
      <c r="U71" s="84" t="s">
        <v>121</v>
      </c>
    </row>
    <row r="72" spans="1:21" ht="13.2">
      <c r="A72" s="56" t="s">
        <v>155</v>
      </c>
      <c r="B72" s="80"/>
      <c r="C72" s="81">
        <v>3</v>
      </c>
      <c r="D72" s="82" t="s">
        <v>880</v>
      </c>
      <c r="E72" s="87">
        <v>142.80000000000001</v>
      </c>
      <c r="F72" s="81" t="s">
        <v>841</v>
      </c>
      <c r="G72" s="81">
        <v>1</v>
      </c>
      <c r="H72" s="81" t="s">
        <v>121</v>
      </c>
      <c r="I72" s="84" t="s">
        <v>121</v>
      </c>
      <c r="J72" s="85"/>
      <c r="K72" s="85"/>
      <c r="L72" s="85"/>
      <c r="M72" s="86"/>
      <c r="N72" s="80"/>
      <c r="O72" s="81" t="s">
        <v>121</v>
      </c>
      <c r="P72" s="82"/>
      <c r="Q72" s="87" t="s">
        <v>121</v>
      </c>
      <c r="R72" s="81"/>
      <c r="S72" s="81" t="s">
        <v>121</v>
      </c>
      <c r="T72" s="81" t="s">
        <v>121</v>
      </c>
      <c r="U72" s="84" t="s">
        <v>121</v>
      </c>
    </row>
    <row r="73" spans="1:21" ht="13.2">
      <c r="A73" s="56" t="s">
        <v>155</v>
      </c>
      <c r="B73" s="80"/>
      <c r="C73" s="81">
        <v>4</v>
      </c>
      <c r="D73" s="82" t="s">
        <v>881</v>
      </c>
      <c r="E73" s="87">
        <v>138.15</v>
      </c>
      <c r="F73" s="81" t="s">
        <v>841</v>
      </c>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155</v>
      </c>
      <c r="B74" s="80"/>
      <c r="C74" s="81">
        <v>5</v>
      </c>
      <c r="D74" s="82" t="s">
        <v>882</v>
      </c>
      <c r="E74" s="87">
        <v>125.95</v>
      </c>
      <c r="F74" s="81" t="s">
        <v>841</v>
      </c>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155</v>
      </c>
      <c r="B75" s="80"/>
      <c r="C75" s="81">
        <v>6</v>
      </c>
      <c r="D75" s="82" t="s">
        <v>883</v>
      </c>
      <c r="E75" s="87">
        <v>112.25</v>
      </c>
      <c r="F75" s="81" t="s">
        <v>841</v>
      </c>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30" t="s">
        <v>210</v>
      </c>
      <c r="D80" s="227"/>
      <c r="E80" s="227"/>
      <c r="F80" s="227"/>
      <c r="G80" s="90">
        <v>6</v>
      </c>
      <c r="H80" s="90">
        <v>3</v>
      </c>
      <c r="I80" s="84" t="s">
        <v>121</v>
      </c>
      <c r="J80" s="85"/>
      <c r="K80" s="85"/>
      <c r="L80" s="85"/>
      <c r="M80" s="86"/>
      <c r="N80" s="80"/>
      <c r="O80" s="230" t="s">
        <v>211</v>
      </c>
      <c r="P80" s="227"/>
      <c r="Q80" s="227"/>
      <c r="R80" s="227"/>
      <c r="S80" s="90">
        <v>3</v>
      </c>
      <c r="T80" s="90">
        <v>5</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99"/>
      <c r="C84" s="81">
        <v>1</v>
      </c>
      <c r="D84" s="82" t="s">
        <v>884</v>
      </c>
      <c r="E84" s="83">
        <v>198.4</v>
      </c>
      <c r="F84" s="81" t="s">
        <v>841</v>
      </c>
      <c r="G84" s="81">
        <v>5</v>
      </c>
      <c r="H84" s="81" t="s">
        <v>121</v>
      </c>
      <c r="I84" s="100" t="s">
        <v>121</v>
      </c>
      <c r="J84" s="85"/>
      <c r="K84" s="85"/>
      <c r="L84" s="85"/>
      <c r="M84" s="86"/>
      <c r="N84" s="99"/>
      <c r="O84" s="81">
        <v>1</v>
      </c>
      <c r="P84" s="82" t="s">
        <v>885</v>
      </c>
      <c r="Q84" s="83">
        <v>152.05000000000001</v>
      </c>
      <c r="R84" s="81" t="s">
        <v>841</v>
      </c>
      <c r="S84" s="81">
        <v>5</v>
      </c>
      <c r="T84" s="81" t="s">
        <v>121</v>
      </c>
      <c r="U84" s="100" t="s">
        <v>123</v>
      </c>
    </row>
    <row r="85" spans="1:21" ht="13.2">
      <c r="A85" s="56" t="s">
        <v>159</v>
      </c>
      <c r="B85" s="99"/>
      <c r="C85" s="81">
        <v>2</v>
      </c>
      <c r="D85" s="82" t="s">
        <v>886</v>
      </c>
      <c r="E85" s="87">
        <v>187.9</v>
      </c>
      <c r="F85" s="81" t="s">
        <v>842</v>
      </c>
      <c r="G85" s="81" t="s">
        <v>121</v>
      </c>
      <c r="H85" s="81">
        <v>3</v>
      </c>
      <c r="I85" s="100" t="s">
        <v>121</v>
      </c>
      <c r="J85" s="85"/>
      <c r="K85" s="85"/>
      <c r="L85" s="85"/>
      <c r="M85" s="86"/>
      <c r="N85" s="99"/>
      <c r="O85" s="81" t="s">
        <v>121</v>
      </c>
      <c r="P85" s="82"/>
      <c r="Q85" s="87" t="s">
        <v>121</v>
      </c>
      <c r="R85" s="81"/>
      <c r="S85" s="81" t="s">
        <v>121</v>
      </c>
      <c r="T85" s="81" t="s">
        <v>121</v>
      </c>
      <c r="U85" s="100" t="s">
        <v>121</v>
      </c>
    </row>
    <row r="86" spans="1:21" ht="13.2">
      <c r="A86" s="56" t="s">
        <v>159</v>
      </c>
      <c r="B86" s="99"/>
      <c r="C86" s="81">
        <v>3</v>
      </c>
      <c r="D86" s="82" t="s">
        <v>887</v>
      </c>
      <c r="E86" s="87">
        <v>182.6</v>
      </c>
      <c r="F86" s="81" t="s">
        <v>841</v>
      </c>
      <c r="G86" s="81">
        <v>1</v>
      </c>
      <c r="H86" s="81" t="s">
        <v>121</v>
      </c>
      <c r="I86" s="100" t="s">
        <v>121</v>
      </c>
      <c r="J86" s="85"/>
      <c r="K86" s="85"/>
      <c r="L86" s="85"/>
      <c r="M86" s="86"/>
      <c r="N86" s="99"/>
      <c r="O86" s="81" t="s">
        <v>121</v>
      </c>
      <c r="P86" s="82"/>
      <c r="Q86" s="87" t="s">
        <v>121</v>
      </c>
      <c r="R86" s="81"/>
      <c r="S86" s="81" t="s">
        <v>121</v>
      </c>
      <c r="T86" s="81" t="s">
        <v>121</v>
      </c>
      <c r="U86" s="100" t="s">
        <v>121</v>
      </c>
    </row>
    <row r="87" spans="1:21" ht="13.2">
      <c r="A87" s="56" t="s">
        <v>159</v>
      </c>
      <c r="B87" s="99"/>
      <c r="C87" s="81">
        <v>4</v>
      </c>
      <c r="D87" s="82" t="s">
        <v>888</v>
      </c>
      <c r="E87" s="87">
        <v>180.55</v>
      </c>
      <c r="F87" s="81" t="s">
        <v>842</v>
      </c>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159</v>
      </c>
      <c r="B88" s="99"/>
      <c r="C88" s="81">
        <v>5</v>
      </c>
      <c r="D88" s="82" t="s">
        <v>889</v>
      </c>
      <c r="E88" s="87">
        <v>150.44999999999999</v>
      </c>
      <c r="F88" s="81" t="s">
        <v>841</v>
      </c>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30" t="s">
        <v>220</v>
      </c>
      <c r="D94" s="227"/>
      <c r="E94" s="227"/>
      <c r="F94" s="227"/>
      <c r="G94" s="90">
        <v>6</v>
      </c>
      <c r="H94" s="90">
        <v>3</v>
      </c>
      <c r="I94" s="100" t="s">
        <v>121</v>
      </c>
      <c r="J94" s="85"/>
      <c r="K94" s="85"/>
      <c r="L94" s="85"/>
      <c r="M94" s="86"/>
      <c r="N94" s="99"/>
      <c r="O94" s="230" t="s">
        <v>221</v>
      </c>
      <c r="P94" s="227"/>
      <c r="Q94" s="227"/>
      <c r="R94" s="227"/>
      <c r="S94" s="90">
        <v>5</v>
      </c>
      <c r="T94" s="90">
        <v>0</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890</v>
      </c>
      <c r="R96" s="227"/>
      <c r="S96" s="227"/>
      <c r="T96" s="228"/>
      <c r="U96" s="4" t="s">
        <v>121</v>
      </c>
    </row>
    <row r="97" spans="1:21" ht="13.2">
      <c r="A97" s="56"/>
      <c r="B97" s="4"/>
      <c r="C97" s="249" t="s">
        <v>891</v>
      </c>
      <c r="D97" s="235"/>
      <c r="E97" s="235"/>
      <c r="F97" s="235"/>
      <c r="G97" s="235"/>
      <c r="H97" s="236"/>
      <c r="I97" s="85" t="s">
        <v>121</v>
      </c>
      <c r="J97" s="85"/>
      <c r="K97" s="85"/>
      <c r="L97" s="85"/>
      <c r="M97" s="86"/>
      <c r="N97" s="107"/>
      <c r="O97" s="110" t="s">
        <v>226</v>
      </c>
      <c r="P97" s="111"/>
      <c r="Q97" s="231" t="s">
        <v>892</v>
      </c>
      <c r="R97" s="227"/>
      <c r="S97" s="227"/>
      <c r="T97" s="228"/>
      <c r="U97" s="4"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B99" s="4"/>
      <c r="C99" s="112" t="s">
        <v>228</v>
      </c>
      <c r="D99" s="113"/>
      <c r="E99" s="233" t="s">
        <v>892</v>
      </c>
      <c r="F99" s="227"/>
      <c r="G99" s="227"/>
      <c r="H99" s="228"/>
      <c r="I99" s="85" t="s">
        <v>121</v>
      </c>
      <c r="J99" s="85"/>
      <c r="K99" s="85"/>
      <c r="L99" s="85"/>
      <c r="M99" s="86"/>
      <c r="N99" s="107"/>
      <c r="O99" s="112" t="s">
        <v>229</v>
      </c>
      <c r="P99" s="113"/>
      <c r="Q99" s="233" t="s">
        <v>893</v>
      </c>
      <c r="R99" s="227"/>
      <c r="S99" s="227"/>
      <c r="T99" s="228"/>
      <c r="U99" s="4"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B101" s="4"/>
      <c r="C101" s="273" t="s">
        <v>894</v>
      </c>
      <c r="D101" s="235"/>
      <c r="E101" s="235"/>
      <c r="F101" s="235"/>
      <c r="G101" s="235"/>
      <c r="H101" s="236"/>
      <c r="I101" s="4" t="s">
        <v>121</v>
      </c>
      <c r="J101" s="4"/>
      <c r="K101" s="4"/>
      <c r="L101" s="4"/>
      <c r="M101" s="71"/>
      <c r="N101" s="109"/>
      <c r="O101" s="234" t="s">
        <v>895</v>
      </c>
      <c r="P101" s="235"/>
      <c r="Q101" s="235"/>
      <c r="R101" s="235"/>
      <c r="S101" s="235"/>
      <c r="T101" s="236"/>
      <c r="U101" s="4"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14"/>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129"/>
      <c r="C109" s="251" t="s">
        <v>130</v>
      </c>
      <c r="D109" s="227"/>
      <c r="E109" s="252" t="s">
        <v>837</v>
      </c>
      <c r="F109" s="227"/>
      <c r="G109" s="228"/>
      <c r="H109" s="130" t="s">
        <v>896</v>
      </c>
      <c r="I109" s="131" t="s">
        <v>121</v>
      </c>
      <c r="J109" s="132"/>
      <c r="K109" s="132"/>
      <c r="L109" s="132"/>
      <c r="M109" s="133"/>
      <c r="N109" s="48"/>
      <c r="O109" s="244" t="s">
        <v>132</v>
      </c>
      <c r="P109" s="227"/>
      <c r="Q109" s="245" t="s">
        <v>838</v>
      </c>
      <c r="R109" s="227"/>
      <c r="S109" s="228"/>
      <c r="T109" s="134" t="s">
        <v>897</v>
      </c>
      <c r="U109" s="135" t="s">
        <v>121</v>
      </c>
    </row>
    <row r="110" spans="1:21" ht="17.399999999999999">
      <c r="A110" s="56"/>
      <c r="B110" s="136"/>
      <c r="C110" s="253" t="s">
        <v>1</v>
      </c>
      <c r="D110" s="228"/>
      <c r="E110" s="254">
        <v>31</v>
      </c>
      <c r="F110" s="227"/>
      <c r="G110" s="227"/>
      <c r="H110" s="137"/>
      <c r="I110" s="131" t="s">
        <v>121</v>
      </c>
      <c r="J110" s="138"/>
      <c r="K110" s="138"/>
      <c r="L110" s="138"/>
      <c r="M110" s="139"/>
      <c r="N110" s="48"/>
      <c r="O110" s="246" t="s">
        <v>1</v>
      </c>
      <c r="P110" s="228"/>
      <c r="Q110" s="247">
        <v>40</v>
      </c>
      <c r="R110" s="227"/>
      <c r="S110" s="227"/>
      <c r="T110" s="140"/>
      <c r="U110" s="135"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B113" s="4"/>
      <c r="C113" s="62" t="s">
        <v>147</v>
      </c>
      <c r="D113" s="63" t="s">
        <v>148</v>
      </c>
      <c r="E113" s="57"/>
      <c r="F113" s="57"/>
      <c r="G113" s="64">
        <v>6</v>
      </c>
      <c r="H113" s="65">
        <v>3</v>
      </c>
      <c r="I113" s="55" t="s">
        <v>121</v>
      </c>
      <c r="J113" s="55"/>
      <c r="K113" s="55"/>
      <c r="L113" s="55"/>
      <c r="M113" s="61"/>
      <c r="N113" s="4"/>
      <c r="O113" s="62" t="s">
        <v>149</v>
      </c>
      <c r="P113" s="63" t="s">
        <v>150</v>
      </c>
      <c r="Q113" s="57"/>
      <c r="R113" s="57"/>
      <c r="S113" s="64">
        <v>1</v>
      </c>
      <c r="T113" s="65">
        <v>8</v>
      </c>
      <c r="U113" s="55" t="s">
        <v>121</v>
      </c>
    </row>
    <row r="114" spans="1:21" ht="13.2">
      <c r="A114" s="56"/>
      <c r="B114" s="4"/>
      <c r="C114" s="62" t="s">
        <v>151</v>
      </c>
      <c r="D114" s="63" t="s">
        <v>152</v>
      </c>
      <c r="E114" s="57"/>
      <c r="F114" s="57"/>
      <c r="G114" s="64">
        <v>3</v>
      </c>
      <c r="H114" s="65">
        <v>6</v>
      </c>
      <c r="I114" s="55" t="s">
        <v>121</v>
      </c>
      <c r="J114" s="55"/>
      <c r="K114" s="55"/>
      <c r="L114" s="55"/>
      <c r="M114" s="61"/>
      <c r="N114" s="4"/>
      <c r="O114" s="62" t="s">
        <v>153</v>
      </c>
      <c r="P114" s="63" t="s">
        <v>154</v>
      </c>
      <c r="Q114" s="57"/>
      <c r="R114" s="57"/>
      <c r="S114" s="64">
        <v>0</v>
      </c>
      <c r="T114" s="65">
        <v>8</v>
      </c>
      <c r="U114" s="55" t="s">
        <v>121</v>
      </c>
    </row>
    <row r="115" spans="1:21" ht="13.2">
      <c r="A115" s="56"/>
      <c r="B115" s="4"/>
      <c r="C115" s="62" t="s">
        <v>155</v>
      </c>
      <c r="D115" s="63" t="s">
        <v>156</v>
      </c>
      <c r="E115" s="57"/>
      <c r="F115" s="57"/>
      <c r="G115" s="64">
        <v>9</v>
      </c>
      <c r="H115" s="65">
        <v>0</v>
      </c>
      <c r="I115" s="55" t="s">
        <v>121</v>
      </c>
      <c r="J115" s="55"/>
      <c r="K115" s="55"/>
      <c r="L115" s="55"/>
      <c r="M115" s="61"/>
      <c r="N115" s="4"/>
      <c r="O115" s="62" t="s">
        <v>157</v>
      </c>
      <c r="P115" s="63" t="s">
        <v>158</v>
      </c>
      <c r="Q115" s="57"/>
      <c r="R115" s="57"/>
      <c r="S115" s="64">
        <v>5</v>
      </c>
      <c r="T115" s="65">
        <v>4</v>
      </c>
      <c r="U115" s="55" t="s">
        <v>121</v>
      </c>
    </row>
    <row r="116" spans="1:21" ht="13.2">
      <c r="A116" s="56"/>
      <c r="B116" s="4"/>
      <c r="C116" s="62" t="s">
        <v>159</v>
      </c>
      <c r="D116" s="63" t="s">
        <v>160</v>
      </c>
      <c r="E116" s="57"/>
      <c r="F116" s="57"/>
      <c r="G116" s="64">
        <v>3</v>
      </c>
      <c r="H116" s="65">
        <v>6</v>
      </c>
      <c r="I116" s="55" t="s">
        <v>121</v>
      </c>
      <c r="J116" s="55"/>
      <c r="K116" s="55"/>
      <c r="L116" s="55"/>
      <c r="M116" s="61"/>
      <c r="N116" s="4"/>
      <c r="O116" s="62" t="s">
        <v>161</v>
      </c>
      <c r="P116" s="63" t="s">
        <v>162</v>
      </c>
      <c r="Q116" s="57"/>
      <c r="R116" s="57"/>
      <c r="S116" s="64">
        <v>4</v>
      </c>
      <c r="T116" s="65">
        <v>5</v>
      </c>
      <c r="U116" s="55" t="s">
        <v>121</v>
      </c>
    </row>
    <row r="117" spans="1:21" ht="13.2">
      <c r="A117" s="56"/>
      <c r="B117" s="4"/>
      <c r="C117" s="66"/>
      <c r="D117" s="67" t="s">
        <v>163</v>
      </c>
      <c r="E117" s="68"/>
      <c r="F117" s="68"/>
      <c r="G117" s="69">
        <v>21</v>
      </c>
      <c r="H117" s="70">
        <v>15</v>
      </c>
      <c r="I117" s="55" t="s">
        <v>121</v>
      </c>
      <c r="J117" s="55"/>
      <c r="K117" s="55"/>
      <c r="L117" s="55"/>
      <c r="M117" s="61"/>
      <c r="N117" s="4"/>
      <c r="O117" s="66"/>
      <c r="P117" s="67" t="s">
        <v>163</v>
      </c>
      <c r="Q117" s="68"/>
      <c r="R117" s="68"/>
      <c r="S117" s="69">
        <v>10</v>
      </c>
      <c r="T117" s="70">
        <v>25</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80"/>
      <c r="C122" s="81">
        <v>1</v>
      </c>
      <c r="D122" s="82" t="s">
        <v>898</v>
      </c>
      <c r="E122" s="83">
        <v>69.900000000000006</v>
      </c>
      <c r="F122" s="81" t="s">
        <v>896</v>
      </c>
      <c r="G122" s="81">
        <v>5</v>
      </c>
      <c r="H122" s="81" t="s">
        <v>121</v>
      </c>
      <c r="I122" s="84" t="s">
        <v>121</v>
      </c>
      <c r="J122" s="85"/>
      <c r="K122" s="85"/>
      <c r="L122" s="85"/>
      <c r="M122" s="86"/>
      <c r="N122" s="80"/>
      <c r="O122" s="81">
        <v>1</v>
      </c>
      <c r="P122" s="82" t="s">
        <v>899</v>
      </c>
      <c r="Q122" s="83">
        <v>59.2</v>
      </c>
      <c r="R122" s="81" t="s">
        <v>897</v>
      </c>
      <c r="S122" s="81" t="s">
        <v>121</v>
      </c>
      <c r="T122" s="81">
        <v>5</v>
      </c>
      <c r="U122" s="84" t="s">
        <v>121</v>
      </c>
    </row>
    <row r="123" spans="1:21" ht="13.2">
      <c r="A123" s="56" t="s">
        <v>147</v>
      </c>
      <c r="B123" s="80"/>
      <c r="C123" s="81">
        <v>2</v>
      </c>
      <c r="D123" s="82" t="s">
        <v>900</v>
      </c>
      <c r="E123" s="87">
        <v>47.55</v>
      </c>
      <c r="F123" s="81" t="s">
        <v>897</v>
      </c>
      <c r="G123" s="81" t="s">
        <v>121</v>
      </c>
      <c r="H123" s="81">
        <v>3</v>
      </c>
      <c r="I123" s="84" t="s">
        <v>121</v>
      </c>
      <c r="J123" s="85"/>
      <c r="K123" s="85"/>
      <c r="L123" s="85"/>
      <c r="M123" s="86"/>
      <c r="N123" s="80"/>
      <c r="O123" s="81">
        <v>2</v>
      </c>
      <c r="P123" s="82" t="s">
        <v>901</v>
      </c>
      <c r="Q123" s="87">
        <v>51.75</v>
      </c>
      <c r="R123" s="81" t="s">
        <v>897</v>
      </c>
      <c r="S123" s="81" t="s">
        <v>121</v>
      </c>
      <c r="T123" s="81">
        <v>3</v>
      </c>
      <c r="U123" s="84" t="s">
        <v>121</v>
      </c>
    </row>
    <row r="124" spans="1:21" ht="13.2">
      <c r="A124" s="56" t="s">
        <v>147</v>
      </c>
      <c r="B124" s="80"/>
      <c r="C124" s="81">
        <v>3</v>
      </c>
      <c r="D124" s="82" t="s">
        <v>902</v>
      </c>
      <c r="E124" s="87">
        <v>46.1</v>
      </c>
      <c r="F124" s="81" t="s">
        <v>896</v>
      </c>
      <c r="G124" s="81">
        <v>1</v>
      </c>
      <c r="H124" s="81" t="s">
        <v>121</v>
      </c>
      <c r="I124" s="84" t="s">
        <v>121</v>
      </c>
      <c r="J124" s="85"/>
      <c r="K124" s="85"/>
      <c r="L124" s="85"/>
      <c r="M124" s="86"/>
      <c r="N124" s="80"/>
      <c r="O124" s="81">
        <v>3</v>
      </c>
      <c r="P124" s="82" t="s">
        <v>903</v>
      </c>
      <c r="Q124" s="87">
        <v>50.6</v>
      </c>
      <c r="R124" s="81" t="s">
        <v>896</v>
      </c>
      <c r="S124" s="81">
        <v>1</v>
      </c>
      <c r="T124" s="81" t="s">
        <v>121</v>
      </c>
      <c r="U124" s="84" t="s">
        <v>121</v>
      </c>
    </row>
    <row r="125" spans="1:21" ht="13.2">
      <c r="A125" s="56" t="s">
        <v>147</v>
      </c>
      <c r="B125" s="80"/>
      <c r="C125" s="81">
        <v>4</v>
      </c>
      <c r="D125" s="82" t="s">
        <v>904</v>
      </c>
      <c r="E125" s="87">
        <v>43.35</v>
      </c>
      <c r="F125" s="81" t="s">
        <v>896</v>
      </c>
      <c r="G125" s="81" t="s">
        <v>121</v>
      </c>
      <c r="H125" s="81" t="s">
        <v>121</v>
      </c>
      <c r="I125" s="84" t="s">
        <v>121</v>
      </c>
      <c r="J125" s="85"/>
      <c r="K125" s="85"/>
      <c r="L125" s="85"/>
      <c r="M125" s="86"/>
      <c r="N125" s="80"/>
      <c r="O125" s="81">
        <v>4</v>
      </c>
      <c r="P125" s="82" t="s">
        <v>905</v>
      </c>
      <c r="Q125" s="87">
        <v>49.6</v>
      </c>
      <c r="R125" s="81" t="s">
        <v>897</v>
      </c>
      <c r="S125" s="81" t="s">
        <v>121</v>
      </c>
      <c r="T125" s="81" t="s">
        <v>121</v>
      </c>
      <c r="U125" s="84" t="s">
        <v>121</v>
      </c>
    </row>
    <row r="126" spans="1:21" ht="13.2">
      <c r="A126" s="56" t="s">
        <v>147</v>
      </c>
      <c r="B126" s="80"/>
      <c r="C126" s="81">
        <v>5</v>
      </c>
      <c r="D126" s="82" t="s">
        <v>906</v>
      </c>
      <c r="E126" s="87">
        <v>42.85</v>
      </c>
      <c r="F126" s="81" t="s">
        <v>897</v>
      </c>
      <c r="G126" s="81" t="s">
        <v>121</v>
      </c>
      <c r="H126" s="81" t="s">
        <v>121</v>
      </c>
      <c r="I126" s="84" t="s">
        <v>121</v>
      </c>
      <c r="J126" s="85"/>
      <c r="K126" s="85"/>
      <c r="L126" s="85"/>
      <c r="M126" s="86"/>
      <c r="N126" s="80"/>
      <c r="O126" s="81">
        <v>5</v>
      </c>
      <c r="P126" s="82" t="s">
        <v>907</v>
      </c>
      <c r="Q126" s="87">
        <v>35.85</v>
      </c>
      <c r="R126" s="81" t="s">
        <v>897</v>
      </c>
      <c r="S126" s="81" t="s">
        <v>121</v>
      </c>
      <c r="T126" s="81" t="s">
        <v>121</v>
      </c>
      <c r="U126" s="84" t="s">
        <v>121</v>
      </c>
    </row>
    <row r="127" spans="1:21" ht="13.2">
      <c r="A127" s="56" t="s">
        <v>147</v>
      </c>
      <c r="B127" s="80"/>
      <c r="C127" s="81">
        <v>6</v>
      </c>
      <c r="D127" s="82" t="s">
        <v>908</v>
      </c>
      <c r="E127" s="87">
        <v>40.9</v>
      </c>
      <c r="F127" s="81" t="s">
        <v>897</v>
      </c>
      <c r="G127" s="81" t="s">
        <v>121</v>
      </c>
      <c r="H127" s="81" t="s">
        <v>121</v>
      </c>
      <c r="I127" s="84" t="s">
        <v>121</v>
      </c>
      <c r="J127" s="85"/>
      <c r="K127" s="85"/>
      <c r="L127" s="85"/>
      <c r="M127" s="86"/>
      <c r="N127" s="80"/>
      <c r="O127" s="81">
        <v>6</v>
      </c>
      <c r="P127" s="82" t="s">
        <v>909</v>
      </c>
      <c r="Q127" s="87">
        <v>31.25</v>
      </c>
      <c r="R127" s="81" t="s">
        <v>897</v>
      </c>
      <c r="S127" s="81" t="s">
        <v>121</v>
      </c>
      <c r="T127" s="81" t="s">
        <v>121</v>
      </c>
      <c r="U127" s="84" t="s">
        <v>121</v>
      </c>
    </row>
    <row r="128" spans="1:21" ht="13.2">
      <c r="A128" s="56" t="s">
        <v>147</v>
      </c>
      <c r="B128" s="80"/>
      <c r="C128" s="81">
        <v>7</v>
      </c>
      <c r="D128" s="82" t="s">
        <v>910</v>
      </c>
      <c r="E128" s="87">
        <v>34.049999999999997</v>
      </c>
      <c r="F128" s="81" t="s">
        <v>897</v>
      </c>
      <c r="G128" s="81" t="s">
        <v>121</v>
      </c>
      <c r="H128" s="81" t="s">
        <v>121</v>
      </c>
      <c r="I128" s="84" t="s">
        <v>121</v>
      </c>
      <c r="J128" s="85"/>
      <c r="K128" s="85"/>
      <c r="L128" s="85"/>
      <c r="M128" s="86"/>
      <c r="N128" s="80"/>
      <c r="O128" s="81">
        <v>7</v>
      </c>
      <c r="P128" s="82" t="s">
        <v>911</v>
      </c>
      <c r="Q128" s="87">
        <v>31.15</v>
      </c>
      <c r="R128" s="81" t="s">
        <v>897</v>
      </c>
      <c r="S128" s="81" t="s">
        <v>121</v>
      </c>
      <c r="T128" s="81" t="s">
        <v>121</v>
      </c>
      <c r="U128" s="84" t="s">
        <v>121</v>
      </c>
    </row>
    <row r="129" spans="1:21" ht="13.2">
      <c r="A129" s="56" t="s">
        <v>147</v>
      </c>
      <c r="B129" s="80"/>
      <c r="C129" s="81">
        <v>8</v>
      </c>
      <c r="D129" s="88" t="s">
        <v>912</v>
      </c>
      <c r="E129" s="87">
        <v>33.5</v>
      </c>
      <c r="F129" s="81" t="s">
        <v>897</v>
      </c>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147</v>
      </c>
      <c r="B130" s="80"/>
      <c r="C130" s="81">
        <v>9</v>
      </c>
      <c r="D130" s="88" t="s">
        <v>913</v>
      </c>
      <c r="E130" s="87">
        <v>32.1</v>
      </c>
      <c r="F130" s="81" t="s">
        <v>897</v>
      </c>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147</v>
      </c>
      <c r="B131" s="80"/>
      <c r="C131" s="81">
        <v>10</v>
      </c>
      <c r="D131" s="88" t="s">
        <v>914</v>
      </c>
      <c r="E131" s="87">
        <v>31.85</v>
      </c>
      <c r="F131" s="81" t="s">
        <v>897</v>
      </c>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147</v>
      </c>
      <c r="B132" s="80"/>
      <c r="C132" s="81">
        <v>11</v>
      </c>
      <c r="D132" s="88" t="s">
        <v>915</v>
      </c>
      <c r="E132" s="87">
        <v>28.2</v>
      </c>
      <c r="F132" s="81" t="s">
        <v>897</v>
      </c>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147</v>
      </c>
      <c r="B133" s="80"/>
      <c r="C133" s="81">
        <v>12</v>
      </c>
      <c r="D133" s="88" t="s">
        <v>916</v>
      </c>
      <c r="E133" s="87">
        <v>26.1</v>
      </c>
      <c r="F133" s="81" t="s">
        <v>896</v>
      </c>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147</v>
      </c>
      <c r="B134" s="80"/>
      <c r="C134" s="81">
        <v>13</v>
      </c>
      <c r="D134" s="88" t="s">
        <v>917</v>
      </c>
      <c r="E134" s="87">
        <v>23.8</v>
      </c>
      <c r="F134" s="81" t="s">
        <v>897</v>
      </c>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6</v>
      </c>
      <c r="H147" s="90">
        <v>3</v>
      </c>
      <c r="I147" s="84" t="s">
        <v>121</v>
      </c>
      <c r="J147" s="85"/>
      <c r="K147" s="85"/>
      <c r="L147" s="85"/>
      <c r="M147" s="86"/>
      <c r="N147" s="80"/>
      <c r="O147" s="230" t="s">
        <v>185</v>
      </c>
      <c r="P147" s="227"/>
      <c r="Q147" s="227"/>
      <c r="R147" s="227"/>
      <c r="S147" s="90">
        <v>1</v>
      </c>
      <c r="T147" s="90">
        <v>8</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13.2">
      <c r="A151" s="56" t="s">
        <v>151</v>
      </c>
      <c r="B151" s="99"/>
      <c r="C151" s="81">
        <v>1</v>
      </c>
      <c r="D151" s="82" t="s">
        <v>918</v>
      </c>
      <c r="E151" s="83">
        <v>88.95</v>
      </c>
      <c r="F151" s="81" t="s">
        <v>897</v>
      </c>
      <c r="G151" s="81" t="s">
        <v>121</v>
      </c>
      <c r="H151" s="81">
        <v>5</v>
      </c>
      <c r="I151" s="100" t="s">
        <v>121</v>
      </c>
      <c r="J151" s="85"/>
      <c r="K151" s="85"/>
      <c r="L151" s="85"/>
      <c r="M151" s="86"/>
      <c r="N151" s="99"/>
      <c r="O151" s="81">
        <v>1</v>
      </c>
      <c r="P151" s="82" t="s">
        <v>919</v>
      </c>
      <c r="Q151" s="83">
        <v>87.25</v>
      </c>
      <c r="R151" s="81" t="s">
        <v>897</v>
      </c>
      <c r="S151" s="81" t="s">
        <v>121</v>
      </c>
      <c r="T151" s="81">
        <v>5</v>
      </c>
      <c r="U151" s="100" t="s">
        <v>121</v>
      </c>
    </row>
    <row r="152" spans="1:21" ht="13.2">
      <c r="A152" s="56" t="s">
        <v>151</v>
      </c>
      <c r="B152" s="99"/>
      <c r="C152" s="81">
        <v>2</v>
      </c>
      <c r="D152" s="82" t="s">
        <v>920</v>
      </c>
      <c r="E152" s="87">
        <v>80.75</v>
      </c>
      <c r="F152" s="81" t="s">
        <v>896</v>
      </c>
      <c r="G152" s="81">
        <v>3</v>
      </c>
      <c r="H152" s="81" t="s">
        <v>121</v>
      </c>
      <c r="I152" s="100" t="s">
        <v>121</v>
      </c>
      <c r="J152" s="85"/>
      <c r="K152" s="85"/>
      <c r="L152" s="85"/>
      <c r="M152" s="86"/>
      <c r="N152" s="99"/>
      <c r="O152" s="81">
        <v>2</v>
      </c>
      <c r="P152" s="82" t="s">
        <v>921</v>
      </c>
      <c r="Q152" s="87">
        <v>74.599999999999994</v>
      </c>
      <c r="R152" s="81" t="s">
        <v>897</v>
      </c>
      <c r="S152" s="81" t="s">
        <v>121</v>
      </c>
      <c r="T152" s="81">
        <v>3</v>
      </c>
      <c r="U152" s="100" t="s">
        <v>121</v>
      </c>
    </row>
    <row r="153" spans="1:21" ht="13.2">
      <c r="A153" s="56" t="s">
        <v>151</v>
      </c>
      <c r="B153" s="99"/>
      <c r="C153" s="81">
        <v>3</v>
      </c>
      <c r="D153" s="82" t="s">
        <v>922</v>
      </c>
      <c r="E153" s="87">
        <v>68.349999999999994</v>
      </c>
      <c r="F153" s="81" t="s">
        <v>897</v>
      </c>
      <c r="G153" s="81" t="s">
        <v>121</v>
      </c>
      <c r="H153" s="81">
        <v>1</v>
      </c>
      <c r="I153" s="100" t="s">
        <v>121</v>
      </c>
      <c r="J153" s="85"/>
      <c r="K153" s="85"/>
      <c r="L153" s="85"/>
      <c r="M153" s="86"/>
      <c r="N153" s="99"/>
      <c r="O153" s="81" t="s">
        <v>121</v>
      </c>
      <c r="P153" s="82"/>
      <c r="Q153" s="87" t="s">
        <v>121</v>
      </c>
      <c r="R153" s="81"/>
      <c r="S153" s="81" t="s">
        <v>121</v>
      </c>
      <c r="T153" s="81" t="s">
        <v>121</v>
      </c>
      <c r="U153" s="100" t="s">
        <v>121</v>
      </c>
    </row>
    <row r="154" spans="1:21" ht="13.2">
      <c r="A154" s="56" t="s">
        <v>151</v>
      </c>
      <c r="B154" s="99"/>
      <c r="C154" s="81">
        <v>4</v>
      </c>
      <c r="D154" s="82" t="s">
        <v>923</v>
      </c>
      <c r="E154" s="87">
        <v>63.95</v>
      </c>
      <c r="F154" s="81" t="s">
        <v>897</v>
      </c>
      <c r="G154" s="81" t="s">
        <v>121</v>
      </c>
      <c r="H154" s="81" t="s">
        <v>121</v>
      </c>
      <c r="I154" s="100" t="s">
        <v>121</v>
      </c>
      <c r="J154" s="85"/>
      <c r="K154" s="85"/>
      <c r="L154" s="85"/>
      <c r="M154" s="86"/>
      <c r="N154" s="99"/>
      <c r="O154" s="81" t="s">
        <v>121</v>
      </c>
      <c r="P154" s="82"/>
      <c r="Q154" s="87" t="s">
        <v>121</v>
      </c>
      <c r="R154" s="81"/>
      <c r="S154" s="81" t="s">
        <v>121</v>
      </c>
      <c r="T154" s="81" t="s">
        <v>121</v>
      </c>
      <c r="U154" s="100" t="s">
        <v>121</v>
      </c>
    </row>
    <row r="155" spans="1:21" ht="13.2">
      <c r="A155" s="56" t="s">
        <v>151</v>
      </c>
      <c r="B155" s="99"/>
      <c r="C155" s="81">
        <v>5</v>
      </c>
      <c r="D155" s="82" t="s">
        <v>924</v>
      </c>
      <c r="E155" s="87">
        <v>41.95</v>
      </c>
      <c r="F155" s="81" t="s">
        <v>896</v>
      </c>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3</v>
      </c>
      <c r="H166" s="90">
        <v>6</v>
      </c>
      <c r="I166" s="100" t="s">
        <v>121</v>
      </c>
      <c r="J166" s="85"/>
      <c r="K166" s="85"/>
      <c r="L166" s="85"/>
      <c r="M166" s="86"/>
      <c r="N166" s="99"/>
      <c r="O166" s="230" t="s">
        <v>200</v>
      </c>
      <c r="P166" s="227"/>
      <c r="Q166" s="227"/>
      <c r="R166" s="228"/>
      <c r="S166" s="90">
        <v>0</v>
      </c>
      <c r="T166" s="90">
        <v>8</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155</v>
      </c>
      <c r="B170" s="80"/>
      <c r="C170" s="81">
        <v>1</v>
      </c>
      <c r="D170" s="82" t="s">
        <v>925</v>
      </c>
      <c r="E170" s="83">
        <v>108.4</v>
      </c>
      <c r="F170" s="81" t="s">
        <v>896</v>
      </c>
      <c r="G170" s="81">
        <v>5</v>
      </c>
      <c r="H170" s="81" t="s">
        <v>121</v>
      </c>
      <c r="I170" s="84" t="s">
        <v>121</v>
      </c>
      <c r="J170" s="85"/>
      <c r="K170" s="85"/>
      <c r="L170" s="85"/>
      <c r="M170" s="86"/>
      <c r="N170" s="80"/>
      <c r="O170" s="81">
        <v>1</v>
      </c>
      <c r="P170" s="82" t="s">
        <v>926</v>
      </c>
      <c r="Q170" s="83">
        <v>97.75</v>
      </c>
      <c r="R170" s="81" t="s">
        <v>896</v>
      </c>
      <c r="S170" s="81">
        <v>5</v>
      </c>
      <c r="T170" s="81" t="s">
        <v>121</v>
      </c>
      <c r="U170" s="84" t="s">
        <v>121</v>
      </c>
    </row>
    <row r="171" spans="1:21" ht="13.2">
      <c r="A171" s="56" t="s">
        <v>155</v>
      </c>
      <c r="B171" s="80"/>
      <c r="C171" s="81">
        <v>2</v>
      </c>
      <c r="D171" s="82" t="s">
        <v>927</v>
      </c>
      <c r="E171" s="87">
        <v>105</v>
      </c>
      <c r="F171" s="81" t="s">
        <v>896</v>
      </c>
      <c r="G171" s="81">
        <v>3</v>
      </c>
      <c r="H171" s="81" t="s">
        <v>121</v>
      </c>
      <c r="I171" s="84" t="s">
        <v>121</v>
      </c>
      <c r="J171" s="85"/>
      <c r="K171" s="85"/>
      <c r="L171" s="85"/>
      <c r="M171" s="86"/>
      <c r="N171" s="80"/>
      <c r="O171" s="81">
        <v>2</v>
      </c>
      <c r="P171" s="82" t="s">
        <v>928</v>
      </c>
      <c r="Q171" s="87">
        <v>86.35</v>
      </c>
      <c r="R171" s="81" t="s">
        <v>897</v>
      </c>
      <c r="S171" s="81" t="s">
        <v>121</v>
      </c>
      <c r="T171" s="81">
        <v>3</v>
      </c>
      <c r="U171" s="84" t="s">
        <v>121</v>
      </c>
    </row>
    <row r="172" spans="1:21" ht="13.2">
      <c r="A172" s="56" t="s">
        <v>155</v>
      </c>
      <c r="B172" s="80"/>
      <c r="C172" s="81">
        <v>3</v>
      </c>
      <c r="D172" s="82" t="s">
        <v>929</v>
      </c>
      <c r="E172" s="87">
        <v>87.3</v>
      </c>
      <c r="F172" s="81" t="s">
        <v>896</v>
      </c>
      <c r="G172" s="81">
        <v>1</v>
      </c>
      <c r="H172" s="81" t="s">
        <v>121</v>
      </c>
      <c r="I172" s="84" t="s">
        <v>121</v>
      </c>
      <c r="J172" s="85"/>
      <c r="K172" s="85"/>
      <c r="L172" s="85"/>
      <c r="M172" s="86"/>
      <c r="N172" s="80"/>
      <c r="O172" s="81">
        <v>3</v>
      </c>
      <c r="P172" s="82" t="s">
        <v>930</v>
      </c>
      <c r="Q172" s="87">
        <v>76.7</v>
      </c>
      <c r="R172" s="81" t="s">
        <v>897</v>
      </c>
      <c r="S172" s="81" t="s">
        <v>121</v>
      </c>
      <c r="T172" s="81">
        <v>1</v>
      </c>
      <c r="U172" s="84" t="s">
        <v>121</v>
      </c>
    </row>
    <row r="173" spans="1:21" ht="13.2">
      <c r="A173" s="56" t="s">
        <v>155</v>
      </c>
      <c r="B173" s="80"/>
      <c r="C173" s="81">
        <v>4</v>
      </c>
      <c r="D173" s="82" t="s">
        <v>931</v>
      </c>
      <c r="E173" s="87">
        <v>82.35</v>
      </c>
      <c r="F173" s="81" t="s">
        <v>897</v>
      </c>
      <c r="G173" s="81" t="s">
        <v>121</v>
      </c>
      <c r="H173" s="81" t="s">
        <v>121</v>
      </c>
      <c r="I173" s="84" t="s">
        <v>121</v>
      </c>
      <c r="J173" s="85"/>
      <c r="K173" s="85"/>
      <c r="L173" s="85"/>
      <c r="M173" s="86"/>
      <c r="N173" s="80"/>
      <c r="O173" s="81">
        <v>4</v>
      </c>
      <c r="P173" s="82" t="s">
        <v>932</v>
      </c>
      <c r="Q173" s="87">
        <v>67.3</v>
      </c>
      <c r="R173" s="81" t="s">
        <v>896</v>
      </c>
      <c r="S173" s="81" t="s">
        <v>121</v>
      </c>
      <c r="T173" s="81" t="s">
        <v>121</v>
      </c>
      <c r="U173" s="84" t="s">
        <v>121</v>
      </c>
    </row>
    <row r="174" spans="1:21" ht="13.2">
      <c r="A174" s="56" t="s">
        <v>155</v>
      </c>
      <c r="B174" s="80"/>
      <c r="C174" s="81">
        <v>5</v>
      </c>
      <c r="D174" s="82" t="s">
        <v>933</v>
      </c>
      <c r="E174" s="87">
        <v>62.95</v>
      </c>
      <c r="F174" s="81" t="s">
        <v>897</v>
      </c>
      <c r="G174" s="81" t="s">
        <v>121</v>
      </c>
      <c r="H174" s="81" t="s">
        <v>121</v>
      </c>
      <c r="I174" s="84" t="s">
        <v>121</v>
      </c>
      <c r="J174" s="85"/>
      <c r="K174" s="85"/>
      <c r="L174" s="85"/>
      <c r="M174" s="86"/>
      <c r="N174" s="80"/>
      <c r="O174" s="81">
        <v>5</v>
      </c>
      <c r="P174" s="82" t="s">
        <v>934</v>
      </c>
      <c r="Q174" s="87">
        <v>53.55</v>
      </c>
      <c r="R174" s="81" t="s">
        <v>897</v>
      </c>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9</v>
      </c>
      <c r="H180" s="90">
        <v>0</v>
      </c>
      <c r="I180" s="84" t="s">
        <v>121</v>
      </c>
      <c r="J180" s="85"/>
      <c r="K180" s="85"/>
      <c r="L180" s="85"/>
      <c r="M180" s="86"/>
      <c r="N180" s="80"/>
      <c r="O180" s="230" t="s">
        <v>211</v>
      </c>
      <c r="P180" s="227"/>
      <c r="Q180" s="227"/>
      <c r="R180" s="227"/>
      <c r="S180" s="90">
        <v>5</v>
      </c>
      <c r="T180" s="90">
        <v>4</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99"/>
      <c r="C184" s="81">
        <v>1</v>
      </c>
      <c r="D184" s="82" t="s">
        <v>935</v>
      </c>
      <c r="E184" s="83">
        <v>176.8</v>
      </c>
      <c r="F184" s="81" t="s">
        <v>897</v>
      </c>
      <c r="G184" s="81" t="s">
        <v>121</v>
      </c>
      <c r="H184" s="81">
        <v>5</v>
      </c>
      <c r="I184" s="100" t="s">
        <v>121</v>
      </c>
      <c r="J184" s="85"/>
      <c r="K184" s="85"/>
      <c r="L184" s="85"/>
      <c r="M184" s="86"/>
      <c r="N184" s="99"/>
      <c r="O184" s="81">
        <v>1</v>
      </c>
      <c r="P184" s="82" t="s">
        <v>936</v>
      </c>
      <c r="Q184" s="83">
        <v>214</v>
      </c>
      <c r="R184" s="81" t="s">
        <v>897</v>
      </c>
      <c r="S184" s="81" t="s">
        <v>121</v>
      </c>
      <c r="T184" s="81">
        <v>5</v>
      </c>
      <c r="U184" s="100" t="s">
        <v>121</v>
      </c>
    </row>
    <row r="185" spans="1:21" ht="13.2">
      <c r="A185" s="56" t="s">
        <v>159</v>
      </c>
      <c r="B185" s="99"/>
      <c r="C185" s="81">
        <v>2</v>
      </c>
      <c r="D185" s="82" t="s">
        <v>937</v>
      </c>
      <c r="E185" s="87">
        <v>139.9</v>
      </c>
      <c r="F185" s="81" t="s">
        <v>896</v>
      </c>
      <c r="G185" s="81">
        <v>3</v>
      </c>
      <c r="H185" s="81" t="s">
        <v>121</v>
      </c>
      <c r="I185" s="100" t="s">
        <v>121</v>
      </c>
      <c r="J185" s="85"/>
      <c r="K185" s="85"/>
      <c r="L185" s="85"/>
      <c r="M185" s="86"/>
      <c r="N185" s="99"/>
      <c r="O185" s="81">
        <v>2</v>
      </c>
      <c r="P185" s="82" t="s">
        <v>938</v>
      </c>
      <c r="Q185" s="87">
        <v>136.6</v>
      </c>
      <c r="R185" s="81" t="s">
        <v>896</v>
      </c>
      <c r="S185" s="81">
        <v>3</v>
      </c>
      <c r="T185" s="81" t="s">
        <v>121</v>
      </c>
      <c r="U185" s="100" t="s">
        <v>121</v>
      </c>
    </row>
    <row r="186" spans="1:21" ht="13.2">
      <c r="A186" s="56" t="s">
        <v>159</v>
      </c>
      <c r="B186" s="99"/>
      <c r="C186" s="81">
        <v>3</v>
      </c>
      <c r="D186" s="82" t="s">
        <v>939</v>
      </c>
      <c r="E186" s="87">
        <v>133.80000000000001</v>
      </c>
      <c r="F186" s="81" t="s">
        <v>897</v>
      </c>
      <c r="G186" s="81" t="s">
        <v>121</v>
      </c>
      <c r="H186" s="81">
        <v>1</v>
      </c>
      <c r="I186" s="100" t="s">
        <v>121</v>
      </c>
      <c r="J186" s="85"/>
      <c r="K186" s="85"/>
      <c r="L186" s="85"/>
      <c r="M186" s="86"/>
      <c r="N186" s="99"/>
      <c r="O186" s="81">
        <v>3</v>
      </c>
      <c r="P186" s="82" t="s">
        <v>940</v>
      </c>
      <c r="Q186" s="87">
        <v>116.5</v>
      </c>
      <c r="R186" s="81" t="s">
        <v>896</v>
      </c>
      <c r="S186" s="81">
        <v>1</v>
      </c>
      <c r="T186" s="81" t="s">
        <v>121</v>
      </c>
      <c r="U186" s="100" t="s">
        <v>121</v>
      </c>
    </row>
    <row r="187" spans="1:21" ht="13.2">
      <c r="A187" s="56" t="s">
        <v>159</v>
      </c>
      <c r="B187" s="99"/>
      <c r="C187" s="81">
        <v>4</v>
      </c>
      <c r="D187" s="82" t="s">
        <v>941</v>
      </c>
      <c r="E187" s="87">
        <v>124</v>
      </c>
      <c r="F187" s="81" t="s">
        <v>897</v>
      </c>
      <c r="G187" s="81" t="s">
        <v>121</v>
      </c>
      <c r="H187" s="81" t="s">
        <v>121</v>
      </c>
      <c r="I187" s="100" t="s">
        <v>121</v>
      </c>
      <c r="J187" s="85"/>
      <c r="K187" s="85"/>
      <c r="L187" s="85"/>
      <c r="M187" s="86"/>
      <c r="N187" s="99"/>
      <c r="O187" s="81">
        <v>4</v>
      </c>
      <c r="P187" s="82" t="s">
        <v>942</v>
      </c>
      <c r="Q187" s="87">
        <v>102.7</v>
      </c>
      <c r="R187" s="81" t="s">
        <v>896</v>
      </c>
      <c r="S187" s="81" t="s">
        <v>121</v>
      </c>
      <c r="T187" s="81" t="s">
        <v>121</v>
      </c>
      <c r="U187" s="100" t="s">
        <v>121</v>
      </c>
    </row>
    <row r="188" spans="1:21" ht="13.2">
      <c r="A188" s="56" t="s">
        <v>159</v>
      </c>
      <c r="B188" s="99"/>
      <c r="C188" s="81">
        <v>5</v>
      </c>
      <c r="D188" s="82" t="s">
        <v>943</v>
      </c>
      <c r="E188" s="87">
        <v>119.3</v>
      </c>
      <c r="F188" s="81" t="s">
        <v>896</v>
      </c>
      <c r="G188" s="81" t="s">
        <v>121</v>
      </c>
      <c r="H188" s="81" t="s">
        <v>121</v>
      </c>
      <c r="I188" s="100" t="s">
        <v>121</v>
      </c>
      <c r="J188" s="85"/>
      <c r="K188" s="85"/>
      <c r="L188" s="85"/>
      <c r="M188" s="86"/>
      <c r="N188" s="99"/>
      <c r="O188" s="81">
        <v>5</v>
      </c>
      <c r="P188" s="88" t="s">
        <v>944</v>
      </c>
      <c r="Q188" s="87">
        <v>95.7</v>
      </c>
      <c r="R188" s="81" t="s">
        <v>896</v>
      </c>
      <c r="S188" s="81" t="s">
        <v>121</v>
      </c>
      <c r="T188" s="81" t="s">
        <v>121</v>
      </c>
      <c r="U188" s="100" t="s">
        <v>121</v>
      </c>
    </row>
    <row r="189" spans="1:21" ht="13.2">
      <c r="A189" s="56" t="s">
        <v>159</v>
      </c>
      <c r="B189" s="99"/>
      <c r="C189" s="81">
        <v>6</v>
      </c>
      <c r="D189" s="82" t="s">
        <v>945</v>
      </c>
      <c r="E189" s="87">
        <v>79.05</v>
      </c>
      <c r="F189" s="81" t="s">
        <v>896</v>
      </c>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3</v>
      </c>
      <c r="H194" s="90">
        <v>6</v>
      </c>
      <c r="I194" s="100" t="s">
        <v>121</v>
      </c>
      <c r="J194" s="85"/>
      <c r="K194" s="85"/>
      <c r="L194" s="85"/>
      <c r="M194" s="86"/>
      <c r="N194" s="99"/>
      <c r="O194" s="230" t="s">
        <v>221</v>
      </c>
      <c r="P194" s="227"/>
      <c r="Q194" s="227"/>
      <c r="R194" s="227"/>
      <c r="S194" s="90">
        <v>4</v>
      </c>
      <c r="T194" s="90">
        <v>5</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946</v>
      </c>
      <c r="R196" s="227"/>
      <c r="S196" s="227"/>
      <c r="T196" s="228"/>
      <c r="U196" s="4" t="s">
        <v>121</v>
      </c>
    </row>
    <row r="197" spans="1:21" ht="13.2">
      <c r="A197" s="56"/>
      <c r="B197" s="4"/>
      <c r="C197" s="249" t="s">
        <v>947</v>
      </c>
      <c r="D197" s="235"/>
      <c r="E197" s="235"/>
      <c r="F197" s="235"/>
      <c r="G197" s="235"/>
      <c r="H197" s="236"/>
      <c r="I197" s="85" t="s">
        <v>121</v>
      </c>
      <c r="J197" s="85"/>
      <c r="K197" s="85"/>
      <c r="L197" s="85"/>
      <c r="M197" s="86"/>
      <c r="N197" s="107"/>
      <c r="O197" s="110" t="s">
        <v>226</v>
      </c>
      <c r="P197" s="111"/>
      <c r="Q197" s="231" t="s">
        <v>948</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948</v>
      </c>
      <c r="F199" s="227"/>
      <c r="G199" s="227"/>
      <c r="H199" s="228"/>
      <c r="I199" s="85" t="s">
        <v>121</v>
      </c>
      <c r="J199" s="85"/>
      <c r="K199" s="85"/>
      <c r="L199" s="85"/>
      <c r="M199" s="86"/>
      <c r="N199" s="107"/>
      <c r="O199" s="112" t="s">
        <v>229</v>
      </c>
      <c r="P199" s="113"/>
      <c r="Q199" s="233" t="s">
        <v>949</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73" t="s">
        <v>950</v>
      </c>
      <c r="D201" s="235"/>
      <c r="E201" s="235"/>
      <c r="F201" s="235"/>
      <c r="G201" s="235"/>
      <c r="H201" s="236"/>
      <c r="I201" s="4" t="s">
        <v>121</v>
      </c>
      <c r="J201" s="4"/>
      <c r="K201" s="4"/>
      <c r="L201" s="4"/>
      <c r="M201" s="71"/>
      <c r="N201" s="109"/>
      <c r="O201" s="234" t="s">
        <v>951</v>
      </c>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129"/>
      <c r="C209" s="251" t="s">
        <v>130</v>
      </c>
      <c r="D209" s="227"/>
      <c r="E209" s="252" t="s">
        <v>839</v>
      </c>
      <c r="F209" s="227"/>
      <c r="G209" s="228"/>
      <c r="H209" s="130" t="s">
        <v>952</v>
      </c>
      <c r="I209" s="131" t="s">
        <v>121</v>
      </c>
      <c r="J209" s="132"/>
      <c r="K209" s="132"/>
      <c r="L209" s="132"/>
      <c r="M209" s="133"/>
      <c r="N209" s="48"/>
      <c r="O209" s="244" t="s">
        <v>132</v>
      </c>
      <c r="P209" s="227"/>
      <c r="Q209" s="245" t="s">
        <v>840</v>
      </c>
      <c r="R209" s="227"/>
      <c r="S209" s="228"/>
      <c r="T209" s="134" t="s">
        <v>953</v>
      </c>
      <c r="U209" s="135" t="s">
        <v>121</v>
      </c>
    </row>
    <row r="210" spans="1:21" ht="17.399999999999999">
      <c r="A210" s="56"/>
      <c r="B210" s="136"/>
      <c r="C210" s="253" t="s">
        <v>1</v>
      </c>
      <c r="D210" s="228"/>
      <c r="E210" s="254">
        <v>19</v>
      </c>
      <c r="F210" s="227"/>
      <c r="G210" s="227"/>
      <c r="H210" s="137"/>
      <c r="I210" s="131" t="s">
        <v>121</v>
      </c>
      <c r="J210" s="138"/>
      <c r="K210" s="138"/>
      <c r="L210" s="138"/>
      <c r="M210" s="139"/>
      <c r="N210" s="48"/>
      <c r="O210" s="246" t="s">
        <v>1</v>
      </c>
      <c r="P210" s="228"/>
      <c r="Q210" s="247">
        <v>48</v>
      </c>
      <c r="R210" s="227"/>
      <c r="S210" s="227"/>
      <c r="T210" s="140"/>
      <c r="U210" s="135"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B213" s="4"/>
      <c r="C213" s="62" t="s">
        <v>147</v>
      </c>
      <c r="D213" s="63" t="s">
        <v>148</v>
      </c>
      <c r="E213" s="57"/>
      <c r="F213" s="57"/>
      <c r="G213" s="64">
        <v>0</v>
      </c>
      <c r="H213" s="65">
        <v>9</v>
      </c>
      <c r="I213" s="55" t="s">
        <v>121</v>
      </c>
      <c r="J213" s="55"/>
      <c r="K213" s="55"/>
      <c r="L213" s="55"/>
      <c r="M213" s="61"/>
      <c r="N213" s="4"/>
      <c r="O213" s="62" t="s">
        <v>149</v>
      </c>
      <c r="P213" s="63" t="s">
        <v>150</v>
      </c>
      <c r="Q213" s="57"/>
      <c r="R213" s="57"/>
      <c r="S213" s="64">
        <v>1</v>
      </c>
      <c r="T213" s="65">
        <v>8</v>
      </c>
      <c r="U213" s="55" t="s">
        <v>121</v>
      </c>
    </row>
    <row r="214" spans="1:21" ht="13.2">
      <c r="A214" s="56"/>
      <c r="B214" s="4"/>
      <c r="C214" s="62" t="s">
        <v>151</v>
      </c>
      <c r="D214" s="63" t="s">
        <v>152</v>
      </c>
      <c r="E214" s="57"/>
      <c r="F214" s="57"/>
      <c r="G214" s="64">
        <v>1</v>
      </c>
      <c r="H214" s="65">
        <v>8</v>
      </c>
      <c r="I214" s="55" t="s">
        <v>121</v>
      </c>
      <c r="J214" s="55"/>
      <c r="K214" s="55"/>
      <c r="L214" s="55"/>
      <c r="M214" s="61"/>
      <c r="N214" s="4"/>
      <c r="O214" s="62" t="s">
        <v>153</v>
      </c>
      <c r="P214" s="63" t="s">
        <v>154</v>
      </c>
      <c r="Q214" s="57"/>
      <c r="R214" s="57"/>
      <c r="S214" s="64">
        <v>0</v>
      </c>
      <c r="T214" s="65">
        <v>9</v>
      </c>
      <c r="U214" s="55" t="s">
        <v>121</v>
      </c>
    </row>
    <row r="215" spans="1:21" ht="13.2">
      <c r="A215" s="56"/>
      <c r="B215" s="4"/>
      <c r="C215" s="62" t="s">
        <v>155</v>
      </c>
      <c r="D215" s="63" t="s">
        <v>156</v>
      </c>
      <c r="E215" s="57"/>
      <c r="F215" s="57"/>
      <c r="G215" s="64">
        <v>6</v>
      </c>
      <c r="H215" s="65">
        <v>3</v>
      </c>
      <c r="I215" s="55" t="s">
        <v>121</v>
      </c>
      <c r="J215" s="55"/>
      <c r="K215" s="55"/>
      <c r="L215" s="55"/>
      <c r="M215" s="61"/>
      <c r="N215" s="4"/>
      <c r="O215" s="62" t="s">
        <v>157</v>
      </c>
      <c r="P215" s="63" t="s">
        <v>158</v>
      </c>
      <c r="Q215" s="57"/>
      <c r="R215" s="57"/>
      <c r="S215" s="64">
        <v>0</v>
      </c>
      <c r="T215" s="65">
        <v>8</v>
      </c>
      <c r="U215" s="55" t="s">
        <v>121</v>
      </c>
    </row>
    <row r="216" spans="1:21" ht="13.2">
      <c r="A216" s="56"/>
      <c r="B216" s="4"/>
      <c r="C216" s="62" t="s">
        <v>159</v>
      </c>
      <c r="D216" s="63" t="s">
        <v>160</v>
      </c>
      <c r="E216" s="57"/>
      <c r="F216" s="57"/>
      <c r="G216" s="64">
        <v>6</v>
      </c>
      <c r="H216" s="65">
        <v>3</v>
      </c>
      <c r="I216" s="55" t="s">
        <v>121</v>
      </c>
      <c r="J216" s="55"/>
      <c r="K216" s="55"/>
      <c r="L216" s="55"/>
      <c r="M216" s="61"/>
      <c r="N216" s="4"/>
      <c r="O216" s="62" t="s">
        <v>161</v>
      </c>
      <c r="P216" s="63" t="s">
        <v>162</v>
      </c>
      <c r="Q216" s="57"/>
      <c r="R216" s="57"/>
      <c r="S216" s="64">
        <v>5</v>
      </c>
      <c r="T216" s="65">
        <v>0</v>
      </c>
      <c r="U216" s="55" t="s">
        <v>121</v>
      </c>
    </row>
    <row r="217" spans="1:21" ht="13.2">
      <c r="A217" s="56"/>
      <c r="B217" s="4"/>
      <c r="C217" s="66"/>
      <c r="D217" s="67" t="s">
        <v>163</v>
      </c>
      <c r="E217" s="68"/>
      <c r="F217" s="68"/>
      <c r="G217" s="69">
        <v>13</v>
      </c>
      <c r="H217" s="70">
        <v>23</v>
      </c>
      <c r="I217" s="55" t="s">
        <v>121</v>
      </c>
      <c r="J217" s="55"/>
      <c r="K217" s="55"/>
      <c r="L217" s="55"/>
      <c r="M217" s="61"/>
      <c r="N217" s="4"/>
      <c r="O217" s="66"/>
      <c r="P217" s="67" t="s">
        <v>163</v>
      </c>
      <c r="Q217" s="68"/>
      <c r="R217" s="68"/>
      <c r="S217" s="69">
        <v>6</v>
      </c>
      <c r="T217" s="70">
        <v>25</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80"/>
      <c r="C222" s="81">
        <v>1</v>
      </c>
      <c r="D222" s="82" t="s">
        <v>954</v>
      </c>
      <c r="E222" s="83">
        <v>62.05</v>
      </c>
      <c r="F222" s="81" t="s">
        <v>953</v>
      </c>
      <c r="G222" s="81" t="s">
        <v>121</v>
      </c>
      <c r="H222" s="81">
        <v>5</v>
      </c>
      <c r="I222" s="84" t="s">
        <v>121</v>
      </c>
      <c r="J222" s="85"/>
      <c r="K222" s="85"/>
      <c r="L222" s="85"/>
      <c r="M222" s="86"/>
      <c r="N222" s="80"/>
      <c r="O222" s="81">
        <v>1</v>
      </c>
      <c r="P222" s="82" t="s">
        <v>955</v>
      </c>
      <c r="Q222" s="83">
        <v>48.65</v>
      </c>
      <c r="R222" s="81" t="s">
        <v>953</v>
      </c>
      <c r="S222" s="81" t="s">
        <v>121</v>
      </c>
      <c r="T222" s="81">
        <v>5</v>
      </c>
      <c r="U222" s="84" t="s">
        <v>121</v>
      </c>
    </row>
    <row r="223" spans="1:21" ht="13.2">
      <c r="A223" s="56" t="s">
        <v>147</v>
      </c>
      <c r="B223" s="80"/>
      <c r="C223" s="81">
        <v>2</v>
      </c>
      <c r="D223" s="82" t="s">
        <v>956</v>
      </c>
      <c r="E223" s="87">
        <v>59.9</v>
      </c>
      <c r="F223" s="81" t="s">
        <v>953</v>
      </c>
      <c r="G223" s="81" t="s">
        <v>121</v>
      </c>
      <c r="H223" s="81">
        <v>3</v>
      </c>
      <c r="I223" s="84" t="s">
        <v>121</v>
      </c>
      <c r="J223" s="85"/>
      <c r="K223" s="85"/>
      <c r="L223" s="85"/>
      <c r="M223" s="86"/>
      <c r="N223" s="80"/>
      <c r="O223" s="81">
        <v>2</v>
      </c>
      <c r="P223" s="82" t="s">
        <v>957</v>
      </c>
      <c r="Q223" s="87">
        <v>42.1</v>
      </c>
      <c r="R223" s="81" t="s">
        <v>953</v>
      </c>
      <c r="S223" s="81" t="s">
        <v>121</v>
      </c>
      <c r="T223" s="81">
        <v>3</v>
      </c>
      <c r="U223" s="84" t="s">
        <v>121</v>
      </c>
    </row>
    <row r="224" spans="1:21" ht="13.2">
      <c r="A224" s="56" t="s">
        <v>147</v>
      </c>
      <c r="B224" s="80"/>
      <c r="C224" s="81">
        <v>3</v>
      </c>
      <c r="D224" s="82" t="s">
        <v>958</v>
      </c>
      <c r="E224" s="87">
        <v>57.3</v>
      </c>
      <c r="F224" s="81" t="s">
        <v>953</v>
      </c>
      <c r="G224" s="81" t="s">
        <v>121</v>
      </c>
      <c r="H224" s="81">
        <v>1</v>
      </c>
      <c r="I224" s="84" t="s">
        <v>121</v>
      </c>
      <c r="J224" s="85"/>
      <c r="K224" s="85"/>
      <c r="L224" s="85"/>
      <c r="M224" s="86"/>
      <c r="N224" s="80"/>
      <c r="O224" s="81">
        <v>3</v>
      </c>
      <c r="P224" s="82" t="s">
        <v>959</v>
      </c>
      <c r="Q224" s="87">
        <v>41.7</v>
      </c>
      <c r="R224" s="81" t="s">
        <v>952</v>
      </c>
      <c r="S224" s="81">
        <v>1</v>
      </c>
      <c r="T224" s="81" t="s">
        <v>121</v>
      </c>
      <c r="U224" s="84" t="s">
        <v>121</v>
      </c>
    </row>
    <row r="225" spans="1:21" ht="13.2">
      <c r="A225" s="56" t="s">
        <v>147</v>
      </c>
      <c r="B225" s="80"/>
      <c r="C225" s="81">
        <v>4</v>
      </c>
      <c r="D225" s="82" t="s">
        <v>960</v>
      </c>
      <c r="E225" s="87">
        <v>48.25</v>
      </c>
      <c r="F225" s="81" t="s">
        <v>953</v>
      </c>
      <c r="G225" s="81" t="s">
        <v>121</v>
      </c>
      <c r="H225" s="81" t="s">
        <v>121</v>
      </c>
      <c r="I225" s="84" t="s">
        <v>121</v>
      </c>
      <c r="J225" s="85"/>
      <c r="K225" s="85"/>
      <c r="L225" s="85"/>
      <c r="M225" s="86"/>
      <c r="N225" s="80"/>
      <c r="O225" s="81">
        <v>4</v>
      </c>
      <c r="P225" s="82" t="s">
        <v>961</v>
      </c>
      <c r="Q225" s="87">
        <v>38.700000000000003</v>
      </c>
      <c r="R225" s="81" t="s">
        <v>952</v>
      </c>
      <c r="S225" s="81" t="s">
        <v>121</v>
      </c>
      <c r="T225" s="81" t="s">
        <v>121</v>
      </c>
      <c r="U225" s="84" t="s">
        <v>121</v>
      </c>
    </row>
    <row r="226" spans="1:21" ht="13.2">
      <c r="A226" s="56" t="s">
        <v>147</v>
      </c>
      <c r="B226" s="80"/>
      <c r="C226" s="81">
        <v>5</v>
      </c>
      <c r="D226" s="82" t="s">
        <v>962</v>
      </c>
      <c r="E226" s="87">
        <v>44.4</v>
      </c>
      <c r="F226" s="81" t="s">
        <v>952</v>
      </c>
      <c r="G226" s="81" t="s">
        <v>121</v>
      </c>
      <c r="H226" s="81" t="s">
        <v>121</v>
      </c>
      <c r="I226" s="84" t="s">
        <v>121</v>
      </c>
      <c r="J226" s="85"/>
      <c r="K226" s="85"/>
      <c r="L226" s="85"/>
      <c r="M226" s="86"/>
      <c r="N226" s="80"/>
      <c r="O226" s="81">
        <v>5</v>
      </c>
      <c r="P226" s="82" t="s">
        <v>963</v>
      </c>
      <c r="Q226" s="87">
        <v>33.25</v>
      </c>
      <c r="R226" s="81" t="s">
        <v>953</v>
      </c>
      <c r="S226" s="81" t="s">
        <v>121</v>
      </c>
      <c r="T226" s="81" t="s">
        <v>121</v>
      </c>
      <c r="U226" s="84" t="s">
        <v>121</v>
      </c>
    </row>
    <row r="227" spans="1:21" ht="13.2">
      <c r="A227" s="56" t="s">
        <v>147</v>
      </c>
      <c r="B227" s="80"/>
      <c r="C227" s="81">
        <v>6</v>
      </c>
      <c r="D227" s="82" t="s">
        <v>964</v>
      </c>
      <c r="E227" s="87">
        <v>39.1</v>
      </c>
      <c r="F227" s="81" t="s">
        <v>952</v>
      </c>
      <c r="G227" s="81" t="s">
        <v>121</v>
      </c>
      <c r="H227" s="81" t="s">
        <v>121</v>
      </c>
      <c r="I227" s="84" t="s">
        <v>121</v>
      </c>
      <c r="J227" s="85"/>
      <c r="K227" s="85"/>
      <c r="L227" s="85"/>
      <c r="M227" s="86"/>
      <c r="N227" s="80"/>
      <c r="O227" s="81">
        <v>6</v>
      </c>
      <c r="P227" s="82" t="s">
        <v>965</v>
      </c>
      <c r="Q227" s="87">
        <v>31.45</v>
      </c>
      <c r="R227" s="81" t="s">
        <v>953</v>
      </c>
      <c r="S227" s="81" t="s">
        <v>121</v>
      </c>
      <c r="T227" s="81" t="s">
        <v>121</v>
      </c>
      <c r="U227" s="84" t="s">
        <v>121</v>
      </c>
    </row>
    <row r="228" spans="1:21" ht="13.2">
      <c r="A228" s="56" t="s">
        <v>147</v>
      </c>
      <c r="B228" s="80"/>
      <c r="C228" s="81">
        <v>7</v>
      </c>
      <c r="D228" s="82" t="s">
        <v>966</v>
      </c>
      <c r="E228" s="87">
        <v>31.5</v>
      </c>
      <c r="F228" s="81" t="s">
        <v>952</v>
      </c>
      <c r="G228" s="81" t="s">
        <v>121</v>
      </c>
      <c r="H228" s="81" t="s">
        <v>121</v>
      </c>
      <c r="I228" s="84" t="s">
        <v>121</v>
      </c>
      <c r="J228" s="85"/>
      <c r="K228" s="85"/>
      <c r="L228" s="85"/>
      <c r="M228" s="86"/>
      <c r="N228" s="80"/>
      <c r="O228" s="81">
        <v>7</v>
      </c>
      <c r="P228" s="82" t="s">
        <v>967</v>
      </c>
      <c r="Q228" s="87">
        <v>25.75</v>
      </c>
      <c r="R228" s="81" t="s">
        <v>952</v>
      </c>
      <c r="S228" s="81" t="s">
        <v>121</v>
      </c>
      <c r="T228" s="81" t="s">
        <v>121</v>
      </c>
      <c r="U228" s="84" t="s">
        <v>121</v>
      </c>
    </row>
    <row r="229" spans="1:21" ht="13.2">
      <c r="A229" s="56" t="s">
        <v>147</v>
      </c>
      <c r="B229" s="80"/>
      <c r="C229" s="81">
        <v>8</v>
      </c>
      <c r="D229" s="88" t="s">
        <v>968</v>
      </c>
      <c r="E229" s="87">
        <v>28.7</v>
      </c>
      <c r="F229" s="81" t="s">
        <v>953</v>
      </c>
      <c r="G229" s="81" t="s">
        <v>121</v>
      </c>
      <c r="H229" s="81" t="s">
        <v>121</v>
      </c>
      <c r="I229" s="84" t="s">
        <v>121</v>
      </c>
      <c r="J229" s="85"/>
      <c r="K229" s="85"/>
      <c r="L229" s="85"/>
      <c r="M229" s="86"/>
      <c r="N229" s="80"/>
      <c r="O229" s="81">
        <v>8</v>
      </c>
      <c r="P229" s="82" t="s">
        <v>969</v>
      </c>
      <c r="Q229" s="87" t="s">
        <v>122</v>
      </c>
      <c r="R229" s="81" t="s">
        <v>952</v>
      </c>
      <c r="S229" s="81" t="s">
        <v>121</v>
      </c>
      <c r="T229" s="81" t="s">
        <v>121</v>
      </c>
      <c r="U229" s="84" t="s">
        <v>121</v>
      </c>
    </row>
    <row r="230" spans="1:21" ht="13.2">
      <c r="A230" s="56" t="s">
        <v>147</v>
      </c>
      <c r="B230" s="80"/>
      <c r="C230" s="81">
        <v>9</v>
      </c>
      <c r="D230" s="88" t="s">
        <v>970</v>
      </c>
      <c r="E230" s="87">
        <v>26.9</v>
      </c>
      <c r="F230" s="81" t="s">
        <v>953</v>
      </c>
      <c r="G230" s="81" t="s">
        <v>121</v>
      </c>
      <c r="H230" s="81" t="s">
        <v>121</v>
      </c>
      <c r="I230" s="84" t="s">
        <v>121</v>
      </c>
      <c r="J230" s="85"/>
      <c r="K230" s="85"/>
      <c r="L230" s="85"/>
      <c r="M230" s="86"/>
      <c r="N230" s="80"/>
      <c r="O230" s="81" t="s">
        <v>121</v>
      </c>
      <c r="P230" s="82"/>
      <c r="Q230" s="87" t="s">
        <v>121</v>
      </c>
      <c r="R230" s="81"/>
      <c r="S230" s="81" t="s">
        <v>121</v>
      </c>
      <c r="T230" s="81" t="s">
        <v>121</v>
      </c>
      <c r="U230" s="84" t="s">
        <v>121</v>
      </c>
    </row>
    <row r="231" spans="1:21" ht="13.2">
      <c r="A231" s="56" t="s">
        <v>147</v>
      </c>
      <c r="B231" s="80"/>
      <c r="C231" s="81">
        <v>10</v>
      </c>
      <c r="D231" s="88" t="s">
        <v>971</v>
      </c>
      <c r="E231" s="87">
        <v>26.5</v>
      </c>
      <c r="F231" s="81" t="s">
        <v>952</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147</v>
      </c>
      <c r="B232" s="80"/>
      <c r="C232" s="81">
        <v>11</v>
      </c>
      <c r="D232" s="88" t="s">
        <v>972</v>
      </c>
      <c r="E232" s="87">
        <v>25.25</v>
      </c>
      <c r="F232" s="81" t="s">
        <v>952</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147</v>
      </c>
      <c r="B233" s="80"/>
      <c r="C233" s="81">
        <v>12</v>
      </c>
      <c r="D233" s="88" t="s">
        <v>973</v>
      </c>
      <c r="E233" s="87">
        <v>16.5</v>
      </c>
      <c r="F233" s="81" t="s">
        <v>952</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0</v>
      </c>
      <c r="H247" s="90">
        <v>9</v>
      </c>
      <c r="I247" s="84" t="s">
        <v>121</v>
      </c>
      <c r="J247" s="85"/>
      <c r="K247" s="85"/>
      <c r="L247" s="85"/>
      <c r="M247" s="86"/>
      <c r="N247" s="80"/>
      <c r="O247" s="230" t="s">
        <v>185</v>
      </c>
      <c r="P247" s="227"/>
      <c r="Q247" s="227"/>
      <c r="R247" s="227"/>
      <c r="S247" s="90">
        <v>1</v>
      </c>
      <c r="T247" s="90">
        <v>8</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99"/>
      <c r="C251" s="81">
        <v>1</v>
      </c>
      <c r="D251" s="82" t="s">
        <v>974</v>
      </c>
      <c r="E251" s="83">
        <v>70.95</v>
      </c>
      <c r="F251" s="81" t="s">
        <v>953</v>
      </c>
      <c r="G251" s="81" t="s">
        <v>121</v>
      </c>
      <c r="H251" s="81">
        <v>5</v>
      </c>
      <c r="I251" s="100" t="s">
        <v>121</v>
      </c>
      <c r="J251" s="85"/>
      <c r="K251" s="85"/>
      <c r="L251" s="85"/>
      <c r="M251" s="86"/>
      <c r="N251" s="99"/>
      <c r="O251" s="81">
        <v>1</v>
      </c>
      <c r="P251" s="82" t="s">
        <v>975</v>
      </c>
      <c r="Q251" s="83">
        <v>103.2</v>
      </c>
      <c r="R251" s="81" t="s">
        <v>953</v>
      </c>
      <c r="S251" s="81" t="s">
        <v>121</v>
      </c>
      <c r="T251" s="81">
        <v>5</v>
      </c>
      <c r="U251" s="100" t="s">
        <v>121</v>
      </c>
    </row>
    <row r="252" spans="1:21" ht="13.2">
      <c r="A252" s="56" t="s">
        <v>151</v>
      </c>
      <c r="B252" s="99"/>
      <c r="C252" s="81">
        <v>2</v>
      </c>
      <c r="D252" s="82" t="s">
        <v>976</v>
      </c>
      <c r="E252" s="87">
        <v>51.8</v>
      </c>
      <c r="F252" s="81" t="s">
        <v>953</v>
      </c>
      <c r="G252" s="81" t="s">
        <v>121</v>
      </c>
      <c r="H252" s="81">
        <v>3</v>
      </c>
      <c r="I252" s="100" t="s">
        <v>121</v>
      </c>
      <c r="J252" s="85"/>
      <c r="K252" s="85"/>
      <c r="L252" s="85"/>
      <c r="M252" s="86"/>
      <c r="N252" s="99"/>
      <c r="O252" s="81">
        <v>2</v>
      </c>
      <c r="P252" s="82" t="s">
        <v>977</v>
      </c>
      <c r="Q252" s="87">
        <v>64.7</v>
      </c>
      <c r="R252" s="81" t="s">
        <v>953</v>
      </c>
      <c r="S252" s="81" t="s">
        <v>121</v>
      </c>
      <c r="T252" s="81">
        <v>3</v>
      </c>
      <c r="U252" s="100" t="s">
        <v>121</v>
      </c>
    </row>
    <row r="253" spans="1:21" ht="13.2">
      <c r="A253" s="56" t="s">
        <v>151</v>
      </c>
      <c r="B253" s="99"/>
      <c r="C253" s="81">
        <v>3</v>
      </c>
      <c r="D253" s="82" t="s">
        <v>978</v>
      </c>
      <c r="E253" s="87">
        <v>48.5</v>
      </c>
      <c r="F253" s="81" t="s">
        <v>952</v>
      </c>
      <c r="G253" s="81">
        <v>1</v>
      </c>
      <c r="H253" s="81" t="s">
        <v>121</v>
      </c>
      <c r="I253" s="100" t="s">
        <v>121</v>
      </c>
      <c r="J253" s="85"/>
      <c r="K253" s="85"/>
      <c r="L253" s="85"/>
      <c r="M253" s="86"/>
      <c r="N253" s="99"/>
      <c r="O253" s="81">
        <v>3</v>
      </c>
      <c r="P253" s="82" t="s">
        <v>979</v>
      </c>
      <c r="Q253" s="87">
        <v>56.8</v>
      </c>
      <c r="R253" s="81" t="s">
        <v>953</v>
      </c>
      <c r="S253" s="81" t="s">
        <v>121</v>
      </c>
      <c r="T253" s="81">
        <v>1</v>
      </c>
      <c r="U253" s="100" t="s">
        <v>121</v>
      </c>
    </row>
    <row r="254" spans="1:21" ht="13.2">
      <c r="A254" s="56" t="s">
        <v>121</v>
      </c>
      <c r="B254" s="99"/>
      <c r="C254" s="81" t="s">
        <v>121</v>
      </c>
      <c r="D254" s="82"/>
      <c r="E254" s="87" t="s">
        <v>121</v>
      </c>
      <c r="F254" s="81"/>
      <c r="G254" s="81" t="s">
        <v>121</v>
      </c>
      <c r="H254" s="81" t="s">
        <v>121</v>
      </c>
      <c r="I254" s="100" t="s">
        <v>121</v>
      </c>
      <c r="J254" s="85"/>
      <c r="K254" s="85"/>
      <c r="L254" s="85"/>
      <c r="M254" s="86"/>
      <c r="N254" s="99"/>
      <c r="O254" s="81" t="s">
        <v>121</v>
      </c>
      <c r="P254" s="82"/>
      <c r="Q254" s="87" t="s">
        <v>121</v>
      </c>
      <c r="R254" s="81"/>
      <c r="S254" s="81" t="s">
        <v>121</v>
      </c>
      <c r="T254" s="81" t="s">
        <v>121</v>
      </c>
      <c r="U254" s="100" t="s">
        <v>121</v>
      </c>
    </row>
    <row r="255" spans="1:21" ht="13.2">
      <c r="A255" s="56" t="s">
        <v>121</v>
      </c>
      <c r="B255" s="99"/>
      <c r="C255" s="81" t="s">
        <v>121</v>
      </c>
      <c r="D255" s="82"/>
      <c r="E255" s="87" t="s">
        <v>121</v>
      </c>
      <c r="F255" s="81"/>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121</v>
      </c>
      <c r="B256" s="99"/>
      <c r="C256" s="81" t="s">
        <v>121</v>
      </c>
      <c r="D256" s="82"/>
      <c r="E256" s="87" t="s">
        <v>121</v>
      </c>
      <c r="F256" s="81"/>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1</v>
      </c>
      <c r="H266" s="90">
        <v>8</v>
      </c>
      <c r="I266" s="100" t="s">
        <v>121</v>
      </c>
      <c r="J266" s="85"/>
      <c r="K266" s="85"/>
      <c r="L266" s="85"/>
      <c r="M266" s="86"/>
      <c r="N266" s="99"/>
      <c r="O266" s="230" t="s">
        <v>200</v>
      </c>
      <c r="P266" s="227"/>
      <c r="Q266" s="227"/>
      <c r="R266" s="228"/>
      <c r="S266" s="90">
        <v>0</v>
      </c>
      <c r="T266" s="90">
        <v>9</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80"/>
      <c r="C270" s="81">
        <v>1</v>
      </c>
      <c r="D270" s="82" t="s">
        <v>980</v>
      </c>
      <c r="E270" s="83">
        <v>119.25</v>
      </c>
      <c r="F270" s="81" t="s">
        <v>952</v>
      </c>
      <c r="G270" s="81">
        <v>5</v>
      </c>
      <c r="H270" s="81" t="s">
        <v>121</v>
      </c>
      <c r="I270" s="84" t="s">
        <v>121</v>
      </c>
      <c r="J270" s="85"/>
      <c r="K270" s="85"/>
      <c r="L270" s="85"/>
      <c r="M270" s="86"/>
      <c r="N270" s="80"/>
      <c r="O270" s="81">
        <v>1</v>
      </c>
      <c r="P270" s="82" t="s">
        <v>981</v>
      </c>
      <c r="Q270" s="83">
        <v>89.35</v>
      </c>
      <c r="R270" s="81" t="s">
        <v>953</v>
      </c>
      <c r="S270" s="81" t="s">
        <v>121</v>
      </c>
      <c r="T270" s="81">
        <v>5</v>
      </c>
      <c r="U270" s="84" t="s">
        <v>121</v>
      </c>
    </row>
    <row r="271" spans="1:21" ht="13.2">
      <c r="A271" s="56" t="s">
        <v>155</v>
      </c>
      <c r="B271" s="80"/>
      <c r="C271" s="81">
        <v>2</v>
      </c>
      <c r="D271" s="82" t="s">
        <v>982</v>
      </c>
      <c r="E271" s="87">
        <v>92.65</v>
      </c>
      <c r="F271" s="81" t="s">
        <v>953</v>
      </c>
      <c r="G271" s="81" t="s">
        <v>121</v>
      </c>
      <c r="H271" s="81">
        <v>3</v>
      </c>
      <c r="I271" s="84" t="s">
        <v>121</v>
      </c>
      <c r="J271" s="85"/>
      <c r="K271" s="85"/>
      <c r="L271" s="85"/>
      <c r="M271" s="86"/>
      <c r="N271" s="80"/>
      <c r="O271" s="81">
        <v>2</v>
      </c>
      <c r="P271" s="82" t="s">
        <v>983</v>
      </c>
      <c r="Q271" s="87">
        <v>64.05</v>
      </c>
      <c r="R271" s="81" t="s">
        <v>953</v>
      </c>
      <c r="S271" s="81" t="s">
        <v>121</v>
      </c>
      <c r="T271" s="81">
        <v>3</v>
      </c>
      <c r="U271" s="84" t="s">
        <v>121</v>
      </c>
    </row>
    <row r="272" spans="1:21" ht="13.2">
      <c r="A272" s="56" t="s">
        <v>155</v>
      </c>
      <c r="B272" s="80"/>
      <c r="C272" s="81">
        <v>3</v>
      </c>
      <c r="D272" s="82" t="s">
        <v>984</v>
      </c>
      <c r="E272" s="87">
        <v>85.75</v>
      </c>
      <c r="F272" s="81" t="s">
        <v>952</v>
      </c>
      <c r="G272" s="81">
        <v>1</v>
      </c>
      <c r="H272" s="81" t="s">
        <v>121</v>
      </c>
      <c r="I272" s="84" t="s">
        <v>121</v>
      </c>
      <c r="J272" s="85"/>
      <c r="K272" s="85"/>
      <c r="L272" s="85"/>
      <c r="M272" s="86"/>
      <c r="N272" s="80"/>
      <c r="O272" s="81" t="s">
        <v>121</v>
      </c>
      <c r="P272" s="82"/>
      <c r="Q272" s="87" t="s">
        <v>121</v>
      </c>
      <c r="R272" s="81"/>
      <c r="S272" s="81" t="s">
        <v>121</v>
      </c>
      <c r="T272" s="81" t="s">
        <v>121</v>
      </c>
      <c r="U272" s="84" t="s">
        <v>121</v>
      </c>
    </row>
    <row r="273" spans="1:21" ht="13.2">
      <c r="A273" s="56" t="s">
        <v>155</v>
      </c>
      <c r="B273" s="80"/>
      <c r="C273" s="81">
        <v>4</v>
      </c>
      <c r="D273" s="82" t="s">
        <v>985</v>
      </c>
      <c r="E273" s="87">
        <v>80</v>
      </c>
      <c r="F273" s="81" t="s">
        <v>953</v>
      </c>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6</v>
      </c>
      <c r="H280" s="90">
        <v>3</v>
      </c>
      <c r="I280" s="84" t="s">
        <v>121</v>
      </c>
      <c r="J280" s="85"/>
      <c r="K280" s="85"/>
      <c r="L280" s="85"/>
      <c r="M280" s="86"/>
      <c r="N280" s="80"/>
      <c r="O280" s="230" t="s">
        <v>211</v>
      </c>
      <c r="P280" s="227"/>
      <c r="Q280" s="227"/>
      <c r="R280" s="227"/>
      <c r="S280" s="90">
        <v>0</v>
      </c>
      <c r="T280" s="90">
        <v>8</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99"/>
      <c r="C284" s="81">
        <v>1</v>
      </c>
      <c r="D284" s="82" t="s">
        <v>986</v>
      </c>
      <c r="E284" s="83">
        <v>199.45</v>
      </c>
      <c r="F284" s="81" t="s">
        <v>952</v>
      </c>
      <c r="G284" s="81">
        <v>5</v>
      </c>
      <c r="H284" s="81" t="s">
        <v>121</v>
      </c>
      <c r="I284" s="100" t="s">
        <v>121</v>
      </c>
      <c r="J284" s="85"/>
      <c r="K284" s="85"/>
      <c r="L284" s="85"/>
      <c r="M284" s="86"/>
      <c r="N284" s="99"/>
      <c r="O284" s="81">
        <v>1</v>
      </c>
      <c r="P284" s="82" t="s">
        <v>987</v>
      </c>
      <c r="Q284" s="83">
        <v>191.75</v>
      </c>
      <c r="R284" s="81" t="s">
        <v>952</v>
      </c>
      <c r="S284" s="81">
        <v>5</v>
      </c>
      <c r="T284" s="81" t="s">
        <v>121</v>
      </c>
      <c r="U284" s="100" t="s">
        <v>121</v>
      </c>
    </row>
    <row r="285" spans="1:21" ht="13.2">
      <c r="A285" s="56" t="s">
        <v>159</v>
      </c>
      <c r="B285" s="99"/>
      <c r="C285" s="81">
        <v>2</v>
      </c>
      <c r="D285" s="82" t="s">
        <v>988</v>
      </c>
      <c r="E285" s="87">
        <v>160.55000000000001</v>
      </c>
      <c r="F285" s="81" t="s">
        <v>953</v>
      </c>
      <c r="G285" s="81" t="s">
        <v>121</v>
      </c>
      <c r="H285" s="81">
        <v>3</v>
      </c>
      <c r="I285" s="100" t="s">
        <v>121</v>
      </c>
      <c r="J285" s="85"/>
      <c r="K285" s="85"/>
      <c r="L285" s="85"/>
      <c r="M285" s="86"/>
      <c r="N285" s="99"/>
      <c r="O285" s="81">
        <v>2</v>
      </c>
      <c r="P285" s="82" t="s">
        <v>989</v>
      </c>
      <c r="Q285" s="87" t="s">
        <v>122</v>
      </c>
      <c r="R285" s="81" t="s">
        <v>953</v>
      </c>
      <c r="S285" s="81" t="s">
        <v>121</v>
      </c>
      <c r="T285" s="81" t="s">
        <v>121</v>
      </c>
      <c r="U285" s="100" t="s">
        <v>121</v>
      </c>
    </row>
    <row r="286" spans="1:21" ht="13.2">
      <c r="A286" s="56" t="s">
        <v>159</v>
      </c>
      <c r="B286" s="99"/>
      <c r="C286" s="81">
        <v>3</v>
      </c>
      <c r="D286" s="82" t="s">
        <v>990</v>
      </c>
      <c r="E286" s="87">
        <v>146.44999999999999</v>
      </c>
      <c r="F286" s="81" t="s">
        <v>952</v>
      </c>
      <c r="G286" s="81">
        <v>1</v>
      </c>
      <c r="H286" s="81" t="s">
        <v>121</v>
      </c>
      <c r="I286" s="100" t="s">
        <v>121</v>
      </c>
      <c r="J286" s="85"/>
      <c r="K286" s="85"/>
      <c r="L286" s="85"/>
      <c r="M286" s="86"/>
      <c r="N286" s="99"/>
      <c r="O286" s="81" t="s">
        <v>121</v>
      </c>
      <c r="P286" s="82"/>
      <c r="Q286" s="87" t="s">
        <v>121</v>
      </c>
      <c r="R286" s="81"/>
      <c r="S286" s="81" t="s">
        <v>121</v>
      </c>
      <c r="T286" s="81" t="s">
        <v>121</v>
      </c>
      <c r="U286" s="100" t="s">
        <v>121</v>
      </c>
    </row>
    <row r="287" spans="1:21" ht="13.2">
      <c r="A287" s="56" t="s">
        <v>159</v>
      </c>
      <c r="B287" s="99"/>
      <c r="C287" s="81">
        <v>4</v>
      </c>
      <c r="D287" s="82" t="s">
        <v>991</v>
      </c>
      <c r="E287" s="87">
        <v>144.30000000000001</v>
      </c>
      <c r="F287" s="81" t="s">
        <v>952</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159</v>
      </c>
      <c r="B288" s="99"/>
      <c r="C288" s="81">
        <v>5</v>
      </c>
      <c r="D288" s="82" t="s">
        <v>992</v>
      </c>
      <c r="E288" s="87">
        <v>117.4</v>
      </c>
      <c r="F288" s="81" t="s">
        <v>953</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6</v>
      </c>
      <c r="H294" s="90">
        <v>3</v>
      </c>
      <c r="I294" s="100" t="s">
        <v>121</v>
      </c>
      <c r="J294" s="85"/>
      <c r="K294" s="85"/>
      <c r="L294" s="85"/>
      <c r="M294" s="86"/>
      <c r="N294" s="99"/>
      <c r="O294" s="230" t="s">
        <v>221</v>
      </c>
      <c r="P294" s="227"/>
      <c r="Q294" s="227"/>
      <c r="R294" s="227"/>
      <c r="S294" s="90">
        <v>5</v>
      </c>
      <c r="T294" s="90">
        <v>0</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993</v>
      </c>
      <c r="R296" s="227"/>
      <c r="S296" s="227"/>
      <c r="T296" s="228"/>
      <c r="U296" s="4" t="s">
        <v>121</v>
      </c>
    </row>
    <row r="297" spans="1:21" ht="13.2">
      <c r="A297" s="56"/>
      <c r="B297" s="4"/>
      <c r="C297" s="249" t="s">
        <v>994</v>
      </c>
      <c r="D297" s="235"/>
      <c r="E297" s="235"/>
      <c r="F297" s="235"/>
      <c r="G297" s="235"/>
      <c r="H297" s="236"/>
      <c r="I297" s="85" t="s">
        <v>121</v>
      </c>
      <c r="J297" s="85"/>
      <c r="K297" s="85"/>
      <c r="L297" s="85"/>
      <c r="M297" s="86"/>
      <c r="N297" s="107"/>
      <c r="O297" s="110" t="s">
        <v>226</v>
      </c>
      <c r="P297" s="111"/>
      <c r="Q297" s="231" t="s">
        <v>995</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995</v>
      </c>
      <c r="F299" s="227"/>
      <c r="G299" s="227"/>
      <c r="H299" s="228"/>
      <c r="I299" s="85" t="s">
        <v>121</v>
      </c>
      <c r="J299" s="85"/>
      <c r="K299" s="85"/>
      <c r="L299" s="85"/>
      <c r="M299" s="86"/>
      <c r="N299" s="107"/>
      <c r="O299" s="112" t="s">
        <v>229</v>
      </c>
      <c r="P299" s="113"/>
      <c r="Q299" s="233" t="s">
        <v>996</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73"/>
      <c r="D301" s="235"/>
      <c r="E301" s="235"/>
      <c r="F301" s="235"/>
      <c r="G301" s="235"/>
      <c r="H301" s="236"/>
      <c r="I301" s="4" t="s">
        <v>121</v>
      </c>
      <c r="J301" s="4"/>
      <c r="K301" s="4"/>
      <c r="L301" s="4"/>
      <c r="M301" s="71"/>
      <c r="N301" s="109"/>
      <c r="O301" s="234" t="s">
        <v>997</v>
      </c>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9"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8"/>
      <c r="D1" s="26">
        <v>44383</v>
      </c>
      <c r="E1" s="9"/>
      <c r="F1" s="27" t="s">
        <v>128</v>
      </c>
      <c r="G1" s="10"/>
      <c r="H1" s="9"/>
      <c r="I1" s="11"/>
      <c r="J1" s="11"/>
      <c r="K1" s="11"/>
      <c r="L1" s="11"/>
      <c r="M1" s="11"/>
      <c r="N1" s="11"/>
      <c r="O1" s="11"/>
      <c r="P1" s="11"/>
      <c r="Q1" s="28" t="s">
        <v>0</v>
      </c>
      <c r="R1" s="255">
        <v>6</v>
      </c>
      <c r="S1" s="227"/>
      <c r="T1" s="227"/>
      <c r="U1" s="12"/>
    </row>
    <row r="2" spans="1:21" ht="15.6">
      <c r="B2" s="256" t="s">
        <v>129</v>
      </c>
      <c r="C2" s="226"/>
      <c r="D2" s="13" t="s">
        <v>130</v>
      </c>
      <c r="E2" s="10"/>
      <c r="F2" s="225" t="s">
        <v>1</v>
      </c>
      <c r="G2" s="226"/>
      <c r="H2" s="226"/>
      <c r="I2" s="257" t="s">
        <v>131</v>
      </c>
      <c r="J2" s="226"/>
      <c r="K2" s="226"/>
      <c r="L2" s="9"/>
      <c r="M2" s="9"/>
      <c r="N2" s="9"/>
      <c r="O2" s="9"/>
      <c r="P2" s="13" t="s">
        <v>132</v>
      </c>
      <c r="Q2" s="10"/>
      <c r="R2" s="225" t="s">
        <v>1</v>
      </c>
      <c r="S2" s="226"/>
      <c r="T2" s="226"/>
      <c r="U2" s="10" t="s">
        <v>121</v>
      </c>
    </row>
    <row r="3" spans="1:21">
      <c r="A3" s="29">
        <v>1</v>
      </c>
      <c r="B3" s="30">
        <v>1</v>
      </c>
      <c r="C3" s="9"/>
      <c r="D3" s="258" t="s">
        <v>998</v>
      </c>
      <c r="E3" s="228"/>
      <c r="F3" s="259">
        <v>40</v>
      </c>
      <c r="G3" s="227"/>
      <c r="H3" s="228"/>
      <c r="I3" s="31">
        <v>0</v>
      </c>
      <c r="J3" s="9"/>
      <c r="K3" s="32"/>
      <c r="L3" s="32" t="s">
        <v>3</v>
      </c>
      <c r="M3" s="9"/>
      <c r="N3" s="9"/>
      <c r="O3" s="9"/>
      <c r="P3" s="260" t="s">
        <v>999</v>
      </c>
      <c r="Q3" s="227"/>
      <c r="R3" s="261">
        <v>32</v>
      </c>
      <c r="S3" s="227"/>
      <c r="T3" s="228"/>
      <c r="U3" s="31">
        <v>0</v>
      </c>
    </row>
    <row r="4" spans="1:21">
      <c r="A4" s="29">
        <v>2</v>
      </c>
      <c r="B4" s="30">
        <v>2</v>
      </c>
      <c r="C4" s="16"/>
      <c r="D4" s="258" t="s">
        <v>1000</v>
      </c>
      <c r="E4" s="228"/>
      <c r="F4" s="259">
        <v>45</v>
      </c>
      <c r="G4" s="227"/>
      <c r="H4" s="227"/>
      <c r="I4" s="31">
        <v>1</v>
      </c>
      <c r="J4" s="14"/>
      <c r="K4" s="32"/>
      <c r="L4" s="32" t="s">
        <v>3</v>
      </c>
      <c r="M4" s="14"/>
      <c r="N4" s="14"/>
      <c r="O4" s="15"/>
      <c r="P4" s="260" t="s">
        <v>1001</v>
      </c>
      <c r="Q4" s="227"/>
      <c r="R4" s="261">
        <v>27</v>
      </c>
      <c r="S4" s="227"/>
      <c r="T4" s="227"/>
      <c r="U4" s="31">
        <v>0</v>
      </c>
    </row>
    <row r="5" spans="1:21">
      <c r="A5" s="29">
        <v>3</v>
      </c>
      <c r="B5" s="30">
        <v>3</v>
      </c>
      <c r="C5" s="16"/>
      <c r="D5" s="264" t="s">
        <v>1002</v>
      </c>
      <c r="E5" s="236"/>
      <c r="F5" s="259">
        <v>32</v>
      </c>
      <c r="G5" s="227"/>
      <c r="H5" s="228"/>
      <c r="I5" s="31">
        <v>0</v>
      </c>
      <c r="J5" s="14"/>
      <c r="K5" s="32"/>
      <c r="L5" s="32" t="s">
        <v>3</v>
      </c>
      <c r="M5" s="14"/>
      <c r="N5" s="14"/>
      <c r="O5" s="15"/>
      <c r="P5" s="262" t="s">
        <v>1003</v>
      </c>
      <c r="Q5" s="235"/>
      <c r="R5" s="263">
        <v>40</v>
      </c>
      <c r="S5" s="235"/>
      <c r="T5" s="236"/>
      <c r="U5" s="31">
        <v>0</v>
      </c>
    </row>
    <row r="6" spans="1:21">
      <c r="B6" s="33"/>
      <c r="C6" s="8"/>
      <c r="D6" s="34" t="s">
        <v>139</v>
      </c>
      <c r="E6" s="35">
        <v>1</v>
      </c>
      <c r="F6" s="10"/>
      <c r="G6" s="10"/>
      <c r="H6" s="10"/>
      <c r="I6" s="36"/>
      <c r="J6" s="36"/>
      <c r="K6" s="36"/>
      <c r="L6" s="36"/>
      <c r="M6" s="36"/>
      <c r="N6" s="36"/>
      <c r="O6" s="36"/>
      <c r="P6" s="34" t="s">
        <v>140</v>
      </c>
      <c r="Q6" s="267">
        <v>44383</v>
      </c>
      <c r="R6" s="226"/>
      <c r="S6" s="226"/>
      <c r="T6" s="226"/>
      <c r="U6" s="37"/>
    </row>
    <row r="7" spans="1:21">
      <c r="B7" s="38"/>
      <c r="C7" s="7"/>
      <c r="D7" s="39" t="s">
        <v>141</v>
      </c>
      <c r="E7" s="11"/>
      <c r="F7" s="9"/>
      <c r="G7" s="9"/>
      <c r="H7" s="9"/>
      <c r="I7" s="9"/>
      <c r="J7" s="9"/>
      <c r="K7" s="9"/>
      <c r="L7" s="9"/>
      <c r="M7" s="9"/>
      <c r="N7" s="9"/>
      <c r="O7" s="9"/>
      <c r="P7" s="40" t="s">
        <v>2</v>
      </c>
      <c r="Q7" s="268" t="s">
        <v>142</v>
      </c>
      <c r="R7" s="226"/>
      <c r="S7" s="226"/>
      <c r="T7" s="226"/>
      <c r="U7" s="9"/>
    </row>
    <row r="8" spans="1:21">
      <c r="B8" s="41"/>
      <c r="C8" s="42"/>
      <c r="D8" s="11"/>
      <c r="E8" s="11"/>
      <c r="F8" s="9"/>
      <c r="G8" s="9"/>
      <c r="H8" s="9"/>
      <c r="I8" s="9"/>
      <c r="J8" s="9"/>
      <c r="K8" s="9"/>
      <c r="L8" s="9"/>
      <c r="M8" s="9"/>
      <c r="N8" s="9"/>
      <c r="O8" s="9"/>
      <c r="P8" s="11"/>
      <c r="Q8" s="11"/>
      <c r="R8" s="11"/>
      <c r="S8" s="9"/>
      <c r="T8" s="9"/>
      <c r="U8" s="9"/>
    </row>
    <row r="9" spans="1:21" ht="63.6" customHeight="1">
      <c r="B9" s="43"/>
      <c r="C9" s="251" t="s">
        <v>130</v>
      </c>
      <c r="D9" s="227"/>
      <c r="E9" s="265" t="s">
        <v>998</v>
      </c>
      <c r="F9" s="227"/>
      <c r="G9" s="228"/>
      <c r="H9" s="44" t="s">
        <v>1004</v>
      </c>
      <c r="I9" s="45"/>
      <c r="J9" s="46"/>
      <c r="K9" s="46"/>
      <c r="L9" s="46"/>
      <c r="M9" s="46"/>
      <c r="N9" s="47"/>
      <c r="O9" s="244" t="s">
        <v>132</v>
      </c>
      <c r="P9" s="227"/>
      <c r="Q9" s="269" t="s">
        <v>999</v>
      </c>
      <c r="R9" s="227"/>
      <c r="S9" s="228"/>
      <c r="T9" s="49" t="s">
        <v>1005</v>
      </c>
      <c r="U9" s="50"/>
    </row>
    <row r="10" spans="1:21">
      <c r="B10" s="51"/>
      <c r="C10" s="272" t="s">
        <v>1</v>
      </c>
      <c r="D10" s="228"/>
      <c r="E10" s="266">
        <v>40</v>
      </c>
      <c r="F10" s="227"/>
      <c r="G10" s="227"/>
      <c r="H10" s="52"/>
      <c r="I10" s="45"/>
      <c r="J10" s="53"/>
      <c r="K10" s="53"/>
      <c r="L10" s="53"/>
      <c r="M10" s="53"/>
      <c r="N10" s="47"/>
      <c r="O10" s="270" t="s">
        <v>1</v>
      </c>
      <c r="P10" s="228"/>
      <c r="Q10" s="271">
        <v>32</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B13" s="4"/>
      <c r="C13" s="62" t="s">
        <v>147</v>
      </c>
      <c r="D13" s="63" t="s">
        <v>148</v>
      </c>
      <c r="E13" s="57"/>
      <c r="F13" s="57"/>
      <c r="G13" s="64">
        <v>6</v>
      </c>
      <c r="H13" s="65">
        <v>3</v>
      </c>
      <c r="I13" s="55"/>
      <c r="J13" s="55"/>
      <c r="K13" s="55"/>
      <c r="L13" s="55"/>
      <c r="M13" s="61"/>
      <c r="N13" s="4"/>
      <c r="O13" s="62" t="s">
        <v>149</v>
      </c>
      <c r="P13" s="63" t="s">
        <v>150</v>
      </c>
      <c r="Q13" s="57"/>
      <c r="R13" s="57"/>
      <c r="S13" s="64">
        <v>6</v>
      </c>
      <c r="T13" s="65">
        <v>3</v>
      </c>
      <c r="U13" s="55"/>
    </row>
    <row r="14" spans="1:21" ht="15.75" customHeight="1">
      <c r="A14" s="56"/>
      <c r="B14" s="4"/>
      <c r="C14" s="62" t="s">
        <v>151</v>
      </c>
      <c r="D14" s="63" t="s">
        <v>152</v>
      </c>
      <c r="E14" s="57"/>
      <c r="F14" s="57"/>
      <c r="G14" s="64">
        <v>3</v>
      </c>
      <c r="H14" s="65">
        <v>6</v>
      </c>
      <c r="I14" s="55"/>
      <c r="J14" s="55"/>
      <c r="K14" s="55"/>
      <c r="L14" s="55"/>
      <c r="M14" s="61"/>
      <c r="N14" s="4"/>
      <c r="O14" s="62" t="s">
        <v>153</v>
      </c>
      <c r="P14" s="63" t="s">
        <v>154</v>
      </c>
      <c r="Q14" s="57"/>
      <c r="R14" s="57"/>
      <c r="S14" s="64">
        <v>0</v>
      </c>
      <c r="T14" s="65">
        <v>9</v>
      </c>
      <c r="U14" s="55"/>
    </row>
    <row r="15" spans="1:21" ht="15.75" customHeight="1">
      <c r="A15" s="56"/>
      <c r="B15" s="4"/>
      <c r="C15" s="62" t="s">
        <v>155</v>
      </c>
      <c r="D15" s="63" t="s">
        <v>156</v>
      </c>
      <c r="E15" s="57"/>
      <c r="F15" s="57"/>
      <c r="G15" s="64">
        <v>6</v>
      </c>
      <c r="H15" s="65">
        <v>3</v>
      </c>
      <c r="I15" s="55"/>
      <c r="J15" s="55"/>
      <c r="K15" s="55"/>
      <c r="L15" s="55"/>
      <c r="M15" s="61"/>
      <c r="N15" s="4"/>
      <c r="O15" s="62" t="s">
        <v>157</v>
      </c>
      <c r="P15" s="63" t="s">
        <v>158</v>
      </c>
      <c r="Q15" s="57"/>
      <c r="R15" s="57"/>
      <c r="S15" s="64">
        <v>6</v>
      </c>
      <c r="T15" s="65">
        <v>3</v>
      </c>
      <c r="U15" s="55"/>
    </row>
    <row r="16" spans="1:21" ht="15.75" customHeight="1">
      <c r="A16" s="56"/>
      <c r="B16" s="4"/>
      <c r="C16" s="62" t="s">
        <v>159</v>
      </c>
      <c r="D16" s="63" t="s">
        <v>160</v>
      </c>
      <c r="E16" s="57"/>
      <c r="F16" s="57"/>
      <c r="G16" s="64">
        <v>4</v>
      </c>
      <c r="H16" s="65">
        <v>5</v>
      </c>
      <c r="I16" s="55"/>
      <c r="J16" s="55"/>
      <c r="K16" s="55"/>
      <c r="L16" s="55"/>
      <c r="M16" s="61"/>
      <c r="N16" s="4"/>
      <c r="O16" s="62" t="s">
        <v>161</v>
      </c>
      <c r="P16" s="63" t="s">
        <v>162</v>
      </c>
      <c r="Q16" s="57"/>
      <c r="R16" s="57"/>
      <c r="S16" s="64">
        <v>9</v>
      </c>
      <c r="T16" s="65">
        <v>0</v>
      </c>
      <c r="U16" s="55"/>
    </row>
    <row r="17" spans="1:21" ht="15.75" customHeight="1">
      <c r="A17" s="56"/>
      <c r="B17" s="4"/>
      <c r="C17" s="66"/>
      <c r="D17" s="67" t="s">
        <v>163</v>
      </c>
      <c r="E17" s="68"/>
      <c r="F17" s="68"/>
      <c r="G17" s="69">
        <v>19</v>
      </c>
      <c r="H17" s="70">
        <v>17</v>
      </c>
      <c r="I17" s="55"/>
      <c r="J17" s="55"/>
      <c r="K17" s="55"/>
      <c r="L17" s="55"/>
      <c r="M17" s="61"/>
      <c r="N17" s="4"/>
      <c r="O17" s="66"/>
      <c r="P17" s="67" t="s">
        <v>163</v>
      </c>
      <c r="Q17" s="68"/>
      <c r="R17" s="68"/>
      <c r="S17" s="69">
        <v>21</v>
      </c>
      <c r="T17" s="70">
        <v>15</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80"/>
      <c r="C22" s="81">
        <v>1</v>
      </c>
      <c r="D22" s="82" t="s">
        <v>1006</v>
      </c>
      <c r="E22" s="83">
        <v>63.85</v>
      </c>
      <c r="F22" s="81" t="s">
        <v>1004</v>
      </c>
      <c r="G22" s="81">
        <v>5</v>
      </c>
      <c r="H22" s="81" t="s">
        <v>121</v>
      </c>
      <c r="I22" s="84" t="s">
        <v>121</v>
      </c>
      <c r="J22" s="85"/>
      <c r="K22" s="85"/>
      <c r="L22" s="85"/>
      <c r="M22" s="86"/>
      <c r="N22" s="80"/>
      <c r="O22" s="81">
        <v>1</v>
      </c>
      <c r="P22" s="82" t="s">
        <v>1007</v>
      </c>
      <c r="Q22" s="83">
        <v>74.900000000000006</v>
      </c>
      <c r="R22" s="81" t="s">
        <v>1004</v>
      </c>
      <c r="S22" s="81">
        <v>5</v>
      </c>
      <c r="T22" s="81" t="s">
        <v>121</v>
      </c>
      <c r="U22" s="84" t="s">
        <v>121</v>
      </c>
    </row>
    <row r="23" spans="1:21" ht="15.75" customHeight="1">
      <c r="A23" s="56" t="s">
        <v>147</v>
      </c>
      <c r="B23" s="80"/>
      <c r="C23" s="81">
        <v>2</v>
      </c>
      <c r="D23" s="82" t="s">
        <v>1008</v>
      </c>
      <c r="E23" s="87">
        <v>57.45</v>
      </c>
      <c r="F23" s="81" t="s">
        <v>1005</v>
      </c>
      <c r="G23" s="81" t="s">
        <v>121</v>
      </c>
      <c r="H23" s="81">
        <v>3</v>
      </c>
      <c r="I23" s="84" t="s">
        <v>121</v>
      </c>
      <c r="J23" s="85"/>
      <c r="K23" s="85"/>
      <c r="L23" s="85"/>
      <c r="M23" s="86"/>
      <c r="N23" s="80"/>
      <c r="O23" s="81">
        <v>2</v>
      </c>
      <c r="P23" s="82" t="s">
        <v>1009</v>
      </c>
      <c r="Q23" s="87">
        <v>67.099999999999994</v>
      </c>
      <c r="R23" s="81" t="s">
        <v>1005</v>
      </c>
      <c r="S23" s="81" t="s">
        <v>121</v>
      </c>
      <c r="T23" s="81">
        <v>3</v>
      </c>
      <c r="U23" s="84" t="s">
        <v>121</v>
      </c>
    </row>
    <row r="24" spans="1:21" ht="15.75" customHeight="1">
      <c r="A24" s="56" t="s">
        <v>147</v>
      </c>
      <c r="B24" s="80"/>
      <c r="C24" s="81">
        <v>3</v>
      </c>
      <c r="D24" s="82" t="s">
        <v>1010</v>
      </c>
      <c r="E24" s="87">
        <v>49.75</v>
      </c>
      <c r="F24" s="81" t="s">
        <v>1004</v>
      </c>
      <c r="G24" s="81">
        <v>1</v>
      </c>
      <c r="H24" s="81" t="s">
        <v>121</v>
      </c>
      <c r="I24" s="84" t="s">
        <v>121</v>
      </c>
      <c r="J24" s="85"/>
      <c r="K24" s="85"/>
      <c r="L24" s="85"/>
      <c r="M24" s="86"/>
      <c r="N24" s="80"/>
      <c r="O24" s="81">
        <v>3</v>
      </c>
      <c r="P24" s="82" t="s">
        <v>1011</v>
      </c>
      <c r="Q24" s="87">
        <v>59</v>
      </c>
      <c r="R24" s="81" t="s">
        <v>1004</v>
      </c>
      <c r="S24" s="81">
        <v>1</v>
      </c>
      <c r="T24" s="81" t="s">
        <v>121</v>
      </c>
      <c r="U24" s="84" t="s">
        <v>121</v>
      </c>
    </row>
    <row r="25" spans="1:21" ht="15.75" customHeight="1">
      <c r="A25" s="56" t="s">
        <v>147</v>
      </c>
      <c r="B25" s="80"/>
      <c r="C25" s="81">
        <v>4</v>
      </c>
      <c r="D25" s="82" t="s">
        <v>1012</v>
      </c>
      <c r="E25" s="87">
        <v>49.65</v>
      </c>
      <c r="F25" s="81" t="s">
        <v>1004</v>
      </c>
      <c r="G25" s="81" t="s">
        <v>121</v>
      </c>
      <c r="H25" s="81" t="s">
        <v>121</v>
      </c>
      <c r="I25" s="84" t="s">
        <v>121</v>
      </c>
      <c r="J25" s="85"/>
      <c r="K25" s="85"/>
      <c r="L25" s="85"/>
      <c r="M25" s="86"/>
      <c r="N25" s="80"/>
      <c r="O25" s="81">
        <v>4</v>
      </c>
      <c r="P25" s="82" t="s">
        <v>1013</v>
      </c>
      <c r="Q25" s="87">
        <v>51.4</v>
      </c>
      <c r="R25" s="81" t="s">
        <v>1004</v>
      </c>
      <c r="S25" s="81" t="s">
        <v>121</v>
      </c>
      <c r="T25" s="81" t="s">
        <v>121</v>
      </c>
      <c r="U25" s="84" t="s">
        <v>121</v>
      </c>
    </row>
    <row r="26" spans="1:21" ht="15.75" customHeight="1">
      <c r="A26" s="56" t="s">
        <v>147</v>
      </c>
      <c r="B26" s="80"/>
      <c r="C26" s="81">
        <v>5</v>
      </c>
      <c r="D26" s="82" t="s">
        <v>1014</v>
      </c>
      <c r="E26" s="87">
        <v>45.25</v>
      </c>
      <c r="F26" s="81" t="s">
        <v>1004</v>
      </c>
      <c r="G26" s="81" t="s">
        <v>121</v>
      </c>
      <c r="H26" s="81" t="s">
        <v>121</v>
      </c>
      <c r="I26" s="84" t="s">
        <v>121</v>
      </c>
      <c r="J26" s="85"/>
      <c r="K26" s="85"/>
      <c r="L26" s="85"/>
      <c r="M26" s="86"/>
      <c r="N26" s="80"/>
      <c r="O26" s="81">
        <v>5</v>
      </c>
      <c r="P26" s="82" t="s">
        <v>1015</v>
      </c>
      <c r="Q26" s="87">
        <v>49.8</v>
      </c>
      <c r="R26" s="81" t="s">
        <v>1005</v>
      </c>
      <c r="S26" s="81" t="s">
        <v>121</v>
      </c>
      <c r="T26" s="81" t="s">
        <v>121</v>
      </c>
      <c r="U26" s="84" t="s">
        <v>121</v>
      </c>
    </row>
    <row r="27" spans="1:21" ht="15.75" customHeight="1">
      <c r="A27" s="56" t="s">
        <v>147</v>
      </c>
      <c r="B27" s="80"/>
      <c r="C27" s="81">
        <v>6</v>
      </c>
      <c r="D27" s="82" t="s">
        <v>1016</v>
      </c>
      <c r="E27" s="87">
        <v>43.05</v>
      </c>
      <c r="F27" s="81" t="s">
        <v>1004</v>
      </c>
      <c r="G27" s="81" t="s">
        <v>121</v>
      </c>
      <c r="H27" s="81" t="s">
        <v>121</v>
      </c>
      <c r="I27" s="84" t="s">
        <v>121</v>
      </c>
      <c r="J27" s="85"/>
      <c r="K27" s="85"/>
      <c r="L27" s="85"/>
      <c r="M27" s="86"/>
      <c r="N27" s="80"/>
      <c r="O27" s="81">
        <v>6</v>
      </c>
      <c r="P27" s="82" t="s">
        <v>1017</v>
      </c>
      <c r="Q27" s="87">
        <v>47.9</v>
      </c>
      <c r="R27" s="81" t="s">
        <v>1004</v>
      </c>
      <c r="S27" s="81" t="s">
        <v>121</v>
      </c>
      <c r="T27" s="81" t="s">
        <v>121</v>
      </c>
      <c r="U27" s="84" t="s">
        <v>121</v>
      </c>
    </row>
    <row r="28" spans="1:21" ht="15.75" customHeight="1">
      <c r="A28" s="56" t="s">
        <v>147</v>
      </c>
      <c r="B28" s="80"/>
      <c r="C28" s="81">
        <v>7</v>
      </c>
      <c r="D28" s="82" t="s">
        <v>1018</v>
      </c>
      <c r="E28" s="87">
        <v>41.19</v>
      </c>
      <c r="F28" s="81" t="s">
        <v>1005</v>
      </c>
      <c r="G28" s="81" t="s">
        <v>121</v>
      </c>
      <c r="H28" s="81" t="s">
        <v>121</v>
      </c>
      <c r="I28" s="84" t="s">
        <v>121</v>
      </c>
      <c r="J28" s="85"/>
      <c r="K28" s="85"/>
      <c r="L28" s="85"/>
      <c r="M28" s="86"/>
      <c r="N28" s="80"/>
      <c r="O28" s="81">
        <v>7</v>
      </c>
      <c r="P28" s="82" t="s">
        <v>1019</v>
      </c>
      <c r="Q28" s="87">
        <v>47.25</v>
      </c>
      <c r="R28" s="81" t="s">
        <v>1004</v>
      </c>
      <c r="S28" s="81" t="s">
        <v>121</v>
      </c>
      <c r="T28" s="81" t="s">
        <v>121</v>
      </c>
      <c r="U28" s="84" t="s">
        <v>121</v>
      </c>
    </row>
    <row r="29" spans="1:21" ht="15.75" customHeight="1">
      <c r="A29" s="56" t="s">
        <v>147</v>
      </c>
      <c r="B29" s="80"/>
      <c r="C29" s="81">
        <v>8</v>
      </c>
      <c r="D29" s="88" t="s">
        <v>1020</v>
      </c>
      <c r="E29" s="87">
        <v>39</v>
      </c>
      <c r="F29" s="81" t="s">
        <v>1004</v>
      </c>
      <c r="G29" s="81" t="s">
        <v>121</v>
      </c>
      <c r="H29" s="81" t="s">
        <v>121</v>
      </c>
      <c r="I29" s="84" t="s">
        <v>121</v>
      </c>
      <c r="J29" s="85"/>
      <c r="K29" s="85"/>
      <c r="L29" s="85"/>
      <c r="M29" s="86"/>
      <c r="N29" s="80"/>
      <c r="O29" s="81">
        <v>8</v>
      </c>
      <c r="P29" s="82" t="s">
        <v>1021</v>
      </c>
      <c r="Q29" s="87">
        <v>46.6</v>
      </c>
      <c r="R29" s="81" t="s">
        <v>1005</v>
      </c>
      <c r="S29" s="81" t="s">
        <v>121</v>
      </c>
      <c r="T29" s="81" t="s">
        <v>121</v>
      </c>
      <c r="U29" s="84" t="s">
        <v>121</v>
      </c>
    </row>
    <row r="30" spans="1:21" ht="15.75" customHeight="1">
      <c r="A30" s="56" t="s">
        <v>147</v>
      </c>
      <c r="B30" s="80"/>
      <c r="C30" s="81">
        <v>9</v>
      </c>
      <c r="D30" s="88" t="s">
        <v>1022</v>
      </c>
      <c r="E30" s="87">
        <v>38.85</v>
      </c>
      <c r="F30" s="81" t="s">
        <v>1005</v>
      </c>
      <c r="G30" s="81" t="s">
        <v>121</v>
      </c>
      <c r="H30" s="81" t="s">
        <v>121</v>
      </c>
      <c r="I30" s="84" t="s">
        <v>121</v>
      </c>
      <c r="J30" s="85"/>
      <c r="K30" s="85"/>
      <c r="L30" s="85"/>
      <c r="M30" s="86"/>
      <c r="N30" s="80"/>
      <c r="O30" s="81">
        <v>9</v>
      </c>
      <c r="P30" s="82" t="s">
        <v>1023</v>
      </c>
      <c r="Q30" s="87">
        <v>43.2</v>
      </c>
      <c r="R30" s="81" t="s">
        <v>1004</v>
      </c>
      <c r="S30" s="81" t="s">
        <v>121</v>
      </c>
      <c r="T30" s="81" t="s">
        <v>121</v>
      </c>
      <c r="U30" s="84" t="s">
        <v>121</v>
      </c>
    </row>
    <row r="31" spans="1:21" ht="15.75" customHeight="1">
      <c r="A31" s="56" t="s">
        <v>147</v>
      </c>
      <c r="B31" s="80"/>
      <c r="C31" s="81">
        <v>10</v>
      </c>
      <c r="D31" s="88" t="s">
        <v>1024</v>
      </c>
      <c r="E31" s="87">
        <v>37.200000000000003</v>
      </c>
      <c r="F31" s="81" t="s">
        <v>1004</v>
      </c>
      <c r="G31" s="81" t="s">
        <v>121</v>
      </c>
      <c r="H31" s="81" t="s">
        <v>121</v>
      </c>
      <c r="I31" s="84" t="s">
        <v>121</v>
      </c>
      <c r="J31" s="85"/>
      <c r="K31" s="85"/>
      <c r="L31" s="85"/>
      <c r="M31" s="86"/>
      <c r="N31" s="80"/>
      <c r="O31" s="81">
        <v>10</v>
      </c>
      <c r="P31" s="82" t="s">
        <v>1025</v>
      </c>
      <c r="Q31" s="87">
        <v>37.299999999999997</v>
      </c>
      <c r="R31" s="81" t="s">
        <v>1005</v>
      </c>
      <c r="S31" s="81" t="s">
        <v>121</v>
      </c>
      <c r="T31" s="81" t="s">
        <v>121</v>
      </c>
      <c r="U31" s="84" t="s">
        <v>121</v>
      </c>
    </row>
    <row r="32" spans="1:21" ht="15.75" customHeight="1">
      <c r="A32" s="56" t="s">
        <v>147</v>
      </c>
      <c r="B32" s="80"/>
      <c r="C32" s="81">
        <v>11</v>
      </c>
      <c r="D32" s="88" t="s">
        <v>1026</v>
      </c>
      <c r="E32" s="87">
        <v>31.4</v>
      </c>
      <c r="F32" s="81" t="s">
        <v>1005</v>
      </c>
      <c r="G32" s="81" t="s">
        <v>121</v>
      </c>
      <c r="H32" s="81" t="s">
        <v>121</v>
      </c>
      <c r="I32" s="84" t="s">
        <v>121</v>
      </c>
      <c r="J32" s="85"/>
      <c r="K32" s="85"/>
      <c r="L32" s="85"/>
      <c r="M32" s="86"/>
      <c r="N32" s="80"/>
      <c r="O32" s="81">
        <v>11</v>
      </c>
      <c r="P32" s="82" t="s">
        <v>1027</v>
      </c>
      <c r="Q32" s="87">
        <v>36.799999999999997</v>
      </c>
      <c r="R32" s="81" t="s">
        <v>1005</v>
      </c>
      <c r="S32" s="81" t="s">
        <v>121</v>
      </c>
      <c r="T32" s="81" t="s">
        <v>121</v>
      </c>
      <c r="U32" s="84" t="s">
        <v>121</v>
      </c>
    </row>
    <row r="33" spans="1:21" ht="15.75" customHeight="1">
      <c r="A33" s="56" t="s">
        <v>147</v>
      </c>
      <c r="B33" s="80"/>
      <c r="C33" s="81">
        <v>12</v>
      </c>
      <c r="D33" s="88" t="s">
        <v>1028</v>
      </c>
      <c r="E33" s="87">
        <v>25.75</v>
      </c>
      <c r="F33" s="81" t="s">
        <v>1004</v>
      </c>
      <c r="G33" s="81" t="s">
        <v>121</v>
      </c>
      <c r="H33" s="81" t="s">
        <v>121</v>
      </c>
      <c r="I33" s="84" t="s">
        <v>121</v>
      </c>
      <c r="J33" s="85"/>
      <c r="K33" s="85"/>
      <c r="L33" s="85"/>
      <c r="M33" s="86"/>
      <c r="N33" s="80"/>
      <c r="O33" s="81">
        <v>12</v>
      </c>
      <c r="P33" s="88" t="s">
        <v>1029</v>
      </c>
      <c r="Q33" s="87">
        <v>31.25</v>
      </c>
      <c r="R33" s="81" t="s">
        <v>1005</v>
      </c>
      <c r="S33" s="81" t="s">
        <v>121</v>
      </c>
      <c r="T33" s="81" t="s">
        <v>121</v>
      </c>
      <c r="U33" s="84" t="s">
        <v>121</v>
      </c>
    </row>
    <row r="34" spans="1:21" ht="13.2">
      <c r="A34" s="56" t="s">
        <v>147</v>
      </c>
      <c r="B34" s="80"/>
      <c r="C34" s="81">
        <v>13</v>
      </c>
      <c r="D34" s="88" t="s">
        <v>1030</v>
      </c>
      <c r="E34" s="87">
        <v>22.2</v>
      </c>
      <c r="F34" s="81" t="s">
        <v>1004</v>
      </c>
      <c r="G34" s="81" t="s">
        <v>121</v>
      </c>
      <c r="H34" s="81" t="s">
        <v>121</v>
      </c>
      <c r="I34" s="84" t="s">
        <v>121</v>
      </c>
      <c r="J34" s="85"/>
      <c r="K34" s="85"/>
      <c r="L34" s="85"/>
      <c r="M34" s="86"/>
      <c r="N34" s="80"/>
      <c r="O34" s="81">
        <v>13</v>
      </c>
      <c r="P34" s="88" t="s">
        <v>1031</v>
      </c>
      <c r="Q34" s="87">
        <v>26.7</v>
      </c>
      <c r="R34" s="81" t="s">
        <v>1005</v>
      </c>
      <c r="S34" s="81" t="s">
        <v>121</v>
      </c>
      <c r="T34" s="81" t="s">
        <v>121</v>
      </c>
      <c r="U34" s="84" t="s">
        <v>121</v>
      </c>
    </row>
    <row r="35" spans="1:21" ht="13.2">
      <c r="A35" s="56" t="s">
        <v>147</v>
      </c>
      <c r="B35" s="80"/>
      <c r="C35" s="81">
        <v>14</v>
      </c>
      <c r="D35" s="88" t="s">
        <v>1032</v>
      </c>
      <c r="E35" s="87" t="s">
        <v>122</v>
      </c>
      <c r="F35" s="81" t="s">
        <v>1004</v>
      </c>
      <c r="G35" s="81" t="s">
        <v>121</v>
      </c>
      <c r="H35" s="81" t="s">
        <v>121</v>
      </c>
      <c r="I35" s="84" t="s">
        <v>121</v>
      </c>
      <c r="J35" s="85"/>
      <c r="K35" s="85"/>
      <c r="L35" s="85"/>
      <c r="M35" s="86"/>
      <c r="N35" s="80"/>
      <c r="O35" s="81">
        <v>14</v>
      </c>
      <c r="P35" s="88" t="s">
        <v>1033</v>
      </c>
      <c r="Q35" s="87">
        <v>19.95</v>
      </c>
      <c r="R35" s="81" t="s">
        <v>1004</v>
      </c>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v>15</v>
      </c>
      <c r="P36" s="88" t="s">
        <v>1034</v>
      </c>
      <c r="Q36" s="87">
        <v>12.5</v>
      </c>
      <c r="R36" s="81" t="s">
        <v>1004</v>
      </c>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30" t="s">
        <v>184</v>
      </c>
      <c r="D47" s="227"/>
      <c r="E47" s="227"/>
      <c r="F47" s="227"/>
      <c r="G47" s="90">
        <v>6</v>
      </c>
      <c r="H47" s="90">
        <v>3</v>
      </c>
      <c r="I47" s="84" t="s">
        <v>121</v>
      </c>
      <c r="J47" s="85"/>
      <c r="K47" s="85"/>
      <c r="L47" s="85"/>
      <c r="M47" s="86"/>
      <c r="N47" s="80"/>
      <c r="O47" s="230" t="s">
        <v>185</v>
      </c>
      <c r="P47" s="227"/>
      <c r="Q47" s="227"/>
      <c r="R47" s="227"/>
      <c r="S47" s="90">
        <v>6</v>
      </c>
      <c r="T47" s="90">
        <v>3</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99"/>
      <c r="C51" s="81">
        <v>1</v>
      </c>
      <c r="D51" s="82" t="s">
        <v>1035</v>
      </c>
      <c r="E51" s="83">
        <v>93.4</v>
      </c>
      <c r="F51" s="81" t="s">
        <v>1005</v>
      </c>
      <c r="G51" s="81" t="s">
        <v>121</v>
      </c>
      <c r="H51" s="81">
        <v>5</v>
      </c>
      <c r="I51" s="100" t="s">
        <v>121</v>
      </c>
      <c r="J51" s="85"/>
      <c r="K51" s="85"/>
      <c r="L51" s="85"/>
      <c r="M51" s="86"/>
      <c r="N51" s="99"/>
      <c r="O51" s="81">
        <v>1</v>
      </c>
      <c r="P51" s="82" t="s">
        <v>1036</v>
      </c>
      <c r="Q51" s="83">
        <v>83</v>
      </c>
      <c r="R51" s="81" t="s">
        <v>1005</v>
      </c>
      <c r="S51" s="81" t="s">
        <v>121</v>
      </c>
      <c r="T51" s="81">
        <v>5</v>
      </c>
      <c r="U51" s="100" t="s">
        <v>121</v>
      </c>
    </row>
    <row r="52" spans="1:21" ht="13.2">
      <c r="A52" s="56" t="s">
        <v>151</v>
      </c>
      <c r="B52" s="99"/>
      <c r="C52" s="81">
        <v>2</v>
      </c>
      <c r="D52" s="82" t="s">
        <v>1037</v>
      </c>
      <c r="E52" s="87">
        <v>84.35</v>
      </c>
      <c r="F52" s="81" t="s">
        <v>1004</v>
      </c>
      <c r="G52" s="81">
        <v>3</v>
      </c>
      <c r="H52" s="81" t="s">
        <v>121</v>
      </c>
      <c r="I52" s="100" t="s">
        <v>121</v>
      </c>
      <c r="J52" s="85"/>
      <c r="K52" s="85"/>
      <c r="L52" s="85"/>
      <c r="M52" s="86"/>
      <c r="N52" s="99"/>
      <c r="O52" s="81">
        <v>2</v>
      </c>
      <c r="P52" s="82" t="s">
        <v>1038</v>
      </c>
      <c r="Q52" s="87">
        <v>71.599999999999994</v>
      </c>
      <c r="R52" s="81" t="s">
        <v>1005</v>
      </c>
      <c r="S52" s="81" t="s">
        <v>121</v>
      </c>
      <c r="T52" s="81">
        <v>3</v>
      </c>
      <c r="U52" s="100" t="s">
        <v>121</v>
      </c>
    </row>
    <row r="53" spans="1:21" ht="13.2">
      <c r="A53" s="56" t="s">
        <v>151</v>
      </c>
      <c r="B53" s="99"/>
      <c r="C53" s="81">
        <v>3</v>
      </c>
      <c r="D53" s="82" t="s">
        <v>1039</v>
      </c>
      <c r="E53" s="87">
        <v>83.15</v>
      </c>
      <c r="F53" s="81" t="s">
        <v>1005</v>
      </c>
      <c r="G53" s="81" t="s">
        <v>121</v>
      </c>
      <c r="H53" s="81">
        <v>1</v>
      </c>
      <c r="I53" s="100" t="s">
        <v>121</v>
      </c>
      <c r="J53" s="85"/>
      <c r="K53" s="85"/>
      <c r="L53" s="85"/>
      <c r="M53" s="86"/>
      <c r="N53" s="99"/>
      <c r="O53" s="81">
        <v>3</v>
      </c>
      <c r="P53" s="82" t="s">
        <v>1040</v>
      </c>
      <c r="Q53" s="87">
        <v>63.65</v>
      </c>
      <c r="R53" s="81" t="s">
        <v>1005</v>
      </c>
      <c r="S53" s="81" t="s">
        <v>121</v>
      </c>
      <c r="T53" s="81">
        <v>1</v>
      </c>
      <c r="U53" s="100" t="s">
        <v>121</v>
      </c>
    </row>
    <row r="54" spans="1:21" ht="13.2">
      <c r="A54" s="56" t="s">
        <v>151</v>
      </c>
      <c r="B54" s="99"/>
      <c r="C54" s="81">
        <v>4</v>
      </c>
      <c r="D54" s="82" t="s">
        <v>1041</v>
      </c>
      <c r="E54" s="87">
        <v>70.05</v>
      </c>
      <c r="F54" s="81" t="s">
        <v>1004</v>
      </c>
      <c r="G54" s="81" t="s">
        <v>121</v>
      </c>
      <c r="H54" s="81" t="s">
        <v>121</v>
      </c>
      <c r="I54" s="100" t="s">
        <v>121</v>
      </c>
      <c r="J54" s="85"/>
      <c r="K54" s="85"/>
      <c r="L54" s="85"/>
      <c r="M54" s="86"/>
      <c r="N54" s="99"/>
      <c r="O54" s="81">
        <v>4</v>
      </c>
      <c r="P54" s="82" t="s">
        <v>1042</v>
      </c>
      <c r="Q54" s="87">
        <v>57.85</v>
      </c>
      <c r="R54" s="81" t="s">
        <v>1005</v>
      </c>
      <c r="S54" s="81" t="s">
        <v>121</v>
      </c>
      <c r="T54" s="81" t="s">
        <v>121</v>
      </c>
      <c r="U54" s="100" t="s">
        <v>121</v>
      </c>
    </row>
    <row r="55" spans="1:21" ht="13.2">
      <c r="A55" s="56" t="s">
        <v>151</v>
      </c>
      <c r="B55" s="99"/>
      <c r="C55" s="81">
        <v>5</v>
      </c>
      <c r="D55" s="82" t="s">
        <v>1043</v>
      </c>
      <c r="E55" s="87">
        <v>67.75</v>
      </c>
      <c r="F55" s="81" t="s">
        <v>1005</v>
      </c>
      <c r="G55" s="81" t="s">
        <v>121</v>
      </c>
      <c r="H55" s="81" t="s">
        <v>121</v>
      </c>
      <c r="I55" s="100" t="s">
        <v>121</v>
      </c>
      <c r="J55" s="85"/>
      <c r="K55" s="85"/>
      <c r="L55" s="85"/>
      <c r="M55" s="86"/>
      <c r="N55" s="99"/>
      <c r="O55" s="81">
        <v>5</v>
      </c>
      <c r="P55" s="82" t="s">
        <v>1044</v>
      </c>
      <c r="Q55" s="87">
        <v>54.25</v>
      </c>
      <c r="R55" s="81" t="s">
        <v>1005</v>
      </c>
      <c r="S55" s="81" t="s">
        <v>121</v>
      </c>
      <c r="T55" s="81" t="s">
        <v>121</v>
      </c>
      <c r="U55" s="100" t="s">
        <v>121</v>
      </c>
    </row>
    <row r="56" spans="1:21" ht="13.2">
      <c r="A56" s="56" t="s">
        <v>151</v>
      </c>
      <c r="B56" s="99"/>
      <c r="C56" s="81">
        <v>6</v>
      </c>
      <c r="D56" s="82" t="s">
        <v>1045</v>
      </c>
      <c r="E56" s="87">
        <v>62.55</v>
      </c>
      <c r="F56" s="81" t="s">
        <v>1004</v>
      </c>
      <c r="G56" s="81" t="s">
        <v>121</v>
      </c>
      <c r="H56" s="81" t="s">
        <v>121</v>
      </c>
      <c r="I56" s="100" t="s">
        <v>121</v>
      </c>
      <c r="J56" s="85"/>
      <c r="K56" s="85"/>
      <c r="L56" s="85"/>
      <c r="M56" s="86"/>
      <c r="N56" s="99"/>
      <c r="O56" s="81">
        <v>6</v>
      </c>
      <c r="P56" s="82" t="s">
        <v>1046</v>
      </c>
      <c r="Q56" s="87">
        <v>49.9</v>
      </c>
      <c r="R56" s="81" t="s">
        <v>1004</v>
      </c>
      <c r="S56" s="81" t="s">
        <v>121</v>
      </c>
      <c r="T56" s="81" t="s">
        <v>121</v>
      </c>
      <c r="U56" s="100" t="s">
        <v>123</v>
      </c>
    </row>
    <row r="57" spans="1:21" ht="13.2">
      <c r="A57" s="56" t="s">
        <v>151</v>
      </c>
      <c r="B57" s="99"/>
      <c r="C57" s="81">
        <v>7</v>
      </c>
      <c r="D57" s="82" t="s">
        <v>1047</v>
      </c>
      <c r="E57" s="87">
        <v>62.45</v>
      </c>
      <c r="F57" s="81" t="s">
        <v>1005</v>
      </c>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30" t="s">
        <v>199</v>
      </c>
      <c r="D66" s="227"/>
      <c r="E66" s="227"/>
      <c r="F66" s="228"/>
      <c r="G66" s="90">
        <v>3</v>
      </c>
      <c r="H66" s="90">
        <v>6</v>
      </c>
      <c r="I66" s="100" t="s">
        <v>121</v>
      </c>
      <c r="J66" s="85"/>
      <c r="K66" s="85"/>
      <c r="L66" s="85"/>
      <c r="M66" s="86"/>
      <c r="N66" s="99"/>
      <c r="O66" s="230" t="s">
        <v>200</v>
      </c>
      <c r="P66" s="227"/>
      <c r="Q66" s="227"/>
      <c r="R66" s="228"/>
      <c r="S66" s="90">
        <v>0</v>
      </c>
      <c r="T66" s="90">
        <v>9</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26.4">
      <c r="A70" s="56" t="s">
        <v>155</v>
      </c>
      <c r="B70" s="80"/>
      <c r="C70" s="81">
        <v>1</v>
      </c>
      <c r="D70" s="82" t="s">
        <v>1048</v>
      </c>
      <c r="E70" s="83">
        <v>119.55</v>
      </c>
      <c r="F70" s="81" t="s">
        <v>1004</v>
      </c>
      <c r="G70" s="81">
        <v>5</v>
      </c>
      <c r="H70" s="81" t="s">
        <v>121</v>
      </c>
      <c r="I70" s="84" t="s">
        <v>121</v>
      </c>
      <c r="J70" s="85"/>
      <c r="K70" s="85"/>
      <c r="L70" s="85"/>
      <c r="M70" s="86"/>
      <c r="N70" s="80"/>
      <c r="O70" s="81">
        <v>1</v>
      </c>
      <c r="P70" s="82" t="s">
        <v>1049</v>
      </c>
      <c r="Q70" s="83">
        <v>111.5</v>
      </c>
      <c r="R70" s="81" t="s">
        <v>1004</v>
      </c>
      <c r="S70" s="81">
        <v>5</v>
      </c>
      <c r="T70" s="81" t="s">
        <v>121</v>
      </c>
      <c r="U70" s="84" t="s">
        <v>121</v>
      </c>
    </row>
    <row r="71" spans="1:21" ht="13.2">
      <c r="A71" s="56" t="s">
        <v>155</v>
      </c>
      <c r="B71" s="80"/>
      <c r="C71" s="81">
        <v>2</v>
      </c>
      <c r="D71" s="82" t="s">
        <v>1050</v>
      </c>
      <c r="E71" s="87">
        <v>111.95</v>
      </c>
      <c r="F71" s="81" t="s">
        <v>1005</v>
      </c>
      <c r="G71" s="81" t="s">
        <v>121</v>
      </c>
      <c r="H71" s="81">
        <v>3</v>
      </c>
      <c r="I71" s="84" t="s">
        <v>121</v>
      </c>
      <c r="J71" s="85"/>
      <c r="K71" s="85"/>
      <c r="L71" s="85"/>
      <c r="M71" s="86"/>
      <c r="N71" s="80"/>
      <c r="O71" s="81">
        <v>2</v>
      </c>
      <c r="P71" s="82" t="s">
        <v>1051</v>
      </c>
      <c r="Q71" s="87">
        <v>107.4</v>
      </c>
      <c r="R71" s="81" t="s">
        <v>1005</v>
      </c>
      <c r="S71" s="81" t="s">
        <v>121</v>
      </c>
      <c r="T71" s="81">
        <v>3</v>
      </c>
      <c r="U71" s="84" t="s">
        <v>121</v>
      </c>
    </row>
    <row r="72" spans="1:21" ht="13.2">
      <c r="A72" s="56" t="s">
        <v>155</v>
      </c>
      <c r="B72" s="80"/>
      <c r="C72" s="81">
        <v>3</v>
      </c>
      <c r="D72" s="82" t="s">
        <v>1052</v>
      </c>
      <c r="E72" s="87">
        <v>107.25</v>
      </c>
      <c r="F72" s="81" t="s">
        <v>1004</v>
      </c>
      <c r="G72" s="81">
        <v>1</v>
      </c>
      <c r="H72" s="81" t="s">
        <v>121</v>
      </c>
      <c r="I72" s="84" t="s">
        <v>121</v>
      </c>
      <c r="J72" s="85"/>
      <c r="K72" s="85"/>
      <c r="L72" s="85"/>
      <c r="M72" s="86"/>
      <c r="N72" s="80"/>
      <c r="O72" s="81">
        <v>3</v>
      </c>
      <c r="P72" s="82" t="s">
        <v>1053</v>
      </c>
      <c r="Q72" s="87">
        <v>59.95</v>
      </c>
      <c r="R72" s="81" t="s">
        <v>1004</v>
      </c>
      <c r="S72" s="81">
        <v>1</v>
      </c>
      <c r="T72" s="81" t="s">
        <v>121</v>
      </c>
      <c r="U72" s="84" t="s">
        <v>123</v>
      </c>
    </row>
    <row r="73" spans="1:21" ht="13.2">
      <c r="A73" s="56" t="s">
        <v>155</v>
      </c>
      <c r="B73" s="80"/>
      <c r="C73" s="81">
        <v>4</v>
      </c>
      <c r="D73" s="82" t="s">
        <v>1054</v>
      </c>
      <c r="E73" s="87">
        <v>88.25</v>
      </c>
      <c r="F73" s="81" t="s">
        <v>1005</v>
      </c>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30" t="s">
        <v>210</v>
      </c>
      <c r="D80" s="227"/>
      <c r="E80" s="227"/>
      <c r="F80" s="227"/>
      <c r="G80" s="90">
        <v>6</v>
      </c>
      <c r="H80" s="90">
        <v>3</v>
      </c>
      <c r="I80" s="84" t="s">
        <v>121</v>
      </c>
      <c r="J80" s="85"/>
      <c r="K80" s="85"/>
      <c r="L80" s="85"/>
      <c r="M80" s="86"/>
      <c r="N80" s="80"/>
      <c r="O80" s="230" t="s">
        <v>211</v>
      </c>
      <c r="P80" s="227"/>
      <c r="Q80" s="227"/>
      <c r="R80" s="227"/>
      <c r="S80" s="90">
        <v>6</v>
      </c>
      <c r="T80" s="90">
        <v>3</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99"/>
      <c r="C84" s="81">
        <v>1</v>
      </c>
      <c r="D84" s="82" t="s">
        <v>1055</v>
      </c>
      <c r="E84" s="83">
        <v>176.55</v>
      </c>
      <c r="F84" s="81" t="s">
        <v>1005</v>
      </c>
      <c r="G84" s="81" t="s">
        <v>121</v>
      </c>
      <c r="H84" s="81">
        <v>5</v>
      </c>
      <c r="I84" s="100" t="s">
        <v>121</v>
      </c>
      <c r="J84" s="85"/>
      <c r="K84" s="85"/>
      <c r="L84" s="85"/>
      <c r="M84" s="86"/>
      <c r="N84" s="99"/>
      <c r="O84" s="81">
        <v>1</v>
      </c>
      <c r="P84" s="82" t="s">
        <v>1056</v>
      </c>
      <c r="Q84" s="83">
        <v>202.6</v>
      </c>
      <c r="R84" s="81" t="s">
        <v>1004</v>
      </c>
      <c r="S84" s="81">
        <v>5</v>
      </c>
      <c r="T84" s="81" t="s">
        <v>121</v>
      </c>
      <c r="U84" s="100" t="s">
        <v>121</v>
      </c>
    </row>
    <row r="85" spans="1:21" ht="26.4">
      <c r="A85" s="56" t="s">
        <v>159</v>
      </c>
      <c r="B85" s="99"/>
      <c r="C85" s="81">
        <v>2</v>
      </c>
      <c r="D85" s="82" t="s">
        <v>1057</v>
      </c>
      <c r="E85" s="87">
        <v>160.5</v>
      </c>
      <c r="F85" s="81" t="s">
        <v>1004</v>
      </c>
      <c r="G85" s="81">
        <v>3</v>
      </c>
      <c r="H85" s="81" t="s">
        <v>121</v>
      </c>
      <c r="I85" s="100" t="s">
        <v>121</v>
      </c>
      <c r="J85" s="85"/>
      <c r="K85" s="85"/>
      <c r="L85" s="85"/>
      <c r="M85" s="86"/>
      <c r="N85" s="99"/>
      <c r="O85" s="81">
        <v>2</v>
      </c>
      <c r="P85" s="82" t="s">
        <v>1058</v>
      </c>
      <c r="Q85" s="87">
        <v>183.35</v>
      </c>
      <c r="R85" s="81" t="s">
        <v>1004</v>
      </c>
      <c r="S85" s="81">
        <v>3</v>
      </c>
      <c r="T85" s="81" t="s">
        <v>121</v>
      </c>
      <c r="U85" s="100" t="s">
        <v>121</v>
      </c>
    </row>
    <row r="86" spans="1:21" ht="13.2">
      <c r="A86" s="56" t="s">
        <v>159</v>
      </c>
      <c r="B86" s="99"/>
      <c r="C86" s="81">
        <v>3</v>
      </c>
      <c r="D86" s="82" t="s">
        <v>1059</v>
      </c>
      <c r="E86" s="87">
        <v>102.85</v>
      </c>
      <c r="F86" s="81" t="s">
        <v>1004</v>
      </c>
      <c r="G86" s="81">
        <v>1</v>
      </c>
      <c r="H86" s="81" t="s">
        <v>121</v>
      </c>
      <c r="I86" s="100" t="s">
        <v>121</v>
      </c>
      <c r="J86" s="85"/>
      <c r="K86" s="85"/>
      <c r="L86" s="85"/>
      <c r="M86" s="86"/>
      <c r="N86" s="99"/>
      <c r="O86" s="81">
        <v>3</v>
      </c>
      <c r="P86" s="82" t="s">
        <v>1060</v>
      </c>
      <c r="Q86" s="87">
        <v>141.5</v>
      </c>
      <c r="R86" s="81" t="s">
        <v>1004</v>
      </c>
      <c r="S86" s="81">
        <v>1</v>
      </c>
      <c r="T86" s="81" t="s">
        <v>121</v>
      </c>
      <c r="U86" s="100" t="s">
        <v>121</v>
      </c>
    </row>
    <row r="87" spans="1:21" ht="13.2">
      <c r="A87" s="56" t="s">
        <v>121</v>
      </c>
      <c r="B87" s="99"/>
      <c r="C87" s="81" t="s">
        <v>121</v>
      </c>
      <c r="D87" s="82"/>
      <c r="E87" s="87" t="s">
        <v>121</v>
      </c>
      <c r="F87" s="81"/>
      <c r="G87" s="81" t="s">
        <v>121</v>
      </c>
      <c r="H87" s="81" t="s">
        <v>121</v>
      </c>
      <c r="I87" s="100" t="s">
        <v>121</v>
      </c>
      <c r="J87" s="85"/>
      <c r="K87" s="85"/>
      <c r="L87" s="85"/>
      <c r="M87" s="86"/>
      <c r="N87" s="99"/>
      <c r="O87" s="81">
        <v>4</v>
      </c>
      <c r="P87" s="82" t="s">
        <v>1061</v>
      </c>
      <c r="Q87" s="87">
        <v>138.69999999999999</v>
      </c>
      <c r="R87" s="81" t="s">
        <v>1004</v>
      </c>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30" t="s">
        <v>220</v>
      </c>
      <c r="D94" s="227"/>
      <c r="E94" s="227"/>
      <c r="F94" s="227"/>
      <c r="G94" s="90">
        <v>4</v>
      </c>
      <c r="H94" s="90">
        <v>5</v>
      </c>
      <c r="I94" s="100" t="s">
        <v>121</v>
      </c>
      <c r="J94" s="85"/>
      <c r="K94" s="85"/>
      <c r="L94" s="85"/>
      <c r="M94" s="86"/>
      <c r="N94" s="99"/>
      <c r="O94" s="230" t="s">
        <v>221</v>
      </c>
      <c r="P94" s="227"/>
      <c r="Q94" s="227"/>
      <c r="R94" s="227"/>
      <c r="S94" s="90">
        <v>9</v>
      </c>
      <c r="T94" s="90">
        <v>0</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1062</v>
      </c>
      <c r="R96" s="227"/>
      <c r="S96" s="227"/>
      <c r="T96" s="228"/>
      <c r="U96" s="4" t="s">
        <v>121</v>
      </c>
    </row>
    <row r="97" spans="1:21" ht="13.2">
      <c r="A97" s="56"/>
      <c r="B97" s="4"/>
      <c r="C97" s="249" t="s">
        <v>1063</v>
      </c>
      <c r="D97" s="235"/>
      <c r="E97" s="235"/>
      <c r="F97" s="235"/>
      <c r="G97" s="235"/>
      <c r="H97" s="236"/>
      <c r="I97" s="85" t="s">
        <v>121</v>
      </c>
      <c r="J97" s="85"/>
      <c r="K97" s="85"/>
      <c r="L97" s="85"/>
      <c r="M97" s="86"/>
      <c r="N97" s="107"/>
      <c r="O97" s="110" t="s">
        <v>226</v>
      </c>
      <c r="P97" s="111"/>
      <c r="Q97" s="231" t="s">
        <v>1064</v>
      </c>
      <c r="R97" s="227"/>
      <c r="S97" s="227"/>
      <c r="T97" s="228"/>
      <c r="U97" s="4"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B99" s="4"/>
      <c r="C99" s="112" t="s">
        <v>228</v>
      </c>
      <c r="D99" s="113"/>
      <c r="E99" s="233" t="s">
        <v>1065</v>
      </c>
      <c r="F99" s="227"/>
      <c r="G99" s="227"/>
      <c r="H99" s="228"/>
      <c r="I99" s="85" t="s">
        <v>121</v>
      </c>
      <c r="J99" s="85"/>
      <c r="K99" s="85"/>
      <c r="L99" s="85"/>
      <c r="M99" s="86"/>
      <c r="N99" s="107"/>
      <c r="O99" s="112" t="s">
        <v>229</v>
      </c>
      <c r="P99" s="113"/>
      <c r="Q99" s="233" t="s">
        <v>1066</v>
      </c>
      <c r="R99" s="227"/>
      <c r="S99" s="227"/>
      <c r="T99" s="228"/>
      <c r="U99" s="4"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B101" s="4"/>
      <c r="C101" s="273" t="s">
        <v>1067</v>
      </c>
      <c r="D101" s="235"/>
      <c r="E101" s="235"/>
      <c r="F101" s="235"/>
      <c r="G101" s="235"/>
      <c r="H101" s="236"/>
      <c r="I101" s="4" t="s">
        <v>121</v>
      </c>
      <c r="J101" s="4"/>
      <c r="K101" s="4"/>
      <c r="L101" s="4"/>
      <c r="M101" s="71"/>
      <c r="N101" s="109"/>
      <c r="O101" s="234" t="s">
        <v>1068</v>
      </c>
      <c r="P101" s="235"/>
      <c r="Q101" s="235"/>
      <c r="R101" s="235"/>
      <c r="S101" s="235"/>
      <c r="T101" s="236"/>
      <c r="U101" s="4"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14"/>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129"/>
      <c r="C109" s="251" t="s">
        <v>130</v>
      </c>
      <c r="D109" s="227"/>
      <c r="E109" s="252" t="s">
        <v>1000</v>
      </c>
      <c r="F109" s="227"/>
      <c r="G109" s="228"/>
      <c r="H109" s="130" t="s">
        <v>1069</v>
      </c>
      <c r="I109" s="131" t="s">
        <v>121</v>
      </c>
      <c r="J109" s="132"/>
      <c r="K109" s="132"/>
      <c r="L109" s="132"/>
      <c r="M109" s="133"/>
      <c r="N109" s="48"/>
      <c r="O109" s="244" t="s">
        <v>132</v>
      </c>
      <c r="P109" s="227"/>
      <c r="Q109" s="245" t="s">
        <v>1001</v>
      </c>
      <c r="R109" s="227"/>
      <c r="S109" s="228"/>
      <c r="T109" s="134" t="s">
        <v>1070</v>
      </c>
      <c r="U109" s="135" t="s">
        <v>121</v>
      </c>
    </row>
    <row r="110" spans="1:21" ht="17.399999999999999">
      <c r="A110" s="56"/>
      <c r="B110" s="136"/>
      <c r="C110" s="253" t="s">
        <v>1</v>
      </c>
      <c r="D110" s="228"/>
      <c r="E110" s="254">
        <v>45</v>
      </c>
      <c r="F110" s="227"/>
      <c r="G110" s="227"/>
      <c r="H110" s="137"/>
      <c r="I110" s="131" t="s">
        <v>121</v>
      </c>
      <c r="J110" s="138"/>
      <c r="K110" s="138"/>
      <c r="L110" s="138"/>
      <c r="M110" s="139"/>
      <c r="N110" s="48"/>
      <c r="O110" s="246" t="s">
        <v>1</v>
      </c>
      <c r="P110" s="228"/>
      <c r="Q110" s="247">
        <v>27</v>
      </c>
      <c r="R110" s="227"/>
      <c r="S110" s="227"/>
      <c r="T110" s="140"/>
      <c r="U110" s="135"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B113" s="4"/>
      <c r="C113" s="62" t="s">
        <v>147</v>
      </c>
      <c r="D113" s="63" t="s">
        <v>148</v>
      </c>
      <c r="E113" s="57"/>
      <c r="F113" s="57"/>
      <c r="G113" s="64">
        <v>4</v>
      </c>
      <c r="H113" s="65">
        <v>5</v>
      </c>
      <c r="I113" s="55" t="s">
        <v>121</v>
      </c>
      <c r="J113" s="55"/>
      <c r="K113" s="55"/>
      <c r="L113" s="55"/>
      <c r="M113" s="61"/>
      <c r="N113" s="4"/>
      <c r="O113" s="62" t="s">
        <v>149</v>
      </c>
      <c r="P113" s="63" t="s">
        <v>150</v>
      </c>
      <c r="Q113" s="57"/>
      <c r="R113" s="57"/>
      <c r="S113" s="64">
        <v>6</v>
      </c>
      <c r="T113" s="65">
        <v>3</v>
      </c>
      <c r="U113" s="55" t="s">
        <v>121</v>
      </c>
    </row>
    <row r="114" spans="1:21" ht="13.2">
      <c r="A114" s="56"/>
      <c r="B114" s="4"/>
      <c r="C114" s="62" t="s">
        <v>151</v>
      </c>
      <c r="D114" s="63" t="s">
        <v>152</v>
      </c>
      <c r="E114" s="57"/>
      <c r="F114" s="57"/>
      <c r="G114" s="64">
        <v>6</v>
      </c>
      <c r="H114" s="65">
        <v>3</v>
      </c>
      <c r="I114" s="55" t="s">
        <v>121</v>
      </c>
      <c r="J114" s="55"/>
      <c r="K114" s="55"/>
      <c r="L114" s="55"/>
      <c r="M114" s="61"/>
      <c r="N114" s="4"/>
      <c r="O114" s="62" t="s">
        <v>153</v>
      </c>
      <c r="P114" s="63" t="s">
        <v>154</v>
      </c>
      <c r="Q114" s="57"/>
      <c r="R114" s="57"/>
      <c r="S114" s="64">
        <v>0</v>
      </c>
      <c r="T114" s="65">
        <v>9</v>
      </c>
      <c r="U114" s="55" t="s">
        <v>121</v>
      </c>
    </row>
    <row r="115" spans="1:21" ht="13.2">
      <c r="A115" s="56"/>
      <c r="B115" s="4"/>
      <c r="C115" s="62" t="s">
        <v>155</v>
      </c>
      <c r="D115" s="63" t="s">
        <v>156</v>
      </c>
      <c r="E115" s="57"/>
      <c r="F115" s="57"/>
      <c r="G115" s="64">
        <v>6</v>
      </c>
      <c r="H115" s="65">
        <v>3</v>
      </c>
      <c r="I115" s="55" t="s">
        <v>121</v>
      </c>
      <c r="J115" s="55"/>
      <c r="K115" s="55"/>
      <c r="L115" s="55"/>
      <c r="M115" s="61"/>
      <c r="N115" s="4"/>
      <c r="O115" s="62" t="s">
        <v>157</v>
      </c>
      <c r="P115" s="63" t="s">
        <v>158</v>
      </c>
      <c r="Q115" s="57"/>
      <c r="R115" s="57"/>
      <c r="S115" s="64">
        <v>8</v>
      </c>
      <c r="T115" s="65">
        <v>1</v>
      </c>
      <c r="U115" s="55" t="s">
        <v>121</v>
      </c>
    </row>
    <row r="116" spans="1:21" ht="13.2">
      <c r="A116" s="56"/>
      <c r="B116" s="4"/>
      <c r="C116" s="62" t="s">
        <v>159</v>
      </c>
      <c r="D116" s="63" t="s">
        <v>160</v>
      </c>
      <c r="E116" s="57"/>
      <c r="F116" s="57"/>
      <c r="G116" s="64">
        <v>9</v>
      </c>
      <c r="H116" s="65">
        <v>0</v>
      </c>
      <c r="I116" s="55" t="s">
        <v>121</v>
      </c>
      <c r="J116" s="55"/>
      <c r="K116" s="55"/>
      <c r="L116" s="55"/>
      <c r="M116" s="61"/>
      <c r="N116" s="4"/>
      <c r="O116" s="62" t="s">
        <v>161</v>
      </c>
      <c r="P116" s="63" t="s">
        <v>162</v>
      </c>
      <c r="Q116" s="57"/>
      <c r="R116" s="57"/>
      <c r="S116" s="64">
        <v>6</v>
      </c>
      <c r="T116" s="65">
        <v>3</v>
      </c>
      <c r="U116" s="55" t="s">
        <v>121</v>
      </c>
    </row>
    <row r="117" spans="1:21" ht="13.2">
      <c r="A117" s="56"/>
      <c r="B117" s="4"/>
      <c r="C117" s="66"/>
      <c r="D117" s="67" t="s">
        <v>163</v>
      </c>
      <c r="E117" s="68"/>
      <c r="F117" s="68"/>
      <c r="G117" s="69">
        <v>25</v>
      </c>
      <c r="H117" s="70">
        <v>11</v>
      </c>
      <c r="I117" s="55" t="s">
        <v>121</v>
      </c>
      <c r="J117" s="55"/>
      <c r="K117" s="55"/>
      <c r="L117" s="55"/>
      <c r="M117" s="61"/>
      <c r="N117" s="4"/>
      <c r="O117" s="66"/>
      <c r="P117" s="67" t="s">
        <v>163</v>
      </c>
      <c r="Q117" s="68"/>
      <c r="R117" s="68"/>
      <c r="S117" s="69">
        <v>20</v>
      </c>
      <c r="T117" s="70">
        <v>16</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80"/>
      <c r="C122" s="81">
        <v>1</v>
      </c>
      <c r="D122" s="82" t="s">
        <v>1071</v>
      </c>
      <c r="E122" s="83">
        <v>66.599999999999994</v>
      </c>
      <c r="F122" s="81" t="s">
        <v>1070</v>
      </c>
      <c r="G122" s="81" t="s">
        <v>121</v>
      </c>
      <c r="H122" s="81">
        <v>5</v>
      </c>
      <c r="I122" s="84" t="s">
        <v>121</v>
      </c>
      <c r="J122" s="85"/>
      <c r="K122" s="85"/>
      <c r="L122" s="85"/>
      <c r="M122" s="86"/>
      <c r="N122" s="80"/>
      <c r="O122" s="81">
        <v>1</v>
      </c>
      <c r="P122" s="82" t="s">
        <v>1072</v>
      </c>
      <c r="Q122" s="83">
        <v>72.75</v>
      </c>
      <c r="R122" s="81" t="s">
        <v>1069</v>
      </c>
      <c r="S122" s="81">
        <v>5</v>
      </c>
      <c r="T122" s="81" t="s">
        <v>121</v>
      </c>
      <c r="U122" s="84" t="s">
        <v>121</v>
      </c>
    </row>
    <row r="123" spans="1:21" ht="13.2">
      <c r="A123" s="56" t="s">
        <v>147</v>
      </c>
      <c r="B123" s="80"/>
      <c r="C123" s="81">
        <v>2</v>
      </c>
      <c r="D123" s="82" t="s">
        <v>1073</v>
      </c>
      <c r="E123" s="87">
        <v>65.650000000000006</v>
      </c>
      <c r="F123" s="81" t="s">
        <v>1069</v>
      </c>
      <c r="G123" s="81">
        <v>3</v>
      </c>
      <c r="H123" s="81" t="s">
        <v>121</v>
      </c>
      <c r="I123" s="84" t="s">
        <v>121</v>
      </c>
      <c r="J123" s="85"/>
      <c r="K123" s="85"/>
      <c r="L123" s="85"/>
      <c r="M123" s="86"/>
      <c r="N123" s="80"/>
      <c r="O123" s="81">
        <v>2</v>
      </c>
      <c r="P123" s="82" t="s">
        <v>1074</v>
      </c>
      <c r="Q123" s="87">
        <v>57.3</v>
      </c>
      <c r="R123" s="81" t="s">
        <v>1070</v>
      </c>
      <c r="S123" s="81" t="s">
        <v>121</v>
      </c>
      <c r="T123" s="81">
        <v>3</v>
      </c>
      <c r="U123" s="84" t="s">
        <v>121</v>
      </c>
    </row>
    <row r="124" spans="1:21" ht="13.2">
      <c r="A124" s="56" t="s">
        <v>147</v>
      </c>
      <c r="B124" s="80"/>
      <c r="C124" s="81">
        <v>3</v>
      </c>
      <c r="D124" s="82" t="s">
        <v>1075</v>
      </c>
      <c r="E124" s="87">
        <v>59.9</v>
      </c>
      <c r="F124" s="81" t="s">
        <v>1069</v>
      </c>
      <c r="G124" s="81">
        <v>1</v>
      </c>
      <c r="H124" s="81" t="s">
        <v>121</v>
      </c>
      <c r="I124" s="84" t="s">
        <v>121</v>
      </c>
      <c r="J124" s="85"/>
      <c r="K124" s="85"/>
      <c r="L124" s="85"/>
      <c r="M124" s="86"/>
      <c r="N124" s="80"/>
      <c r="O124" s="81">
        <v>3</v>
      </c>
      <c r="P124" s="82" t="s">
        <v>1076</v>
      </c>
      <c r="Q124" s="87">
        <v>51.75</v>
      </c>
      <c r="R124" s="81" t="s">
        <v>1069</v>
      </c>
      <c r="S124" s="81">
        <v>1</v>
      </c>
      <c r="T124" s="81" t="s">
        <v>121</v>
      </c>
      <c r="U124" s="84" t="s">
        <v>121</v>
      </c>
    </row>
    <row r="125" spans="1:21" ht="13.2">
      <c r="A125" s="56" t="s">
        <v>147</v>
      </c>
      <c r="B125" s="80"/>
      <c r="C125" s="81">
        <v>4</v>
      </c>
      <c r="D125" s="82" t="s">
        <v>1077</v>
      </c>
      <c r="E125" s="87">
        <v>56.55</v>
      </c>
      <c r="F125" s="81" t="s">
        <v>1069</v>
      </c>
      <c r="G125" s="81" t="s">
        <v>121</v>
      </c>
      <c r="H125" s="81" t="s">
        <v>121</v>
      </c>
      <c r="I125" s="84" t="s">
        <v>121</v>
      </c>
      <c r="J125" s="85"/>
      <c r="K125" s="85"/>
      <c r="L125" s="85"/>
      <c r="M125" s="86"/>
      <c r="N125" s="80"/>
      <c r="O125" s="81">
        <v>4</v>
      </c>
      <c r="P125" s="82" t="s">
        <v>1078</v>
      </c>
      <c r="Q125" s="87">
        <v>42.5</v>
      </c>
      <c r="R125" s="81" t="s">
        <v>1069</v>
      </c>
      <c r="S125" s="81" t="s">
        <v>121</v>
      </c>
      <c r="T125" s="81" t="s">
        <v>121</v>
      </c>
      <c r="U125" s="84" t="s">
        <v>121</v>
      </c>
    </row>
    <row r="126" spans="1:21" ht="13.2">
      <c r="A126" s="56" t="s">
        <v>147</v>
      </c>
      <c r="B126" s="80"/>
      <c r="C126" s="81">
        <v>5</v>
      </c>
      <c r="D126" s="82" t="s">
        <v>1079</v>
      </c>
      <c r="E126" s="87">
        <v>56.45</v>
      </c>
      <c r="F126" s="81" t="s">
        <v>1069</v>
      </c>
      <c r="G126" s="81" t="s">
        <v>121</v>
      </c>
      <c r="H126" s="81" t="s">
        <v>121</v>
      </c>
      <c r="I126" s="84" t="s">
        <v>121</v>
      </c>
      <c r="J126" s="85"/>
      <c r="K126" s="85"/>
      <c r="L126" s="85"/>
      <c r="M126" s="86"/>
      <c r="N126" s="80"/>
      <c r="O126" s="81">
        <v>5</v>
      </c>
      <c r="P126" s="82" t="s">
        <v>1080</v>
      </c>
      <c r="Q126" s="87">
        <v>40.299999999999997</v>
      </c>
      <c r="R126" s="81" t="s">
        <v>1070</v>
      </c>
      <c r="S126" s="81" t="s">
        <v>121</v>
      </c>
      <c r="T126" s="81" t="s">
        <v>121</v>
      </c>
      <c r="U126" s="84" t="s">
        <v>121</v>
      </c>
    </row>
    <row r="127" spans="1:21" ht="13.2">
      <c r="A127" s="56" t="s">
        <v>147</v>
      </c>
      <c r="B127" s="80"/>
      <c r="C127" s="81">
        <v>6</v>
      </c>
      <c r="D127" s="82" t="s">
        <v>1081</v>
      </c>
      <c r="E127" s="87">
        <v>48.4</v>
      </c>
      <c r="F127" s="81" t="s">
        <v>1069</v>
      </c>
      <c r="G127" s="81" t="s">
        <v>121</v>
      </c>
      <c r="H127" s="81" t="s">
        <v>121</v>
      </c>
      <c r="I127" s="84" t="s">
        <v>121</v>
      </c>
      <c r="J127" s="85"/>
      <c r="K127" s="85"/>
      <c r="L127" s="85"/>
      <c r="M127" s="86"/>
      <c r="N127" s="80"/>
      <c r="O127" s="81">
        <v>6</v>
      </c>
      <c r="P127" s="82" t="s">
        <v>1082</v>
      </c>
      <c r="Q127" s="87">
        <v>38.75</v>
      </c>
      <c r="R127" s="81" t="s">
        <v>1069</v>
      </c>
      <c r="S127" s="81" t="s">
        <v>121</v>
      </c>
      <c r="T127" s="81" t="s">
        <v>121</v>
      </c>
      <c r="U127" s="84" t="s">
        <v>121</v>
      </c>
    </row>
    <row r="128" spans="1:21" ht="13.2">
      <c r="A128" s="56" t="s">
        <v>147</v>
      </c>
      <c r="B128" s="80"/>
      <c r="C128" s="81">
        <v>7</v>
      </c>
      <c r="D128" s="82" t="s">
        <v>1083</v>
      </c>
      <c r="E128" s="87">
        <v>40.700000000000003</v>
      </c>
      <c r="F128" s="81" t="s">
        <v>1069</v>
      </c>
      <c r="G128" s="81" t="s">
        <v>121</v>
      </c>
      <c r="H128" s="81" t="s">
        <v>121</v>
      </c>
      <c r="I128" s="84" t="s">
        <v>121</v>
      </c>
      <c r="J128" s="85"/>
      <c r="K128" s="85"/>
      <c r="L128" s="85"/>
      <c r="M128" s="86"/>
      <c r="N128" s="80"/>
      <c r="O128" s="81">
        <v>7</v>
      </c>
      <c r="P128" s="82" t="s">
        <v>1084</v>
      </c>
      <c r="Q128" s="87">
        <v>37.6</v>
      </c>
      <c r="R128" s="81" t="s">
        <v>1069</v>
      </c>
      <c r="S128" s="81" t="s">
        <v>121</v>
      </c>
      <c r="T128" s="81" t="s">
        <v>121</v>
      </c>
      <c r="U128" s="84" t="s">
        <v>121</v>
      </c>
    </row>
    <row r="129" spans="1:21" ht="13.2">
      <c r="A129" s="56" t="s">
        <v>147</v>
      </c>
      <c r="B129" s="80"/>
      <c r="C129" s="81">
        <v>8</v>
      </c>
      <c r="D129" s="88" t="s">
        <v>1085</v>
      </c>
      <c r="E129" s="87">
        <v>40.6</v>
      </c>
      <c r="F129" s="81" t="s">
        <v>1070</v>
      </c>
      <c r="G129" s="81" t="s">
        <v>121</v>
      </c>
      <c r="H129" s="81" t="s">
        <v>121</v>
      </c>
      <c r="I129" s="84" t="s">
        <v>121</v>
      </c>
      <c r="J129" s="85"/>
      <c r="K129" s="85"/>
      <c r="L129" s="85"/>
      <c r="M129" s="86"/>
      <c r="N129" s="80"/>
      <c r="O129" s="81">
        <v>8</v>
      </c>
      <c r="P129" s="82" t="s">
        <v>1086</v>
      </c>
      <c r="Q129" s="87">
        <v>29.75</v>
      </c>
      <c r="R129" s="81" t="s">
        <v>1070</v>
      </c>
      <c r="S129" s="81" t="s">
        <v>121</v>
      </c>
      <c r="T129" s="81" t="s">
        <v>121</v>
      </c>
      <c r="U129" s="84" t="s">
        <v>121</v>
      </c>
    </row>
    <row r="130" spans="1:21" ht="13.2">
      <c r="A130" s="56" t="s">
        <v>147</v>
      </c>
      <c r="B130" s="80"/>
      <c r="C130" s="81">
        <v>9</v>
      </c>
      <c r="D130" s="88" t="s">
        <v>1087</v>
      </c>
      <c r="E130" s="87">
        <v>29.7</v>
      </c>
      <c r="F130" s="81" t="s">
        <v>1070</v>
      </c>
      <c r="G130" s="81" t="s">
        <v>121</v>
      </c>
      <c r="H130" s="81" t="s">
        <v>121</v>
      </c>
      <c r="I130" s="84" t="s">
        <v>121</v>
      </c>
      <c r="J130" s="85"/>
      <c r="K130" s="85"/>
      <c r="L130" s="85"/>
      <c r="M130" s="86"/>
      <c r="N130" s="80"/>
      <c r="O130" s="81">
        <v>9</v>
      </c>
      <c r="P130" s="82" t="s">
        <v>1088</v>
      </c>
      <c r="Q130" s="87">
        <v>25.5</v>
      </c>
      <c r="R130" s="81" t="s">
        <v>1070</v>
      </c>
      <c r="S130" s="81" t="s">
        <v>121</v>
      </c>
      <c r="T130" s="81" t="s">
        <v>121</v>
      </c>
      <c r="U130" s="84" t="s">
        <v>121</v>
      </c>
    </row>
    <row r="131" spans="1:21" ht="13.2">
      <c r="A131" s="56" t="s">
        <v>147</v>
      </c>
      <c r="B131" s="80"/>
      <c r="C131" s="81">
        <v>10</v>
      </c>
      <c r="D131" s="88" t="s">
        <v>1089</v>
      </c>
      <c r="E131" s="87">
        <v>28.7</v>
      </c>
      <c r="F131" s="81" t="s">
        <v>1070</v>
      </c>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147</v>
      </c>
      <c r="B132" s="80"/>
      <c r="C132" s="81">
        <v>11</v>
      </c>
      <c r="D132" s="88" t="s">
        <v>1090</v>
      </c>
      <c r="E132" s="87">
        <v>26.5</v>
      </c>
      <c r="F132" s="81" t="s">
        <v>1070</v>
      </c>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147</v>
      </c>
      <c r="B133" s="80"/>
      <c r="C133" s="81">
        <v>12</v>
      </c>
      <c r="D133" s="88" t="s">
        <v>1091</v>
      </c>
      <c r="E133" s="87">
        <v>25</v>
      </c>
      <c r="F133" s="81" t="s">
        <v>1070</v>
      </c>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147</v>
      </c>
      <c r="B134" s="80"/>
      <c r="C134" s="81">
        <v>13</v>
      </c>
      <c r="D134" s="88" t="s">
        <v>1092</v>
      </c>
      <c r="E134" s="87">
        <v>19</v>
      </c>
      <c r="F134" s="81" t="s">
        <v>1070</v>
      </c>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4</v>
      </c>
      <c r="H147" s="90">
        <v>5</v>
      </c>
      <c r="I147" s="84" t="s">
        <v>121</v>
      </c>
      <c r="J147" s="85"/>
      <c r="K147" s="85"/>
      <c r="L147" s="85"/>
      <c r="M147" s="86"/>
      <c r="N147" s="80"/>
      <c r="O147" s="230" t="s">
        <v>185</v>
      </c>
      <c r="P147" s="227"/>
      <c r="Q147" s="227"/>
      <c r="R147" s="227"/>
      <c r="S147" s="90">
        <v>6</v>
      </c>
      <c r="T147" s="90">
        <v>3</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13.2">
      <c r="A151" s="56" t="s">
        <v>151</v>
      </c>
      <c r="B151" s="99"/>
      <c r="C151" s="81">
        <v>1</v>
      </c>
      <c r="D151" s="82" t="s">
        <v>1093</v>
      </c>
      <c r="E151" s="83">
        <v>92.6</v>
      </c>
      <c r="F151" s="81" t="s">
        <v>1069</v>
      </c>
      <c r="G151" s="81">
        <v>5</v>
      </c>
      <c r="H151" s="81" t="s">
        <v>121</v>
      </c>
      <c r="I151" s="100" t="s">
        <v>121</v>
      </c>
      <c r="J151" s="85"/>
      <c r="K151" s="85"/>
      <c r="L151" s="85"/>
      <c r="M151" s="86"/>
      <c r="N151" s="99"/>
      <c r="O151" s="81">
        <v>1</v>
      </c>
      <c r="P151" s="82" t="s">
        <v>1094</v>
      </c>
      <c r="Q151" s="83">
        <v>90.4</v>
      </c>
      <c r="R151" s="81" t="s">
        <v>1070</v>
      </c>
      <c r="S151" s="81" t="s">
        <v>121</v>
      </c>
      <c r="T151" s="81">
        <v>5</v>
      </c>
      <c r="U151" s="100" t="s">
        <v>121</v>
      </c>
    </row>
    <row r="152" spans="1:21" ht="13.2">
      <c r="A152" s="56" t="s">
        <v>151</v>
      </c>
      <c r="B152" s="99"/>
      <c r="C152" s="81">
        <v>2</v>
      </c>
      <c r="D152" s="82" t="s">
        <v>1095</v>
      </c>
      <c r="E152" s="87">
        <v>83.55</v>
      </c>
      <c r="F152" s="81" t="s">
        <v>1070</v>
      </c>
      <c r="G152" s="81" t="s">
        <v>121</v>
      </c>
      <c r="H152" s="81">
        <v>3</v>
      </c>
      <c r="I152" s="100" t="s">
        <v>123</v>
      </c>
      <c r="J152" s="85"/>
      <c r="K152" s="85"/>
      <c r="L152" s="85"/>
      <c r="M152" s="86"/>
      <c r="N152" s="99"/>
      <c r="O152" s="81">
        <v>2</v>
      </c>
      <c r="P152" s="82" t="s">
        <v>1096</v>
      </c>
      <c r="Q152" s="87">
        <v>77.05</v>
      </c>
      <c r="R152" s="81" t="s">
        <v>1070</v>
      </c>
      <c r="S152" s="81" t="s">
        <v>121</v>
      </c>
      <c r="T152" s="81">
        <v>3</v>
      </c>
      <c r="U152" s="100" t="s">
        <v>121</v>
      </c>
    </row>
    <row r="153" spans="1:21" ht="13.2">
      <c r="A153" s="56" t="s">
        <v>151</v>
      </c>
      <c r="B153" s="99"/>
      <c r="C153" s="81">
        <v>3</v>
      </c>
      <c r="D153" s="82" t="s">
        <v>1097</v>
      </c>
      <c r="E153" s="87">
        <v>77.75</v>
      </c>
      <c r="F153" s="81" t="s">
        <v>1069</v>
      </c>
      <c r="G153" s="81">
        <v>1</v>
      </c>
      <c r="H153" s="81" t="s">
        <v>121</v>
      </c>
      <c r="I153" s="100" t="s">
        <v>121</v>
      </c>
      <c r="J153" s="85"/>
      <c r="K153" s="85"/>
      <c r="L153" s="85"/>
      <c r="M153" s="86"/>
      <c r="N153" s="99"/>
      <c r="O153" s="81">
        <v>3</v>
      </c>
      <c r="P153" s="82" t="s">
        <v>1098</v>
      </c>
      <c r="Q153" s="87">
        <v>74.3</v>
      </c>
      <c r="R153" s="81" t="s">
        <v>1070</v>
      </c>
      <c r="S153" s="81" t="s">
        <v>121</v>
      </c>
      <c r="T153" s="81">
        <v>1</v>
      </c>
      <c r="U153" s="100" t="s">
        <v>121</v>
      </c>
    </row>
    <row r="154" spans="1:21" ht="13.2">
      <c r="A154" s="56" t="s">
        <v>151</v>
      </c>
      <c r="B154" s="99"/>
      <c r="C154" s="81">
        <v>4</v>
      </c>
      <c r="D154" s="82" t="s">
        <v>1099</v>
      </c>
      <c r="E154" s="87">
        <v>67.5</v>
      </c>
      <c r="F154" s="81" t="s">
        <v>1069</v>
      </c>
      <c r="G154" s="81" t="s">
        <v>121</v>
      </c>
      <c r="H154" s="81" t="s">
        <v>121</v>
      </c>
      <c r="I154" s="100" t="s">
        <v>121</v>
      </c>
      <c r="J154" s="85"/>
      <c r="K154" s="85"/>
      <c r="L154" s="85"/>
      <c r="M154" s="86"/>
      <c r="N154" s="99"/>
      <c r="O154" s="81">
        <v>4</v>
      </c>
      <c r="P154" s="82" t="s">
        <v>1100</v>
      </c>
      <c r="Q154" s="87">
        <v>57.7</v>
      </c>
      <c r="R154" s="81" t="s">
        <v>1069</v>
      </c>
      <c r="S154" s="81" t="s">
        <v>121</v>
      </c>
      <c r="T154" s="81" t="s">
        <v>121</v>
      </c>
      <c r="U154" s="100" t="s">
        <v>123</v>
      </c>
    </row>
    <row r="155" spans="1:21" ht="13.2">
      <c r="A155" s="56" t="s">
        <v>151</v>
      </c>
      <c r="B155" s="99"/>
      <c r="C155" s="81">
        <v>5</v>
      </c>
      <c r="D155" s="82" t="s">
        <v>1101</v>
      </c>
      <c r="E155" s="87">
        <v>63.05</v>
      </c>
      <c r="F155" s="81" t="s">
        <v>1069</v>
      </c>
      <c r="G155" s="81" t="s">
        <v>121</v>
      </c>
      <c r="H155" s="81" t="s">
        <v>121</v>
      </c>
      <c r="I155" s="100" t="s">
        <v>121</v>
      </c>
      <c r="J155" s="85"/>
      <c r="K155" s="85"/>
      <c r="L155" s="85"/>
      <c r="M155" s="86"/>
      <c r="N155" s="99"/>
      <c r="O155" s="81">
        <v>5</v>
      </c>
      <c r="P155" s="82" t="s">
        <v>1102</v>
      </c>
      <c r="Q155" s="87">
        <v>45.4</v>
      </c>
      <c r="R155" s="81" t="s">
        <v>1069</v>
      </c>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6</v>
      </c>
      <c r="H166" s="90">
        <v>3</v>
      </c>
      <c r="I166" s="100" t="s">
        <v>121</v>
      </c>
      <c r="J166" s="85"/>
      <c r="K166" s="85"/>
      <c r="L166" s="85"/>
      <c r="M166" s="86"/>
      <c r="N166" s="99"/>
      <c r="O166" s="230" t="s">
        <v>200</v>
      </c>
      <c r="P166" s="227"/>
      <c r="Q166" s="227"/>
      <c r="R166" s="228"/>
      <c r="S166" s="90">
        <v>0</v>
      </c>
      <c r="T166" s="90">
        <v>9</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155</v>
      </c>
      <c r="B170" s="80"/>
      <c r="C170" s="81">
        <v>1</v>
      </c>
      <c r="D170" s="82" t="s">
        <v>1103</v>
      </c>
      <c r="E170" s="83">
        <v>146.44999999999999</v>
      </c>
      <c r="F170" s="81" t="s">
        <v>1069</v>
      </c>
      <c r="G170" s="81">
        <v>5</v>
      </c>
      <c r="H170" s="81" t="s">
        <v>121</v>
      </c>
      <c r="I170" s="84" t="s">
        <v>121</v>
      </c>
      <c r="J170" s="85"/>
      <c r="K170" s="85"/>
      <c r="L170" s="85"/>
      <c r="M170" s="86"/>
      <c r="N170" s="80"/>
      <c r="O170" s="81">
        <v>1</v>
      </c>
      <c r="P170" s="82" t="s">
        <v>1104</v>
      </c>
      <c r="Q170" s="83">
        <v>142.9</v>
      </c>
      <c r="R170" s="81" t="s">
        <v>1069</v>
      </c>
      <c r="S170" s="81">
        <v>5</v>
      </c>
      <c r="T170" s="81" t="s">
        <v>121</v>
      </c>
      <c r="U170" s="84" t="s">
        <v>121</v>
      </c>
    </row>
    <row r="171" spans="1:21" ht="13.2">
      <c r="A171" s="56" t="s">
        <v>155</v>
      </c>
      <c r="B171" s="80"/>
      <c r="C171" s="81">
        <v>2</v>
      </c>
      <c r="D171" s="82" t="s">
        <v>1105</v>
      </c>
      <c r="E171" s="87">
        <v>135.25</v>
      </c>
      <c r="F171" s="81" t="s">
        <v>1070</v>
      </c>
      <c r="G171" s="81" t="s">
        <v>121</v>
      </c>
      <c r="H171" s="81">
        <v>3</v>
      </c>
      <c r="I171" s="84" t="s">
        <v>121</v>
      </c>
      <c r="J171" s="85"/>
      <c r="K171" s="85"/>
      <c r="L171" s="85"/>
      <c r="M171" s="86"/>
      <c r="N171" s="80"/>
      <c r="O171" s="81">
        <v>2</v>
      </c>
      <c r="P171" s="82" t="s">
        <v>1106</v>
      </c>
      <c r="Q171" s="87">
        <v>140.6</v>
      </c>
      <c r="R171" s="81" t="s">
        <v>1069</v>
      </c>
      <c r="S171" s="81">
        <v>3</v>
      </c>
      <c r="T171" s="81" t="s">
        <v>121</v>
      </c>
      <c r="U171" s="84" t="s">
        <v>121</v>
      </c>
    </row>
    <row r="172" spans="1:21" ht="13.2">
      <c r="A172" s="56" t="s">
        <v>155</v>
      </c>
      <c r="B172" s="80"/>
      <c r="C172" s="81">
        <v>3</v>
      </c>
      <c r="D172" s="82" t="s">
        <v>1107</v>
      </c>
      <c r="E172" s="87">
        <v>110.95</v>
      </c>
      <c r="F172" s="81" t="s">
        <v>1069</v>
      </c>
      <c r="G172" s="81">
        <v>1</v>
      </c>
      <c r="H172" s="81" t="s">
        <v>121</v>
      </c>
      <c r="I172" s="84" t="s">
        <v>121</v>
      </c>
      <c r="J172" s="85"/>
      <c r="K172" s="85"/>
      <c r="L172" s="85"/>
      <c r="M172" s="86"/>
      <c r="N172" s="80"/>
      <c r="O172" s="81">
        <v>3</v>
      </c>
      <c r="P172" s="82" t="s">
        <v>1108</v>
      </c>
      <c r="Q172" s="87">
        <v>112.75</v>
      </c>
      <c r="R172" s="81" t="s">
        <v>1070</v>
      </c>
      <c r="S172" s="81" t="s">
        <v>121</v>
      </c>
      <c r="T172" s="81">
        <v>1</v>
      </c>
      <c r="U172" s="84" t="s">
        <v>121</v>
      </c>
    </row>
    <row r="173" spans="1:21" ht="13.2">
      <c r="A173" s="56" t="s">
        <v>155</v>
      </c>
      <c r="B173" s="80"/>
      <c r="C173" s="81">
        <v>4</v>
      </c>
      <c r="D173" s="82" t="s">
        <v>1109</v>
      </c>
      <c r="E173" s="87">
        <v>108.35</v>
      </c>
      <c r="F173" s="81" t="s">
        <v>1069</v>
      </c>
      <c r="G173" s="81" t="s">
        <v>121</v>
      </c>
      <c r="H173" s="81" t="s">
        <v>121</v>
      </c>
      <c r="I173" s="84" t="s">
        <v>121</v>
      </c>
      <c r="J173" s="85"/>
      <c r="K173" s="85"/>
      <c r="L173" s="85"/>
      <c r="M173" s="86"/>
      <c r="N173" s="80"/>
      <c r="O173" s="81">
        <v>4</v>
      </c>
      <c r="P173" s="82" t="s">
        <v>1110</v>
      </c>
      <c r="Q173" s="87">
        <v>110.45</v>
      </c>
      <c r="R173" s="81" t="s">
        <v>1070</v>
      </c>
      <c r="S173" s="81" t="s">
        <v>121</v>
      </c>
      <c r="T173" s="81" t="s">
        <v>121</v>
      </c>
      <c r="U173" s="84" t="s">
        <v>121</v>
      </c>
    </row>
    <row r="174" spans="1:21" ht="13.2">
      <c r="A174" s="56" t="s">
        <v>155</v>
      </c>
      <c r="B174" s="80"/>
      <c r="C174" s="81">
        <v>5</v>
      </c>
      <c r="D174" s="82" t="s">
        <v>1111</v>
      </c>
      <c r="E174" s="87">
        <v>71.099999999999994</v>
      </c>
      <c r="F174" s="81" t="s">
        <v>1069</v>
      </c>
      <c r="G174" s="81" t="s">
        <v>121</v>
      </c>
      <c r="H174" s="81" t="s">
        <v>121</v>
      </c>
      <c r="I174" s="84" t="s">
        <v>121</v>
      </c>
      <c r="J174" s="85"/>
      <c r="K174" s="85"/>
      <c r="L174" s="85"/>
      <c r="M174" s="86"/>
      <c r="N174" s="80"/>
      <c r="O174" s="81">
        <v>5</v>
      </c>
      <c r="P174" s="82" t="s">
        <v>1112</v>
      </c>
      <c r="Q174" s="87">
        <v>103.8</v>
      </c>
      <c r="R174" s="81" t="s">
        <v>1069</v>
      </c>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v>6</v>
      </c>
      <c r="P175" s="82" t="s">
        <v>1113</v>
      </c>
      <c r="Q175" s="87">
        <v>92.25</v>
      </c>
      <c r="R175" s="81" t="s">
        <v>1069</v>
      </c>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v>7</v>
      </c>
      <c r="P176" s="82" t="s">
        <v>1114</v>
      </c>
      <c r="Q176" s="87">
        <v>76.2</v>
      </c>
      <c r="R176" s="81" t="s">
        <v>1070</v>
      </c>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6</v>
      </c>
      <c r="H180" s="90">
        <v>3</v>
      </c>
      <c r="I180" s="84" t="s">
        <v>121</v>
      </c>
      <c r="J180" s="85"/>
      <c r="K180" s="85"/>
      <c r="L180" s="85"/>
      <c r="M180" s="86"/>
      <c r="N180" s="80"/>
      <c r="O180" s="230" t="s">
        <v>211</v>
      </c>
      <c r="P180" s="227"/>
      <c r="Q180" s="227"/>
      <c r="R180" s="227"/>
      <c r="S180" s="90">
        <v>8</v>
      </c>
      <c r="T180" s="90">
        <v>1</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99"/>
      <c r="C184" s="81">
        <v>1</v>
      </c>
      <c r="D184" s="82" t="s">
        <v>1115</v>
      </c>
      <c r="E184" s="83">
        <v>175.85</v>
      </c>
      <c r="F184" s="81" t="s">
        <v>1069</v>
      </c>
      <c r="G184" s="81">
        <v>5</v>
      </c>
      <c r="H184" s="81" t="s">
        <v>121</v>
      </c>
      <c r="I184" s="100" t="s">
        <v>121</v>
      </c>
      <c r="J184" s="85"/>
      <c r="K184" s="85"/>
      <c r="L184" s="85"/>
      <c r="M184" s="86"/>
      <c r="N184" s="99"/>
      <c r="O184" s="81">
        <v>1</v>
      </c>
      <c r="P184" s="82" t="s">
        <v>1116</v>
      </c>
      <c r="Q184" s="83">
        <v>259.2</v>
      </c>
      <c r="R184" s="81" t="s">
        <v>1069</v>
      </c>
      <c r="S184" s="81">
        <v>5</v>
      </c>
      <c r="T184" s="81" t="s">
        <v>121</v>
      </c>
      <c r="U184" s="100" t="s">
        <v>121</v>
      </c>
    </row>
    <row r="185" spans="1:21" ht="13.2">
      <c r="A185" s="56" t="s">
        <v>159</v>
      </c>
      <c r="B185" s="99"/>
      <c r="C185" s="81">
        <v>2</v>
      </c>
      <c r="D185" s="82" t="s">
        <v>1117</v>
      </c>
      <c r="E185" s="87">
        <v>129.25</v>
      </c>
      <c r="F185" s="81" t="s">
        <v>1069</v>
      </c>
      <c r="G185" s="81">
        <v>3</v>
      </c>
      <c r="H185" s="81" t="s">
        <v>121</v>
      </c>
      <c r="I185" s="100" t="s">
        <v>121</v>
      </c>
      <c r="J185" s="85"/>
      <c r="K185" s="85"/>
      <c r="L185" s="85"/>
      <c r="M185" s="86"/>
      <c r="N185" s="99"/>
      <c r="O185" s="81">
        <v>2</v>
      </c>
      <c r="P185" s="82" t="s">
        <v>1118</v>
      </c>
      <c r="Q185" s="87">
        <v>175.95</v>
      </c>
      <c r="R185" s="81" t="s">
        <v>1070</v>
      </c>
      <c r="S185" s="81" t="s">
        <v>121</v>
      </c>
      <c r="T185" s="81">
        <v>3</v>
      </c>
      <c r="U185" s="100" t="s">
        <v>121</v>
      </c>
    </row>
    <row r="186" spans="1:21" ht="13.2">
      <c r="A186" s="56" t="s">
        <v>159</v>
      </c>
      <c r="B186" s="99"/>
      <c r="C186" s="81">
        <v>3</v>
      </c>
      <c r="D186" s="82" t="s">
        <v>1119</v>
      </c>
      <c r="E186" s="87">
        <v>101.75</v>
      </c>
      <c r="F186" s="81" t="s">
        <v>1069</v>
      </c>
      <c r="G186" s="81">
        <v>1</v>
      </c>
      <c r="H186" s="81" t="s">
        <v>121</v>
      </c>
      <c r="I186" s="100" t="s">
        <v>121</v>
      </c>
      <c r="J186" s="85"/>
      <c r="K186" s="85"/>
      <c r="L186" s="85"/>
      <c r="M186" s="86"/>
      <c r="N186" s="99"/>
      <c r="O186" s="81">
        <v>3</v>
      </c>
      <c r="P186" s="82" t="s">
        <v>1120</v>
      </c>
      <c r="Q186" s="87">
        <v>156.35</v>
      </c>
      <c r="R186" s="81" t="s">
        <v>1069</v>
      </c>
      <c r="S186" s="81">
        <v>1</v>
      </c>
      <c r="T186" s="81" t="s">
        <v>121</v>
      </c>
      <c r="U186" s="100" t="s">
        <v>121</v>
      </c>
    </row>
    <row r="187" spans="1:21" ht="13.2">
      <c r="A187" s="56" t="s">
        <v>159</v>
      </c>
      <c r="B187" s="99"/>
      <c r="C187" s="81">
        <v>4</v>
      </c>
      <c r="D187" s="82" t="s">
        <v>1121</v>
      </c>
      <c r="E187" s="87">
        <v>99.25</v>
      </c>
      <c r="F187" s="81" t="s">
        <v>1069</v>
      </c>
      <c r="G187" s="81" t="s">
        <v>121</v>
      </c>
      <c r="H187" s="81" t="s">
        <v>121</v>
      </c>
      <c r="I187" s="100" t="s">
        <v>121</v>
      </c>
      <c r="J187" s="85"/>
      <c r="K187" s="85"/>
      <c r="L187" s="85"/>
      <c r="M187" s="86"/>
      <c r="N187" s="99"/>
      <c r="O187" s="81">
        <v>4</v>
      </c>
      <c r="P187" s="82" t="s">
        <v>1122</v>
      </c>
      <c r="Q187" s="87">
        <v>155.69999999999999</v>
      </c>
      <c r="R187" s="81" t="s">
        <v>1070</v>
      </c>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v>5</v>
      </c>
      <c r="P188" s="88" t="s">
        <v>1123</v>
      </c>
      <c r="Q188" s="87">
        <v>146.15</v>
      </c>
      <c r="R188" s="81" t="s">
        <v>1070</v>
      </c>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v>6</v>
      </c>
      <c r="P189" s="88" t="s">
        <v>1124</v>
      </c>
      <c r="Q189" s="87">
        <v>137.75</v>
      </c>
      <c r="R189" s="81" t="s">
        <v>1069</v>
      </c>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9</v>
      </c>
      <c r="H194" s="90">
        <v>0</v>
      </c>
      <c r="I194" s="100" t="s">
        <v>121</v>
      </c>
      <c r="J194" s="85"/>
      <c r="K194" s="85"/>
      <c r="L194" s="85"/>
      <c r="M194" s="86"/>
      <c r="N194" s="99"/>
      <c r="O194" s="230" t="s">
        <v>221</v>
      </c>
      <c r="P194" s="227"/>
      <c r="Q194" s="227"/>
      <c r="R194" s="227"/>
      <c r="S194" s="90">
        <v>6</v>
      </c>
      <c r="T194" s="90">
        <v>3</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1125</v>
      </c>
      <c r="R196" s="227"/>
      <c r="S196" s="227"/>
      <c r="T196" s="228"/>
      <c r="U196" s="4" t="s">
        <v>121</v>
      </c>
    </row>
    <row r="197" spans="1:21" ht="13.2">
      <c r="A197" s="56"/>
      <c r="B197" s="4"/>
      <c r="C197" s="249" t="s">
        <v>1126</v>
      </c>
      <c r="D197" s="235"/>
      <c r="E197" s="235"/>
      <c r="F197" s="235"/>
      <c r="G197" s="235"/>
      <c r="H197" s="236"/>
      <c r="I197" s="85" t="s">
        <v>121</v>
      </c>
      <c r="J197" s="85"/>
      <c r="K197" s="85"/>
      <c r="L197" s="85"/>
      <c r="M197" s="86"/>
      <c r="N197" s="107"/>
      <c r="O197" s="110" t="s">
        <v>226</v>
      </c>
      <c r="P197" s="111"/>
      <c r="Q197" s="231" t="s">
        <v>1127</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1127</v>
      </c>
      <c r="F199" s="227"/>
      <c r="G199" s="227"/>
      <c r="H199" s="228"/>
      <c r="I199" s="85" t="s">
        <v>121</v>
      </c>
      <c r="J199" s="85"/>
      <c r="K199" s="85"/>
      <c r="L199" s="85"/>
      <c r="M199" s="86"/>
      <c r="N199" s="107"/>
      <c r="O199" s="112" t="s">
        <v>229</v>
      </c>
      <c r="P199" s="113"/>
      <c r="Q199" s="233" t="s">
        <v>1128</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73" t="s">
        <v>1129</v>
      </c>
      <c r="D201" s="235"/>
      <c r="E201" s="235"/>
      <c r="F201" s="235"/>
      <c r="G201" s="235"/>
      <c r="H201" s="236"/>
      <c r="I201" s="4" t="s">
        <v>121</v>
      </c>
      <c r="J201" s="4"/>
      <c r="K201" s="4"/>
      <c r="L201" s="4"/>
      <c r="M201" s="71"/>
      <c r="N201" s="109"/>
      <c r="O201" s="234" t="s">
        <v>1130</v>
      </c>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129"/>
      <c r="C209" s="251" t="s">
        <v>130</v>
      </c>
      <c r="D209" s="227"/>
      <c r="E209" s="252" t="s">
        <v>1002</v>
      </c>
      <c r="F209" s="227"/>
      <c r="G209" s="228"/>
      <c r="H209" s="130" t="s">
        <v>1131</v>
      </c>
      <c r="I209" s="131" t="s">
        <v>121</v>
      </c>
      <c r="J209" s="132"/>
      <c r="K209" s="132"/>
      <c r="L209" s="132"/>
      <c r="M209" s="133"/>
      <c r="N209" s="48"/>
      <c r="O209" s="244" t="s">
        <v>132</v>
      </c>
      <c r="P209" s="227"/>
      <c r="Q209" s="245" t="s">
        <v>1003</v>
      </c>
      <c r="R209" s="227"/>
      <c r="S209" s="228"/>
      <c r="T209" s="134" t="s">
        <v>1132</v>
      </c>
      <c r="U209" s="135" t="s">
        <v>121</v>
      </c>
    </row>
    <row r="210" spans="1:21" ht="17.399999999999999">
      <c r="A210" s="56"/>
      <c r="B210" s="136"/>
      <c r="C210" s="253" t="s">
        <v>1</v>
      </c>
      <c r="D210" s="228"/>
      <c r="E210" s="254">
        <v>32</v>
      </c>
      <c r="F210" s="227"/>
      <c r="G210" s="227"/>
      <c r="H210" s="137"/>
      <c r="I210" s="131" t="s">
        <v>121</v>
      </c>
      <c r="J210" s="138"/>
      <c r="K210" s="138"/>
      <c r="L210" s="138"/>
      <c r="M210" s="139"/>
      <c r="N210" s="48"/>
      <c r="O210" s="246" t="s">
        <v>1</v>
      </c>
      <c r="P210" s="228"/>
      <c r="Q210" s="247">
        <v>40</v>
      </c>
      <c r="R210" s="227"/>
      <c r="S210" s="227"/>
      <c r="T210" s="140"/>
      <c r="U210" s="135"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B213" s="4"/>
      <c r="C213" s="62" t="s">
        <v>147</v>
      </c>
      <c r="D213" s="63" t="s">
        <v>148</v>
      </c>
      <c r="E213" s="57"/>
      <c r="F213" s="57"/>
      <c r="G213" s="64">
        <v>4</v>
      </c>
      <c r="H213" s="65">
        <v>5</v>
      </c>
      <c r="I213" s="55" t="s">
        <v>121</v>
      </c>
      <c r="J213" s="55"/>
      <c r="K213" s="55"/>
      <c r="L213" s="55"/>
      <c r="M213" s="61"/>
      <c r="N213" s="4"/>
      <c r="O213" s="62" t="s">
        <v>149</v>
      </c>
      <c r="P213" s="63" t="s">
        <v>150</v>
      </c>
      <c r="Q213" s="57"/>
      <c r="R213" s="57"/>
      <c r="S213" s="64">
        <v>6</v>
      </c>
      <c r="T213" s="65">
        <v>3</v>
      </c>
      <c r="U213" s="55" t="s">
        <v>121</v>
      </c>
    </row>
    <row r="214" spans="1:21" ht="13.2">
      <c r="A214" s="56"/>
      <c r="B214" s="4"/>
      <c r="C214" s="62" t="s">
        <v>151</v>
      </c>
      <c r="D214" s="63" t="s">
        <v>152</v>
      </c>
      <c r="E214" s="57"/>
      <c r="F214" s="57"/>
      <c r="G214" s="64">
        <v>3</v>
      </c>
      <c r="H214" s="65">
        <v>6</v>
      </c>
      <c r="I214" s="55" t="s">
        <v>121</v>
      </c>
      <c r="J214" s="55"/>
      <c r="K214" s="55"/>
      <c r="L214" s="55"/>
      <c r="M214" s="61"/>
      <c r="N214" s="4"/>
      <c r="O214" s="62" t="s">
        <v>153</v>
      </c>
      <c r="P214" s="63" t="s">
        <v>154</v>
      </c>
      <c r="Q214" s="57"/>
      <c r="R214" s="57"/>
      <c r="S214" s="64">
        <v>0</v>
      </c>
      <c r="T214" s="65">
        <v>9</v>
      </c>
      <c r="U214" s="55" t="s">
        <v>121</v>
      </c>
    </row>
    <row r="215" spans="1:21" ht="13.2">
      <c r="A215" s="56"/>
      <c r="B215" s="4"/>
      <c r="C215" s="62" t="s">
        <v>155</v>
      </c>
      <c r="D215" s="63" t="s">
        <v>156</v>
      </c>
      <c r="E215" s="57"/>
      <c r="F215" s="57"/>
      <c r="G215" s="64">
        <v>3</v>
      </c>
      <c r="H215" s="65">
        <v>6</v>
      </c>
      <c r="I215" s="55" t="s">
        <v>121</v>
      </c>
      <c r="J215" s="55"/>
      <c r="K215" s="55"/>
      <c r="L215" s="55"/>
      <c r="M215" s="61"/>
      <c r="N215" s="4"/>
      <c r="O215" s="62" t="s">
        <v>157</v>
      </c>
      <c r="P215" s="63" t="s">
        <v>158</v>
      </c>
      <c r="Q215" s="57"/>
      <c r="R215" s="57"/>
      <c r="S215" s="64">
        <v>5</v>
      </c>
      <c r="T215" s="65">
        <v>4</v>
      </c>
      <c r="U215" s="55" t="s">
        <v>121</v>
      </c>
    </row>
    <row r="216" spans="1:21" ht="13.2">
      <c r="A216" s="56"/>
      <c r="B216" s="4"/>
      <c r="C216" s="62" t="s">
        <v>159</v>
      </c>
      <c r="D216" s="63" t="s">
        <v>160</v>
      </c>
      <c r="E216" s="57"/>
      <c r="F216" s="57"/>
      <c r="G216" s="64">
        <v>5</v>
      </c>
      <c r="H216" s="65">
        <v>4</v>
      </c>
      <c r="I216" s="55" t="s">
        <v>121</v>
      </c>
      <c r="J216" s="55"/>
      <c r="K216" s="55"/>
      <c r="L216" s="55"/>
      <c r="M216" s="61"/>
      <c r="N216" s="4"/>
      <c r="O216" s="62" t="s">
        <v>161</v>
      </c>
      <c r="P216" s="63" t="s">
        <v>162</v>
      </c>
      <c r="Q216" s="57"/>
      <c r="R216" s="57"/>
      <c r="S216" s="64">
        <v>6</v>
      </c>
      <c r="T216" s="65">
        <v>3</v>
      </c>
      <c r="U216" s="55" t="s">
        <v>121</v>
      </c>
    </row>
    <row r="217" spans="1:21" ht="13.2">
      <c r="A217" s="56"/>
      <c r="B217" s="4"/>
      <c r="C217" s="66"/>
      <c r="D217" s="67" t="s">
        <v>163</v>
      </c>
      <c r="E217" s="68"/>
      <c r="F217" s="68"/>
      <c r="G217" s="69">
        <v>15</v>
      </c>
      <c r="H217" s="70">
        <v>21</v>
      </c>
      <c r="I217" s="55" t="s">
        <v>121</v>
      </c>
      <c r="J217" s="55"/>
      <c r="K217" s="55"/>
      <c r="L217" s="55"/>
      <c r="M217" s="61"/>
      <c r="N217" s="4"/>
      <c r="O217" s="66"/>
      <c r="P217" s="67" t="s">
        <v>163</v>
      </c>
      <c r="Q217" s="68"/>
      <c r="R217" s="68"/>
      <c r="S217" s="69">
        <v>17</v>
      </c>
      <c r="T217" s="70">
        <v>19</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80"/>
      <c r="C222" s="81">
        <v>1</v>
      </c>
      <c r="D222" s="82" t="s">
        <v>1133</v>
      </c>
      <c r="E222" s="83">
        <v>61.55</v>
      </c>
      <c r="F222" s="81" t="s">
        <v>1132</v>
      </c>
      <c r="G222" s="81" t="s">
        <v>121</v>
      </c>
      <c r="H222" s="81">
        <v>5</v>
      </c>
      <c r="I222" s="84" t="s">
        <v>121</v>
      </c>
      <c r="J222" s="85"/>
      <c r="K222" s="85"/>
      <c r="L222" s="85"/>
      <c r="M222" s="86"/>
      <c r="N222" s="80"/>
      <c r="O222" s="81">
        <v>1</v>
      </c>
      <c r="P222" s="82" t="s">
        <v>1134</v>
      </c>
      <c r="Q222" s="83">
        <v>72.150000000000006</v>
      </c>
      <c r="R222" s="81" t="s">
        <v>1131</v>
      </c>
      <c r="S222" s="81">
        <v>5</v>
      </c>
      <c r="T222" s="81" t="s">
        <v>121</v>
      </c>
      <c r="U222" s="84" t="s">
        <v>121</v>
      </c>
    </row>
    <row r="223" spans="1:21" ht="13.2">
      <c r="A223" s="56" t="s">
        <v>147</v>
      </c>
      <c r="B223" s="80"/>
      <c r="C223" s="81">
        <v>2</v>
      </c>
      <c r="D223" s="82" t="s">
        <v>1135</v>
      </c>
      <c r="E223" s="87">
        <v>60.1</v>
      </c>
      <c r="F223" s="81" t="s">
        <v>1131</v>
      </c>
      <c r="G223" s="81">
        <v>3</v>
      </c>
      <c r="H223" s="81" t="s">
        <v>121</v>
      </c>
      <c r="I223" s="84" t="s">
        <v>121</v>
      </c>
      <c r="J223" s="85"/>
      <c r="K223" s="85"/>
      <c r="L223" s="85"/>
      <c r="M223" s="86"/>
      <c r="N223" s="80"/>
      <c r="O223" s="81">
        <v>2</v>
      </c>
      <c r="P223" s="82" t="s">
        <v>1136</v>
      </c>
      <c r="Q223" s="87">
        <v>59.2</v>
      </c>
      <c r="R223" s="81" t="s">
        <v>1132</v>
      </c>
      <c r="S223" s="81" t="s">
        <v>121</v>
      </c>
      <c r="T223" s="81">
        <v>3</v>
      </c>
      <c r="U223" s="84" t="s">
        <v>121</v>
      </c>
    </row>
    <row r="224" spans="1:21" ht="13.2">
      <c r="A224" s="56" t="s">
        <v>147</v>
      </c>
      <c r="B224" s="80"/>
      <c r="C224" s="81">
        <v>3</v>
      </c>
      <c r="D224" s="82" t="s">
        <v>1137</v>
      </c>
      <c r="E224" s="87">
        <v>56.95</v>
      </c>
      <c r="F224" s="81" t="s">
        <v>1131</v>
      </c>
      <c r="G224" s="81">
        <v>1</v>
      </c>
      <c r="H224" s="81" t="s">
        <v>121</v>
      </c>
      <c r="I224" s="84" t="s">
        <v>121</v>
      </c>
      <c r="J224" s="85"/>
      <c r="K224" s="85"/>
      <c r="L224" s="85"/>
      <c r="M224" s="86"/>
      <c r="N224" s="80"/>
      <c r="O224" s="81">
        <v>3</v>
      </c>
      <c r="P224" s="82" t="s">
        <v>1138</v>
      </c>
      <c r="Q224" s="87">
        <v>58.8</v>
      </c>
      <c r="R224" s="81" t="s">
        <v>1131</v>
      </c>
      <c r="S224" s="81">
        <v>1</v>
      </c>
      <c r="T224" s="81" t="s">
        <v>121</v>
      </c>
      <c r="U224" s="84" t="s">
        <v>121</v>
      </c>
    </row>
    <row r="225" spans="1:21" ht="13.2">
      <c r="A225" s="56" t="s">
        <v>147</v>
      </c>
      <c r="B225" s="80"/>
      <c r="C225" s="81">
        <v>4</v>
      </c>
      <c r="D225" s="82" t="s">
        <v>1139</v>
      </c>
      <c r="E225" s="87">
        <v>52.4</v>
      </c>
      <c r="F225" s="81" t="s">
        <v>1132</v>
      </c>
      <c r="G225" s="81" t="s">
        <v>121</v>
      </c>
      <c r="H225" s="81" t="s">
        <v>121</v>
      </c>
      <c r="I225" s="84" t="s">
        <v>121</v>
      </c>
      <c r="J225" s="85"/>
      <c r="K225" s="85"/>
      <c r="L225" s="85"/>
      <c r="M225" s="86"/>
      <c r="N225" s="80"/>
      <c r="O225" s="81">
        <v>4</v>
      </c>
      <c r="P225" s="82" t="s">
        <v>1140</v>
      </c>
      <c r="Q225" s="87">
        <v>52.25</v>
      </c>
      <c r="R225" s="81" t="s">
        <v>1132</v>
      </c>
      <c r="S225" s="81" t="s">
        <v>121</v>
      </c>
      <c r="T225" s="81" t="s">
        <v>121</v>
      </c>
      <c r="U225" s="84" t="s">
        <v>121</v>
      </c>
    </row>
    <row r="226" spans="1:21" ht="13.2">
      <c r="A226" s="56" t="s">
        <v>147</v>
      </c>
      <c r="B226" s="80"/>
      <c r="C226" s="81">
        <v>5</v>
      </c>
      <c r="D226" s="82" t="s">
        <v>1141</v>
      </c>
      <c r="E226" s="87">
        <v>46.15</v>
      </c>
      <c r="F226" s="81" t="s">
        <v>1131</v>
      </c>
      <c r="G226" s="81" t="s">
        <v>121</v>
      </c>
      <c r="H226" s="81" t="s">
        <v>121</v>
      </c>
      <c r="I226" s="84" t="s">
        <v>121</v>
      </c>
      <c r="J226" s="85"/>
      <c r="K226" s="85"/>
      <c r="L226" s="85"/>
      <c r="M226" s="86"/>
      <c r="N226" s="80"/>
      <c r="O226" s="81">
        <v>5</v>
      </c>
      <c r="P226" s="82" t="s">
        <v>1142</v>
      </c>
      <c r="Q226" s="87">
        <v>51.6</v>
      </c>
      <c r="R226" s="81" t="s">
        <v>1132</v>
      </c>
      <c r="S226" s="81" t="s">
        <v>121</v>
      </c>
      <c r="T226" s="81" t="s">
        <v>121</v>
      </c>
      <c r="U226" s="84" t="s">
        <v>121</v>
      </c>
    </row>
    <row r="227" spans="1:21" ht="13.2">
      <c r="A227" s="56" t="s">
        <v>147</v>
      </c>
      <c r="B227" s="80"/>
      <c r="C227" s="81">
        <v>6</v>
      </c>
      <c r="D227" s="82" t="s">
        <v>1143</v>
      </c>
      <c r="E227" s="87">
        <v>46.1</v>
      </c>
      <c r="F227" s="81" t="s">
        <v>1131</v>
      </c>
      <c r="G227" s="81" t="s">
        <v>121</v>
      </c>
      <c r="H227" s="81" t="s">
        <v>121</v>
      </c>
      <c r="I227" s="84" t="s">
        <v>121</v>
      </c>
      <c r="J227" s="85"/>
      <c r="K227" s="85"/>
      <c r="L227" s="85"/>
      <c r="M227" s="86"/>
      <c r="N227" s="80"/>
      <c r="O227" s="81">
        <v>6</v>
      </c>
      <c r="P227" s="82" t="s">
        <v>1144</v>
      </c>
      <c r="Q227" s="87">
        <v>44.4</v>
      </c>
      <c r="R227" s="81" t="s">
        <v>1131</v>
      </c>
      <c r="S227" s="81" t="s">
        <v>121</v>
      </c>
      <c r="T227" s="81" t="s">
        <v>121</v>
      </c>
      <c r="U227" s="84" t="s">
        <v>121</v>
      </c>
    </row>
    <row r="228" spans="1:21" ht="13.2">
      <c r="A228" s="56" t="s">
        <v>147</v>
      </c>
      <c r="B228" s="80"/>
      <c r="C228" s="81">
        <v>7</v>
      </c>
      <c r="D228" s="82" t="s">
        <v>1145</v>
      </c>
      <c r="E228" s="87">
        <v>39.799999999999997</v>
      </c>
      <c r="F228" s="81" t="s">
        <v>1131</v>
      </c>
      <c r="G228" s="81" t="s">
        <v>121</v>
      </c>
      <c r="H228" s="81" t="s">
        <v>121</v>
      </c>
      <c r="I228" s="84" t="s">
        <v>121</v>
      </c>
      <c r="J228" s="85"/>
      <c r="K228" s="85"/>
      <c r="L228" s="85"/>
      <c r="M228" s="86"/>
      <c r="N228" s="80"/>
      <c r="O228" s="81">
        <v>7</v>
      </c>
      <c r="P228" s="82" t="s">
        <v>1146</v>
      </c>
      <c r="Q228" s="87">
        <v>37.15</v>
      </c>
      <c r="R228" s="81" t="s">
        <v>1131</v>
      </c>
      <c r="S228" s="81" t="s">
        <v>121</v>
      </c>
      <c r="T228" s="81" t="s">
        <v>121</v>
      </c>
      <c r="U228" s="84" t="s">
        <v>121</v>
      </c>
    </row>
    <row r="229" spans="1:21" ht="13.2">
      <c r="A229" s="56" t="s">
        <v>147</v>
      </c>
      <c r="B229" s="80"/>
      <c r="C229" s="81">
        <v>8</v>
      </c>
      <c r="D229" s="88" t="s">
        <v>1147</v>
      </c>
      <c r="E229" s="87">
        <v>39.25</v>
      </c>
      <c r="F229" s="81" t="s">
        <v>1131</v>
      </c>
      <c r="G229" s="81" t="s">
        <v>121</v>
      </c>
      <c r="H229" s="81" t="s">
        <v>121</v>
      </c>
      <c r="I229" s="84" t="s">
        <v>121</v>
      </c>
      <c r="J229" s="85"/>
      <c r="K229" s="85"/>
      <c r="L229" s="85"/>
      <c r="M229" s="86"/>
      <c r="N229" s="80"/>
      <c r="O229" s="81">
        <v>8</v>
      </c>
      <c r="P229" s="82" t="s">
        <v>1148</v>
      </c>
      <c r="Q229" s="87">
        <v>31.7</v>
      </c>
      <c r="R229" s="81" t="s">
        <v>1131</v>
      </c>
      <c r="S229" s="81" t="s">
        <v>121</v>
      </c>
      <c r="T229" s="81" t="s">
        <v>121</v>
      </c>
      <c r="U229" s="84" t="s">
        <v>121</v>
      </c>
    </row>
    <row r="230" spans="1:21" ht="13.2">
      <c r="A230" s="56" t="s">
        <v>147</v>
      </c>
      <c r="B230" s="80"/>
      <c r="C230" s="81">
        <v>9</v>
      </c>
      <c r="D230" s="88" t="s">
        <v>1149</v>
      </c>
      <c r="E230" s="87">
        <v>38.15</v>
      </c>
      <c r="F230" s="81" t="s">
        <v>1131</v>
      </c>
      <c r="G230" s="81" t="s">
        <v>121</v>
      </c>
      <c r="H230" s="81" t="s">
        <v>121</v>
      </c>
      <c r="I230" s="84" t="s">
        <v>121</v>
      </c>
      <c r="J230" s="85"/>
      <c r="K230" s="85"/>
      <c r="L230" s="85"/>
      <c r="M230" s="86"/>
      <c r="N230" s="80"/>
      <c r="O230" s="81">
        <v>9</v>
      </c>
      <c r="P230" s="82" t="s">
        <v>1150</v>
      </c>
      <c r="Q230" s="87">
        <v>19.600000000000001</v>
      </c>
      <c r="R230" s="81" t="s">
        <v>1131</v>
      </c>
      <c r="S230" s="81" t="s">
        <v>121</v>
      </c>
      <c r="T230" s="81" t="s">
        <v>121</v>
      </c>
      <c r="U230" s="84" t="s">
        <v>121</v>
      </c>
    </row>
    <row r="231" spans="1:21" ht="13.2">
      <c r="A231" s="56" t="s">
        <v>147</v>
      </c>
      <c r="B231" s="80"/>
      <c r="C231" s="81">
        <v>10</v>
      </c>
      <c r="D231" s="88" t="s">
        <v>1151</v>
      </c>
      <c r="E231" s="87">
        <v>32.299999999999997</v>
      </c>
      <c r="F231" s="81" t="s">
        <v>1131</v>
      </c>
      <c r="G231" s="81" t="s">
        <v>121</v>
      </c>
      <c r="H231" s="81" t="s">
        <v>121</v>
      </c>
      <c r="I231" s="84" t="s">
        <v>121</v>
      </c>
      <c r="J231" s="85"/>
      <c r="K231" s="85"/>
      <c r="L231" s="85"/>
      <c r="M231" s="86"/>
      <c r="N231" s="80"/>
      <c r="O231" s="81">
        <v>10</v>
      </c>
      <c r="P231" s="82" t="s">
        <v>1152</v>
      </c>
      <c r="Q231" s="87">
        <v>19</v>
      </c>
      <c r="R231" s="81" t="s">
        <v>1131</v>
      </c>
      <c r="S231" s="81" t="s">
        <v>121</v>
      </c>
      <c r="T231" s="81" t="s">
        <v>121</v>
      </c>
      <c r="U231" s="84" t="s">
        <v>121</v>
      </c>
    </row>
    <row r="232" spans="1:21" ht="13.2">
      <c r="A232" s="56" t="s">
        <v>147</v>
      </c>
      <c r="B232" s="80"/>
      <c r="C232" s="81">
        <v>11</v>
      </c>
      <c r="D232" s="88" t="s">
        <v>1153</v>
      </c>
      <c r="E232" s="87">
        <v>29.55</v>
      </c>
      <c r="F232" s="81" t="s">
        <v>1131</v>
      </c>
      <c r="G232" s="81" t="s">
        <v>121</v>
      </c>
      <c r="H232" s="81" t="s">
        <v>121</v>
      </c>
      <c r="I232" s="84" t="s">
        <v>121</v>
      </c>
      <c r="J232" s="85"/>
      <c r="K232" s="85"/>
      <c r="L232" s="85"/>
      <c r="M232" s="86"/>
      <c r="N232" s="80"/>
      <c r="O232" s="81">
        <v>11</v>
      </c>
      <c r="P232" s="82" t="s">
        <v>1154</v>
      </c>
      <c r="Q232" s="87">
        <v>16.100000000000001</v>
      </c>
      <c r="R232" s="81" t="s">
        <v>1131</v>
      </c>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4</v>
      </c>
      <c r="H247" s="90">
        <v>5</v>
      </c>
      <c r="I247" s="84" t="s">
        <v>121</v>
      </c>
      <c r="J247" s="85"/>
      <c r="K247" s="85"/>
      <c r="L247" s="85"/>
      <c r="M247" s="86"/>
      <c r="N247" s="80"/>
      <c r="O247" s="230" t="s">
        <v>185</v>
      </c>
      <c r="P247" s="227"/>
      <c r="Q247" s="227"/>
      <c r="R247" s="227"/>
      <c r="S247" s="90">
        <v>6</v>
      </c>
      <c r="T247" s="90">
        <v>3</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99"/>
      <c r="C251" s="81">
        <v>1</v>
      </c>
      <c r="D251" s="82" t="s">
        <v>1155</v>
      </c>
      <c r="E251" s="83">
        <v>108.65</v>
      </c>
      <c r="F251" s="81" t="s">
        <v>1132</v>
      </c>
      <c r="G251" s="81" t="s">
        <v>121</v>
      </c>
      <c r="H251" s="81">
        <v>5</v>
      </c>
      <c r="I251" s="100" t="s">
        <v>121</v>
      </c>
      <c r="J251" s="85"/>
      <c r="K251" s="85"/>
      <c r="L251" s="85"/>
      <c r="M251" s="86"/>
      <c r="N251" s="99"/>
      <c r="O251" s="81">
        <v>1</v>
      </c>
      <c r="P251" s="82" t="s">
        <v>1156</v>
      </c>
      <c r="Q251" s="83">
        <v>85.15</v>
      </c>
      <c r="R251" s="81" t="s">
        <v>1132</v>
      </c>
      <c r="S251" s="81" t="s">
        <v>121</v>
      </c>
      <c r="T251" s="81">
        <v>5</v>
      </c>
      <c r="U251" s="100" t="s">
        <v>121</v>
      </c>
    </row>
    <row r="252" spans="1:21" ht="13.2">
      <c r="A252" s="56" t="s">
        <v>151</v>
      </c>
      <c r="B252" s="99"/>
      <c r="C252" s="81">
        <v>2</v>
      </c>
      <c r="D252" s="82" t="s">
        <v>1157</v>
      </c>
      <c r="E252" s="87">
        <v>98.5</v>
      </c>
      <c r="F252" s="81" t="s">
        <v>1131</v>
      </c>
      <c r="G252" s="81">
        <v>3</v>
      </c>
      <c r="H252" s="81" t="s">
        <v>121</v>
      </c>
      <c r="I252" s="100" t="s">
        <v>121</v>
      </c>
      <c r="J252" s="85"/>
      <c r="K252" s="85"/>
      <c r="L252" s="85"/>
      <c r="M252" s="86"/>
      <c r="N252" s="99"/>
      <c r="O252" s="81">
        <v>2</v>
      </c>
      <c r="P252" s="82" t="s">
        <v>1158</v>
      </c>
      <c r="Q252" s="87">
        <v>84.2</v>
      </c>
      <c r="R252" s="81" t="s">
        <v>1132</v>
      </c>
      <c r="S252" s="81" t="s">
        <v>121</v>
      </c>
      <c r="T252" s="81">
        <v>3</v>
      </c>
      <c r="U252" s="100" t="s">
        <v>121</v>
      </c>
    </row>
    <row r="253" spans="1:21" ht="13.2">
      <c r="A253" s="56" t="s">
        <v>151</v>
      </c>
      <c r="B253" s="99"/>
      <c r="C253" s="81">
        <v>3</v>
      </c>
      <c r="D253" s="82" t="s">
        <v>1159</v>
      </c>
      <c r="E253" s="87">
        <v>83.15</v>
      </c>
      <c r="F253" s="81" t="s">
        <v>1132</v>
      </c>
      <c r="G253" s="81" t="s">
        <v>121</v>
      </c>
      <c r="H253" s="81">
        <v>1</v>
      </c>
      <c r="I253" s="100" t="s">
        <v>121</v>
      </c>
      <c r="J253" s="85"/>
      <c r="K253" s="85"/>
      <c r="L253" s="85"/>
      <c r="M253" s="86"/>
      <c r="N253" s="99"/>
      <c r="O253" s="81">
        <v>3</v>
      </c>
      <c r="P253" s="82" t="s">
        <v>1160</v>
      </c>
      <c r="Q253" s="87">
        <v>78.400000000000006</v>
      </c>
      <c r="R253" s="81" t="s">
        <v>1132</v>
      </c>
      <c r="S253" s="81" t="s">
        <v>121</v>
      </c>
      <c r="T253" s="81">
        <v>1</v>
      </c>
      <c r="U253" s="100" t="s">
        <v>121</v>
      </c>
    </row>
    <row r="254" spans="1:21" ht="13.2">
      <c r="A254" s="56" t="s">
        <v>151</v>
      </c>
      <c r="B254" s="99"/>
      <c r="C254" s="81">
        <v>4</v>
      </c>
      <c r="D254" s="82" t="s">
        <v>1161</v>
      </c>
      <c r="E254" s="87">
        <v>82.8</v>
      </c>
      <c r="F254" s="81" t="s">
        <v>1132</v>
      </c>
      <c r="G254" s="81" t="s">
        <v>121</v>
      </c>
      <c r="H254" s="81" t="s">
        <v>121</v>
      </c>
      <c r="I254" s="100" t="s">
        <v>121</v>
      </c>
      <c r="J254" s="85"/>
      <c r="K254" s="85"/>
      <c r="L254" s="85"/>
      <c r="M254" s="86"/>
      <c r="N254" s="99"/>
      <c r="O254" s="81">
        <v>4</v>
      </c>
      <c r="P254" s="82" t="s">
        <v>1162</v>
      </c>
      <c r="Q254" s="87">
        <v>66.400000000000006</v>
      </c>
      <c r="R254" s="81" t="s">
        <v>1131</v>
      </c>
      <c r="S254" s="81" t="s">
        <v>121</v>
      </c>
      <c r="T254" s="81" t="s">
        <v>121</v>
      </c>
      <c r="U254" s="100" t="s">
        <v>121</v>
      </c>
    </row>
    <row r="255" spans="1:21" ht="13.2">
      <c r="A255" s="56" t="s">
        <v>151</v>
      </c>
      <c r="B255" s="99"/>
      <c r="C255" s="81">
        <v>5</v>
      </c>
      <c r="D255" s="82" t="s">
        <v>1163</v>
      </c>
      <c r="E255" s="87">
        <v>76.7</v>
      </c>
      <c r="F255" s="81" t="s">
        <v>1132</v>
      </c>
      <c r="G255" s="81" t="s">
        <v>121</v>
      </c>
      <c r="H255" s="81" t="s">
        <v>121</v>
      </c>
      <c r="I255" s="100" t="s">
        <v>121</v>
      </c>
      <c r="J255" s="85"/>
      <c r="K255" s="85"/>
      <c r="L255" s="85"/>
      <c r="M255" s="86"/>
      <c r="N255" s="99"/>
      <c r="O255" s="81">
        <v>5</v>
      </c>
      <c r="P255" s="82" t="s">
        <v>1164</v>
      </c>
      <c r="Q255" s="87">
        <v>48.2</v>
      </c>
      <c r="R255" s="81" t="s">
        <v>1131</v>
      </c>
      <c r="S255" s="81" t="s">
        <v>121</v>
      </c>
      <c r="T255" s="81" t="s">
        <v>121</v>
      </c>
      <c r="U255" s="100" t="s">
        <v>121</v>
      </c>
    </row>
    <row r="256" spans="1:21" ht="13.2">
      <c r="A256" s="56" t="s">
        <v>151</v>
      </c>
      <c r="B256" s="99"/>
      <c r="C256" s="81">
        <v>6</v>
      </c>
      <c r="D256" s="82" t="s">
        <v>1165</v>
      </c>
      <c r="E256" s="87">
        <v>73.8</v>
      </c>
      <c r="F256" s="81" t="s">
        <v>1131</v>
      </c>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151</v>
      </c>
      <c r="B257" s="99"/>
      <c r="C257" s="81">
        <v>7</v>
      </c>
      <c r="D257" s="82" t="s">
        <v>1166</v>
      </c>
      <c r="E257" s="87">
        <v>63.1</v>
      </c>
      <c r="F257" s="81" t="s">
        <v>1131</v>
      </c>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151</v>
      </c>
      <c r="B258" s="99"/>
      <c r="C258" s="81">
        <v>8</v>
      </c>
      <c r="D258" s="82" t="s">
        <v>1167</v>
      </c>
      <c r="E258" s="87">
        <v>62.5</v>
      </c>
      <c r="F258" s="81" t="s">
        <v>1132</v>
      </c>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151</v>
      </c>
      <c r="B259" s="99"/>
      <c r="C259" s="81">
        <v>9</v>
      </c>
      <c r="D259" s="82" t="s">
        <v>1168</v>
      </c>
      <c r="E259" s="87">
        <v>54.8</v>
      </c>
      <c r="F259" s="81" t="s">
        <v>1131</v>
      </c>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3</v>
      </c>
      <c r="H266" s="90">
        <v>6</v>
      </c>
      <c r="I266" s="100" t="s">
        <v>121</v>
      </c>
      <c r="J266" s="85"/>
      <c r="K266" s="85"/>
      <c r="L266" s="85"/>
      <c r="M266" s="86"/>
      <c r="N266" s="99"/>
      <c r="O266" s="230" t="s">
        <v>200</v>
      </c>
      <c r="P266" s="227"/>
      <c r="Q266" s="227"/>
      <c r="R266" s="228"/>
      <c r="S266" s="90">
        <v>0</v>
      </c>
      <c r="T266" s="90">
        <v>9</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80"/>
      <c r="C270" s="81">
        <v>1</v>
      </c>
      <c r="D270" s="82" t="s">
        <v>1169</v>
      </c>
      <c r="E270" s="83">
        <v>117.6</v>
      </c>
      <c r="F270" s="81" t="s">
        <v>1132</v>
      </c>
      <c r="G270" s="81" t="s">
        <v>121</v>
      </c>
      <c r="H270" s="81">
        <v>5</v>
      </c>
      <c r="I270" s="84" t="s">
        <v>121</v>
      </c>
      <c r="J270" s="85"/>
      <c r="K270" s="85"/>
      <c r="L270" s="85"/>
      <c r="M270" s="86"/>
      <c r="N270" s="80"/>
      <c r="O270" s="81">
        <v>1</v>
      </c>
      <c r="P270" s="82" t="s">
        <v>1170</v>
      </c>
      <c r="Q270" s="83">
        <v>123.9</v>
      </c>
      <c r="R270" s="81" t="s">
        <v>1131</v>
      </c>
      <c r="S270" s="81">
        <v>5</v>
      </c>
      <c r="T270" s="81" t="s">
        <v>121</v>
      </c>
      <c r="U270" s="84" t="s">
        <v>121</v>
      </c>
    </row>
    <row r="271" spans="1:21" ht="13.2">
      <c r="A271" s="56" t="s">
        <v>155</v>
      </c>
      <c r="B271" s="80"/>
      <c r="C271" s="81">
        <v>2</v>
      </c>
      <c r="D271" s="82" t="s">
        <v>1171</v>
      </c>
      <c r="E271" s="87">
        <v>116.25</v>
      </c>
      <c r="F271" s="81" t="s">
        <v>1131</v>
      </c>
      <c r="G271" s="81">
        <v>3</v>
      </c>
      <c r="H271" s="81" t="s">
        <v>121</v>
      </c>
      <c r="I271" s="84" t="s">
        <v>121</v>
      </c>
      <c r="J271" s="85"/>
      <c r="K271" s="85"/>
      <c r="L271" s="85"/>
      <c r="M271" s="86"/>
      <c r="N271" s="80"/>
      <c r="O271" s="81">
        <v>2</v>
      </c>
      <c r="P271" s="82" t="s">
        <v>1172</v>
      </c>
      <c r="Q271" s="87">
        <v>121.85</v>
      </c>
      <c r="R271" s="81" t="s">
        <v>1132</v>
      </c>
      <c r="S271" s="81" t="s">
        <v>121</v>
      </c>
      <c r="T271" s="81">
        <v>3</v>
      </c>
      <c r="U271" s="84" t="s">
        <v>121</v>
      </c>
    </row>
    <row r="272" spans="1:21" ht="13.2">
      <c r="A272" s="56" t="s">
        <v>155</v>
      </c>
      <c r="B272" s="80"/>
      <c r="C272" s="81">
        <v>3</v>
      </c>
      <c r="D272" s="82" t="s">
        <v>1173</v>
      </c>
      <c r="E272" s="87">
        <v>103.95</v>
      </c>
      <c r="F272" s="81" t="s">
        <v>1132</v>
      </c>
      <c r="G272" s="81" t="s">
        <v>121</v>
      </c>
      <c r="H272" s="81">
        <v>1</v>
      </c>
      <c r="I272" s="84" t="s">
        <v>121</v>
      </c>
      <c r="J272" s="85"/>
      <c r="K272" s="85"/>
      <c r="L272" s="85"/>
      <c r="M272" s="86"/>
      <c r="N272" s="80"/>
      <c r="O272" s="81">
        <v>3</v>
      </c>
      <c r="P272" s="82" t="s">
        <v>1174</v>
      </c>
      <c r="Q272" s="87">
        <v>95.7</v>
      </c>
      <c r="R272" s="81" t="s">
        <v>1132</v>
      </c>
      <c r="S272" s="81" t="s">
        <v>121</v>
      </c>
      <c r="T272" s="81">
        <v>1</v>
      </c>
      <c r="U272" s="84" t="s">
        <v>121</v>
      </c>
    </row>
    <row r="273" spans="1:21" ht="13.2">
      <c r="A273" s="56" t="s">
        <v>155</v>
      </c>
      <c r="B273" s="80"/>
      <c r="C273" s="81">
        <v>4</v>
      </c>
      <c r="D273" s="82" t="s">
        <v>1175</v>
      </c>
      <c r="E273" s="87">
        <v>101.3</v>
      </c>
      <c r="F273" s="81" t="s">
        <v>1131</v>
      </c>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155</v>
      </c>
      <c r="B274" s="80"/>
      <c r="C274" s="81">
        <v>5</v>
      </c>
      <c r="D274" s="82" t="s">
        <v>1176</v>
      </c>
      <c r="E274" s="87">
        <v>90.4</v>
      </c>
      <c r="F274" s="81" t="s">
        <v>1132</v>
      </c>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3</v>
      </c>
      <c r="H280" s="90">
        <v>6</v>
      </c>
      <c r="I280" s="84" t="s">
        <v>121</v>
      </c>
      <c r="J280" s="85"/>
      <c r="K280" s="85"/>
      <c r="L280" s="85"/>
      <c r="M280" s="86"/>
      <c r="N280" s="80"/>
      <c r="O280" s="230" t="s">
        <v>211</v>
      </c>
      <c r="P280" s="227"/>
      <c r="Q280" s="227"/>
      <c r="R280" s="227"/>
      <c r="S280" s="90">
        <v>5</v>
      </c>
      <c r="T280" s="90">
        <v>4</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99"/>
      <c r="C284" s="81">
        <v>1</v>
      </c>
      <c r="D284" s="82" t="s">
        <v>1177</v>
      </c>
      <c r="E284" s="83">
        <v>231.95</v>
      </c>
      <c r="F284" s="81" t="s">
        <v>1131</v>
      </c>
      <c r="G284" s="81">
        <v>5</v>
      </c>
      <c r="H284" s="81" t="s">
        <v>121</v>
      </c>
      <c r="I284" s="100" t="s">
        <v>121</v>
      </c>
      <c r="J284" s="85"/>
      <c r="K284" s="85"/>
      <c r="L284" s="85"/>
      <c r="M284" s="86"/>
      <c r="N284" s="99"/>
      <c r="O284" s="81">
        <v>1</v>
      </c>
      <c r="P284" s="82" t="s">
        <v>1178</v>
      </c>
      <c r="Q284" s="83">
        <v>188</v>
      </c>
      <c r="R284" s="81" t="s">
        <v>1131</v>
      </c>
      <c r="S284" s="81">
        <v>5</v>
      </c>
      <c r="T284" s="81" t="s">
        <v>121</v>
      </c>
      <c r="U284" s="100" t="s">
        <v>121</v>
      </c>
    </row>
    <row r="285" spans="1:21" ht="13.2">
      <c r="A285" s="56" t="s">
        <v>159</v>
      </c>
      <c r="B285" s="99"/>
      <c r="C285" s="81">
        <v>2</v>
      </c>
      <c r="D285" s="82" t="s">
        <v>1179</v>
      </c>
      <c r="E285" s="87">
        <v>175.05</v>
      </c>
      <c r="F285" s="81" t="s">
        <v>1132</v>
      </c>
      <c r="G285" s="81" t="s">
        <v>121</v>
      </c>
      <c r="H285" s="81">
        <v>3</v>
      </c>
      <c r="I285" s="100" t="s">
        <v>121</v>
      </c>
      <c r="J285" s="85"/>
      <c r="K285" s="85"/>
      <c r="L285" s="85"/>
      <c r="M285" s="86"/>
      <c r="N285" s="99"/>
      <c r="O285" s="81">
        <v>2</v>
      </c>
      <c r="P285" s="82" t="s">
        <v>1180</v>
      </c>
      <c r="Q285" s="87">
        <v>180.8</v>
      </c>
      <c r="R285" s="81" t="s">
        <v>1132</v>
      </c>
      <c r="S285" s="81" t="s">
        <v>121</v>
      </c>
      <c r="T285" s="81">
        <v>3</v>
      </c>
      <c r="U285" s="100" t="s">
        <v>121</v>
      </c>
    </row>
    <row r="286" spans="1:21" ht="26.4">
      <c r="A286" s="56" t="s">
        <v>159</v>
      </c>
      <c r="B286" s="99"/>
      <c r="C286" s="81">
        <v>3</v>
      </c>
      <c r="D286" s="82" t="s">
        <v>1181</v>
      </c>
      <c r="E286" s="87">
        <v>163.15</v>
      </c>
      <c r="F286" s="81" t="s">
        <v>1132</v>
      </c>
      <c r="G286" s="81" t="s">
        <v>121</v>
      </c>
      <c r="H286" s="81">
        <v>1</v>
      </c>
      <c r="I286" s="100" t="s">
        <v>121</v>
      </c>
      <c r="J286" s="85"/>
      <c r="K286" s="85"/>
      <c r="L286" s="85"/>
      <c r="M286" s="86"/>
      <c r="N286" s="99"/>
      <c r="O286" s="81">
        <v>3</v>
      </c>
      <c r="P286" s="82" t="s">
        <v>1182</v>
      </c>
      <c r="Q286" s="87">
        <v>83.3</v>
      </c>
      <c r="R286" s="81" t="s">
        <v>1131</v>
      </c>
      <c r="S286" s="81">
        <v>1</v>
      </c>
      <c r="T286" s="81" t="s">
        <v>121</v>
      </c>
      <c r="U286" s="100" t="s">
        <v>121</v>
      </c>
    </row>
    <row r="287" spans="1:21" ht="13.2">
      <c r="A287" s="56" t="s">
        <v>159</v>
      </c>
      <c r="B287" s="99"/>
      <c r="C287" s="81">
        <v>4</v>
      </c>
      <c r="D287" s="82" t="s">
        <v>1183</v>
      </c>
      <c r="E287" s="87">
        <v>158.4</v>
      </c>
      <c r="F287" s="81" t="s">
        <v>1132</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159</v>
      </c>
      <c r="B288" s="99"/>
      <c r="C288" s="81">
        <v>5</v>
      </c>
      <c r="D288" s="82" t="s">
        <v>1184</v>
      </c>
      <c r="E288" s="87">
        <v>147.4</v>
      </c>
      <c r="F288" s="81" t="s">
        <v>1131</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159</v>
      </c>
      <c r="B289" s="99"/>
      <c r="C289" s="81">
        <v>6</v>
      </c>
      <c r="D289" s="82" t="s">
        <v>1185</v>
      </c>
      <c r="E289" s="87">
        <v>132.35</v>
      </c>
      <c r="F289" s="81" t="s">
        <v>1131</v>
      </c>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5</v>
      </c>
      <c r="H294" s="90">
        <v>4</v>
      </c>
      <c r="I294" s="100" t="s">
        <v>121</v>
      </c>
      <c r="J294" s="85"/>
      <c r="K294" s="85"/>
      <c r="L294" s="85"/>
      <c r="M294" s="86"/>
      <c r="N294" s="99"/>
      <c r="O294" s="230" t="s">
        <v>221</v>
      </c>
      <c r="P294" s="227"/>
      <c r="Q294" s="227"/>
      <c r="R294" s="227"/>
      <c r="S294" s="90">
        <v>6</v>
      </c>
      <c r="T294" s="90">
        <v>3</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1186</v>
      </c>
      <c r="R296" s="227"/>
      <c r="S296" s="227"/>
      <c r="T296" s="228"/>
      <c r="U296" s="4" t="s">
        <v>121</v>
      </c>
    </row>
    <row r="297" spans="1:21" ht="13.2">
      <c r="A297" s="56"/>
      <c r="B297" s="4"/>
      <c r="C297" s="249" t="s">
        <v>1187</v>
      </c>
      <c r="D297" s="235"/>
      <c r="E297" s="235"/>
      <c r="F297" s="235"/>
      <c r="G297" s="235"/>
      <c r="H297" s="236"/>
      <c r="I297" s="85" t="s">
        <v>121</v>
      </c>
      <c r="J297" s="85"/>
      <c r="K297" s="85"/>
      <c r="L297" s="85"/>
      <c r="M297" s="86"/>
      <c r="N297" s="107"/>
      <c r="O297" s="110" t="s">
        <v>226</v>
      </c>
      <c r="P297" s="111"/>
      <c r="Q297" s="231" t="s">
        <v>1188</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1188</v>
      </c>
      <c r="F299" s="227"/>
      <c r="G299" s="227"/>
      <c r="H299" s="228"/>
      <c r="I299" s="85" t="s">
        <v>121</v>
      </c>
      <c r="J299" s="85"/>
      <c r="K299" s="85"/>
      <c r="L299" s="85"/>
      <c r="M299" s="86"/>
      <c r="N299" s="107"/>
      <c r="O299" s="112" t="s">
        <v>229</v>
      </c>
      <c r="P299" s="113"/>
      <c r="Q299" s="233" t="s">
        <v>1189</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73" t="s">
        <v>1190</v>
      </c>
      <c r="D301" s="235"/>
      <c r="E301" s="235"/>
      <c r="F301" s="235"/>
      <c r="G301" s="235"/>
      <c r="H301" s="236"/>
      <c r="I301" s="4" t="s">
        <v>121</v>
      </c>
      <c r="J301" s="4"/>
      <c r="K301" s="4"/>
      <c r="L301" s="4"/>
      <c r="M301" s="71"/>
      <c r="N301" s="109"/>
      <c r="O301" s="234" t="s">
        <v>1191</v>
      </c>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8"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rgb="FF00AAAA"/>
    <outlinePr summaryBelow="0" summaryRight="0"/>
  </sheetPr>
  <dimension ref="A1:U309"/>
  <sheetViews>
    <sheetView workbookViewId="0">
      <pane ySplit="5" topLeftCell="A6" activePane="bottomLeft" state="frozen"/>
      <selection pane="bottomLeft" activeCell="A6" sqref="A6"/>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8"/>
      <c r="D1" s="26">
        <v>44383</v>
      </c>
      <c r="E1" s="9"/>
      <c r="F1" s="27" t="s">
        <v>128</v>
      </c>
      <c r="G1" s="10"/>
      <c r="H1" s="9"/>
      <c r="I1" s="11"/>
      <c r="J1" s="11"/>
      <c r="K1" s="11"/>
      <c r="L1" s="11"/>
      <c r="M1" s="11"/>
      <c r="N1" s="11"/>
      <c r="O1" s="11"/>
      <c r="P1" s="11"/>
      <c r="Q1" s="28" t="s">
        <v>0</v>
      </c>
      <c r="R1" s="255">
        <v>7</v>
      </c>
      <c r="S1" s="227"/>
      <c r="T1" s="227"/>
      <c r="U1" s="12"/>
    </row>
    <row r="2" spans="1:21" ht="15.6">
      <c r="B2" s="256" t="s">
        <v>129</v>
      </c>
      <c r="C2" s="226"/>
      <c r="D2" s="13" t="s">
        <v>130</v>
      </c>
      <c r="E2" s="10"/>
      <c r="F2" s="225" t="s">
        <v>1</v>
      </c>
      <c r="G2" s="226"/>
      <c r="H2" s="226"/>
      <c r="I2" s="257" t="s">
        <v>121</v>
      </c>
      <c r="J2" s="226"/>
      <c r="K2" s="226"/>
      <c r="L2" s="9"/>
      <c r="M2" s="9"/>
      <c r="N2" s="9"/>
      <c r="O2" s="9"/>
      <c r="P2" s="13" t="s">
        <v>132</v>
      </c>
      <c r="Q2" s="10"/>
      <c r="R2" s="225" t="s">
        <v>1</v>
      </c>
      <c r="S2" s="226"/>
      <c r="T2" s="226"/>
      <c r="U2" s="10" t="s">
        <v>121</v>
      </c>
    </row>
    <row r="3" spans="1:21">
      <c r="A3" s="29">
        <v>1</v>
      </c>
      <c r="B3" s="30">
        <v>1</v>
      </c>
      <c r="C3" s="9"/>
      <c r="D3" s="258" t="s">
        <v>1192</v>
      </c>
      <c r="E3" s="228"/>
      <c r="F3" s="259">
        <v>36</v>
      </c>
      <c r="G3" s="227"/>
      <c r="H3" s="228"/>
      <c r="I3" s="31">
        <v>0</v>
      </c>
      <c r="J3" s="9"/>
      <c r="K3" s="32"/>
      <c r="L3" s="32" t="s">
        <v>3</v>
      </c>
      <c r="M3" s="9"/>
      <c r="N3" s="9"/>
      <c r="O3" s="9"/>
      <c r="P3" s="260" t="s">
        <v>1193</v>
      </c>
      <c r="Q3" s="227"/>
      <c r="R3" s="261">
        <v>36</v>
      </c>
      <c r="S3" s="227"/>
      <c r="T3" s="228"/>
      <c r="U3" s="31">
        <v>0</v>
      </c>
    </row>
    <row r="4" spans="1:21">
      <c r="A4" s="29">
        <v>2</v>
      </c>
      <c r="B4" s="30">
        <v>2</v>
      </c>
      <c r="C4" s="16"/>
      <c r="D4" s="258" t="s">
        <v>1194</v>
      </c>
      <c r="E4" s="228"/>
      <c r="F4" s="259">
        <v>42</v>
      </c>
      <c r="G4" s="227"/>
      <c r="H4" s="227"/>
      <c r="I4" s="31">
        <v>0</v>
      </c>
      <c r="J4" s="14"/>
      <c r="K4" s="32"/>
      <c r="L4" s="32" t="s">
        <v>3</v>
      </c>
      <c r="M4" s="14"/>
      <c r="N4" s="14"/>
      <c r="O4" s="15"/>
      <c r="P4" s="260" t="s">
        <v>1195</v>
      </c>
      <c r="Q4" s="227"/>
      <c r="R4" s="261">
        <v>22</v>
      </c>
      <c r="S4" s="227"/>
      <c r="T4" s="227"/>
      <c r="U4" s="31">
        <v>0</v>
      </c>
    </row>
    <row r="5" spans="1:21">
      <c r="A5" s="29">
        <v>3</v>
      </c>
      <c r="B5" s="30">
        <v>3</v>
      </c>
      <c r="C5" s="16"/>
      <c r="D5" s="264" t="s">
        <v>1196</v>
      </c>
      <c r="E5" s="236"/>
      <c r="F5" s="259">
        <v>45</v>
      </c>
      <c r="G5" s="227"/>
      <c r="H5" s="228"/>
      <c r="I5" s="31">
        <v>0</v>
      </c>
      <c r="J5" s="14"/>
      <c r="K5" s="32"/>
      <c r="L5" s="32" t="s">
        <v>3</v>
      </c>
      <c r="M5" s="14"/>
      <c r="N5" s="14"/>
      <c r="O5" s="15"/>
      <c r="P5" s="262" t="s">
        <v>1197</v>
      </c>
      <c r="Q5" s="235"/>
      <c r="R5" s="263">
        <v>24</v>
      </c>
      <c r="S5" s="235"/>
      <c r="T5" s="236"/>
      <c r="U5" s="31">
        <v>0</v>
      </c>
    </row>
    <row r="6" spans="1:21">
      <c r="B6" s="33"/>
      <c r="C6" s="8"/>
      <c r="D6" s="34" t="s">
        <v>139</v>
      </c>
      <c r="E6" s="35">
        <v>1</v>
      </c>
      <c r="F6" s="10"/>
      <c r="G6" s="10"/>
      <c r="H6" s="10"/>
      <c r="I6" s="36"/>
      <c r="J6" s="36"/>
      <c r="K6" s="36"/>
      <c r="L6" s="36"/>
      <c r="M6" s="36"/>
      <c r="N6" s="36"/>
      <c r="O6" s="36"/>
      <c r="P6" s="34" t="s">
        <v>140</v>
      </c>
      <c r="Q6" s="267">
        <v>44383</v>
      </c>
      <c r="R6" s="226"/>
      <c r="S6" s="226"/>
      <c r="T6" s="226"/>
      <c r="U6" s="37"/>
    </row>
    <row r="7" spans="1:21">
      <c r="B7" s="38"/>
      <c r="C7" s="7"/>
      <c r="D7" s="39" t="s">
        <v>141</v>
      </c>
      <c r="E7" s="11"/>
      <c r="F7" s="9"/>
      <c r="G7" s="9"/>
      <c r="H7" s="9"/>
      <c r="I7" s="9"/>
      <c r="J7" s="9"/>
      <c r="K7" s="9"/>
      <c r="L7" s="9"/>
      <c r="M7" s="9"/>
      <c r="N7" s="9"/>
      <c r="O7" s="9"/>
      <c r="P7" s="40" t="s">
        <v>2</v>
      </c>
      <c r="Q7" s="268" t="s">
        <v>142</v>
      </c>
      <c r="R7" s="226"/>
      <c r="S7" s="226"/>
      <c r="T7" s="226"/>
      <c r="U7" s="9"/>
    </row>
    <row r="8" spans="1:21">
      <c r="B8" s="41"/>
      <c r="C8" s="42"/>
      <c r="D8" s="11"/>
      <c r="E8" s="11"/>
      <c r="F8" s="9"/>
      <c r="G8" s="9"/>
      <c r="H8" s="9"/>
      <c r="I8" s="9"/>
      <c r="J8" s="9"/>
      <c r="K8" s="9"/>
      <c r="L8" s="9"/>
      <c r="M8" s="9"/>
      <c r="N8" s="9"/>
      <c r="O8" s="9"/>
      <c r="P8" s="11"/>
      <c r="Q8" s="11"/>
      <c r="R8" s="11"/>
      <c r="S8" s="9"/>
      <c r="T8" s="9"/>
      <c r="U8" s="9"/>
    </row>
    <row r="9" spans="1:21" ht="63.6" customHeight="1">
      <c r="B9" s="43"/>
      <c r="C9" s="251" t="s">
        <v>130</v>
      </c>
      <c r="D9" s="227"/>
      <c r="E9" s="265" t="s">
        <v>1192</v>
      </c>
      <c r="F9" s="227"/>
      <c r="G9" s="228"/>
      <c r="H9" s="44" t="s">
        <v>1198</v>
      </c>
      <c r="I9" s="45"/>
      <c r="J9" s="46"/>
      <c r="K9" s="46"/>
      <c r="L9" s="46"/>
      <c r="M9" s="46"/>
      <c r="N9" s="47"/>
      <c r="O9" s="244" t="s">
        <v>132</v>
      </c>
      <c r="P9" s="227"/>
      <c r="Q9" s="269" t="s">
        <v>1193</v>
      </c>
      <c r="R9" s="227"/>
      <c r="S9" s="228"/>
      <c r="T9" s="49" t="s">
        <v>1199</v>
      </c>
      <c r="U9" s="50"/>
    </row>
    <row r="10" spans="1:21">
      <c r="B10" s="51"/>
      <c r="C10" s="272" t="s">
        <v>1</v>
      </c>
      <c r="D10" s="228"/>
      <c r="E10" s="266">
        <v>36</v>
      </c>
      <c r="F10" s="227"/>
      <c r="G10" s="227"/>
      <c r="H10" s="52"/>
      <c r="I10" s="45"/>
      <c r="J10" s="53"/>
      <c r="K10" s="53"/>
      <c r="L10" s="53"/>
      <c r="M10" s="53"/>
      <c r="N10" s="47"/>
      <c r="O10" s="270" t="s">
        <v>1</v>
      </c>
      <c r="P10" s="228"/>
      <c r="Q10" s="271">
        <v>36</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B13" s="4"/>
      <c r="C13" s="62" t="s">
        <v>147</v>
      </c>
      <c r="D13" s="63" t="s">
        <v>148</v>
      </c>
      <c r="E13" s="57"/>
      <c r="F13" s="57"/>
      <c r="G13" s="64">
        <v>0</v>
      </c>
      <c r="H13" s="65">
        <v>9</v>
      </c>
      <c r="I13" s="55"/>
      <c r="J13" s="55"/>
      <c r="K13" s="55"/>
      <c r="L13" s="55"/>
      <c r="M13" s="61"/>
      <c r="N13" s="4"/>
      <c r="O13" s="62" t="s">
        <v>149</v>
      </c>
      <c r="P13" s="63" t="s">
        <v>150</v>
      </c>
      <c r="Q13" s="57"/>
      <c r="R13" s="57"/>
      <c r="S13" s="64">
        <v>4</v>
      </c>
      <c r="T13" s="65">
        <v>5</v>
      </c>
      <c r="U13" s="55"/>
    </row>
    <row r="14" spans="1:21" ht="15.75" customHeight="1">
      <c r="A14" s="56"/>
      <c r="B14" s="4"/>
      <c r="C14" s="62" t="s">
        <v>151</v>
      </c>
      <c r="D14" s="63" t="s">
        <v>152</v>
      </c>
      <c r="E14" s="57"/>
      <c r="F14" s="57"/>
      <c r="G14" s="64">
        <v>5</v>
      </c>
      <c r="H14" s="65">
        <v>4</v>
      </c>
      <c r="I14" s="55"/>
      <c r="J14" s="55"/>
      <c r="K14" s="55"/>
      <c r="L14" s="55"/>
      <c r="M14" s="61"/>
      <c r="N14" s="4"/>
      <c r="O14" s="62" t="s">
        <v>153</v>
      </c>
      <c r="P14" s="63" t="s">
        <v>154</v>
      </c>
      <c r="Q14" s="57"/>
      <c r="R14" s="57"/>
      <c r="S14" s="64">
        <v>6</v>
      </c>
      <c r="T14" s="65">
        <v>3</v>
      </c>
      <c r="U14" s="55"/>
    </row>
    <row r="15" spans="1:21" ht="15.75" customHeight="1">
      <c r="A15" s="56"/>
      <c r="B15" s="4"/>
      <c r="C15" s="62" t="s">
        <v>155</v>
      </c>
      <c r="D15" s="63" t="s">
        <v>156</v>
      </c>
      <c r="E15" s="57"/>
      <c r="F15" s="57"/>
      <c r="G15" s="64">
        <v>3</v>
      </c>
      <c r="H15" s="65">
        <v>6</v>
      </c>
      <c r="I15" s="55"/>
      <c r="J15" s="55"/>
      <c r="K15" s="55"/>
      <c r="L15" s="55"/>
      <c r="M15" s="61"/>
      <c r="N15" s="4"/>
      <c r="O15" s="62" t="s">
        <v>157</v>
      </c>
      <c r="P15" s="63" t="s">
        <v>158</v>
      </c>
      <c r="Q15" s="57"/>
      <c r="R15" s="57"/>
      <c r="S15" s="64">
        <v>5</v>
      </c>
      <c r="T15" s="65">
        <v>4</v>
      </c>
      <c r="U15" s="55"/>
    </row>
    <row r="16" spans="1:21" ht="15.75" customHeight="1">
      <c r="A16" s="56"/>
      <c r="B16" s="4"/>
      <c r="C16" s="62" t="s">
        <v>159</v>
      </c>
      <c r="D16" s="63" t="s">
        <v>160</v>
      </c>
      <c r="E16" s="57"/>
      <c r="F16" s="57"/>
      <c r="G16" s="64">
        <v>4</v>
      </c>
      <c r="H16" s="65">
        <v>5</v>
      </c>
      <c r="I16" s="55"/>
      <c r="J16" s="55"/>
      <c r="K16" s="55"/>
      <c r="L16" s="55"/>
      <c r="M16" s="61"/>
      <c r="N16" s="4"/>
      <c r="O16" s="62" t="s">
        <v>161</v>
      </c>
      <c r="P16" s="63" t="s">
        <v>162</v>
      </c>
      <c r="Q16" s="57"/>
      <c r="R16" s="57"/>
      <c r="S16" s="64">
        <v>9</v>
      </c>
      <c r="T16" s="65">
        <v>0</v>
      </c>
      <c r="U16" s="55"/>
    </row>
    <row r="17" spans="1:21" ht="15.75" customHeight="1">
      <c r="A17" s="56"/>
      <c r="B17" s="4"/>
      <c r="C17" s="66"/>
      <c r="D17" s="67" t="s">
        <v>163</v>
      </c>
      <c r="E17" s="68"/>
      <c r="F17" s="68"/>
      <c r="G17" s="69">
        <v>12</v>
      </c>
      <c r="H17" s="70">
        <v>24</v>
      </c>
      <c r="I17" s="55"/>
      <c r="J17" s="55"/>
      <c r="K17" s="55"/>
      <c r="L17" s="55"/>
      <c r="M17" s="61"/>
      <c r="N17" s="4"/>
      <c r="O17" s="66"/>
      <c r="P17" s="67" t="s">
        <v>163</v>
      </c>
      <c r="Q17" s="68"/>
      <c r="R17" s="68"/>
      <c r="S17" s="69">
        <v>24</v>
      </c>
      <c r="T17" s="70">
        <v>12</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80"/>
      <c r="C22" s="81">
        <v>1</v>
      </c>
      <c r="D22" s="82" t="s">
        <v>1200</v>
      </c>
      <c r="E22" s="83">
        <v>56.4</v>
      </c>
      <c r="F22" s="81" t="s">
        <v>1199</v>
      </c>
      <c r="G22" s="81" t="s">
        <v>121</v>
      </c>
      <c r="H22" s="81">
        <v>5</v>
      </c>
      <c r="I22" s="84" t="s">
        <v>121</v>
      </c>
      <c r="J22" s="85"/>
      <c r="K22" s="85"/>
      <c r="L22" s="85"/>
      <c r="M22" s="86"/>
      <c r="N22" s="80"/>
      <c r="O22" s="81">
        <v>1</v>
      </c>
      <c r="P22" s="82" t="s">
        <v>1201</v>
      </c>
      <c r="Q22" s="83">
        <v>54.8</v>
      </c>
      <c r="R22" s="81" t="s">
        <v>1199</v>
      </c>
      <c r="S22" s="81" t="s">
        <v>121</v>
      </c>
      <c r="T22" s="81">
        <v>5</v>
      </c>
      <c r="U22" s="84" t="s">
        <v>121</v>
      </c>
    </row>
    <row r="23" spans="1:21" ht="15.75" customHeight="1">
      <c r="A23" s="56" t="s">
        <v>147</v>
      </c>
      <c r="B23" s="80"/>
      <c r="C23" s="81">
        <v>2</v>
      </c>
      <c r="D23" s="82" t="s">
        <v>1202</v>
      </c>
      <c r="E23" s="87">
        <v>47.1</v>
      </c>
      <c r="F23" s="81" t="s">
        <v>1199</v>
      </c>
      <c r="G23" s="81" t="s">
        <v>121</v>
      </c>
      <c r="H23" s="81">
        <v>3</v>
      </c>
      <c r="I23" s="84" t="s">
        <v>121</v>
      </c>
      <c r="J23" s="85"/>
      <c r="K23" s="85"/>
      <c r="L23" s="85"/>
      <c r="M23" s="86"/>
      <c r="N23" s="80"/>
      <c r="O23" s="81">
        <v>2</v>
      </c>
      <c r="P23" s="82" t="s">
        <v>1203</v>
      </c>
      <c r="Q23" s="87">
        <v>42.35</v>
      </c>
      <c r="R23" s="81" t="s">
        <v>1198</v>
      </c>
      <c r="S23" s="81">
        <v>3</v>
      </c>
      <c r="T23" s="81" t="s">
        <v>121</v>
      </c>
      <c r="U23" s="84" t="s">
        <v>121</v>
      </c>
    </row>
    <row r="24" spans="1:21" ht="15.75" customHeight="1">
      <c r="A24" s="56" t="s">
        <v>147</v>
      </c>
      <c r="B24" s="80"/>
      <c r="C24" s="81">
        <v>3</v>
      </c>
      <c r="D24" s="82" t="s">
        <v>1204</v>
      </c>
      <c r="E24" s="87">
        <v>46.45</v>
      </c>
      <c r="F24" s="81" t="s">
        <v>1199</v>
      </c>
      <c r="G24" s="81" t="s">
        <v>121</v>
      </c>
      <c r="H24" s="81">
        <v>1</v>
      </c>
      <c r="I24" s="84" t="s">
        <v>121</v>
      </c>
      <c r="J24" s="85"/>
      <c r="K24" s="85"/>
      <c r="L24" s="85"/>
      <c r="M24" s="86"/>
      <c r="N24" s="80"/>
      <c r="O24" s="81">
        <v>3</v>
      </c>
      <c r="P24" s="82" t="s">
        <v>1205</v>
      </c>
      <c r="Q24" s="87">
        <v>40.049999999999997</v>
      </c>
      <c r="R24" s="81" t="s">
        <v>1198</v>
      </c>
      <c r="S24" s="81">
        <v>1</v>
      </c>
      <c r="T24" s="81" t="s">
        <v>121</v>
      </c>
      <c r="U24" s="84" t="s">
        <v>121</v>
      </c>
    </row>
    <row r="25" spans="1:21" ht="15.75" customHeight="1">
      <c r="A25" s="56" t="s">
        <v>147</v>
      </c>
      <c r="B25" s="80"/>
      <c r="C25" s="81">
        <v>4</v>
      </c>
      <c r="D25" s="82" t="s">
        <v>1206</v>
      </c>
      <c r="E25" s="87">
        <v>42.45</v>
      </c>
      <c r="F25" s="81" t="s">
        <v>1198</v>
      </c>
      <c r="G25" s="81" t="s">
        <v>121</v>
      </c>
      <c r="H25" s="81" t="s">
        <v>121</v>
      </c>
      <c r="I25" s="84" t="s">
        <v>121</v>
      </c>
      <c r="J25" s="85"/>
      <c r="K25" s="85"/>
      <c r="L25" s="85"/>
      <c r="M25" s="86"/>
      <c r="N25" s="80"/>
      <c r="O25" s="81">
        <v>4</v>
      </c>
      <c r="P25" s="82" t="s">
        <v>1207</v>
      </c>
      <c r="Q25" s="87">
        <v>39.4</v>
      </c>
      <c r="R25" s="81" t="s">
        <v>1198</v>
      </c>
      <c r="S25" s="81" t="s">
        <v>121</v>
      </c>
      <c r="T25" s="81" t="s">
        <v>121</v>
      </c>
      <c r="U25" s="84" t="s">
        <v>121</v>
      </c>
    </row>
    <row r="26" spans="1:21" ht="15.75" customHeight="1">
      <c r="A26" s="56" t="s">
        <v>147</v>
      </c>
      <c r="B26" s="80"/>
      <c r="C26" s="81">
        <v>5</v>
      </c>
      <c r="D26" s="82" t="s">
        <v>1208</v>
      </c>
      <c r="E26" s="87">
        <v>34.75</v>
      </c>
      <c r="F26" s="81" t="s">
        <v>1199</v>
      </c>
      <c r="G26" s="81" t="s">
        <v>121</v>
      </c>
      <c r="H26" s="81" t="s">
        <v>121</v>
      </c>
      <c r="I26" s="84" t="s">
        <v>121</v>
      </c>
      <c r="J26" s="85"/>
      <c r="K26" s="85"/>
      <c r="L26" s="85"/>
      <c r="M26" s="86"/>
      <c r="N26" s="80"/>
      <c r="O26" s="81">
        <v>5</v>
      </c>
      <c r="P26" s="82" t="s">
        <v>1209</v>
      </c>
      <c r="Q26" s="87">
        <v>31.8</v>
      </c>
      <c r="R26" s="81" t="s">
        <v>1198</v>
      </c>
      <c r="S26" s="81" t="s">
        <v>121</v>
      </c>
      <c r="T26" s="81" t="s">
        <v>121</v>
      </c>
      <c r="U26" s="84" t="s">
        <v>121</v>
      </c>
    </row>
    <row r="27" spans="1:21" ht="15.75" customHeight="1">
      <c r="A27" s="56" t="s">
        <v>147</v>
      </c>
      <c r="B27" s="80"/>
      <c r="C27" s="81">
        <v>6</v>
      </c>
      <c r="D27" s="82" t="s">
        <v>1210</v>
      </c>
      <c r="E27" s="87">
        <v>31.4</v>
      </c>
      <c r="F27" s="81" t="s">
        <v>1199</v>
      </c>
      <c r="G27" s="81" t="s">
        <v>121</v>
      </c>
      <c r="H27" s="81" t="s">
        <v>121</v>
      </c>
      <c r="I27" s="84" t="s">
        <v>121</v>
      </c>
      <c r="J27" s="85"/>
      <c r="K27" s="85"/>
      <c r="L27" s="85"/>
      <c r="M27" s="86"/>
      <c r="N27" s="80"/>
      <c r="O27" s="81">
        <v>6</v>
      </c>
      <c r="P27" s="82" t="s">
        <v>1211</v>
      </c>
      <c r="Q27" s="87">
        <v>30.2</v>
      </c>
      <c r="R27" s="81" t="s">
        <v>1198</v>
      </c>
      <c r="S27" s="81" t="s">
        <v>121</v>
      </c>
      <c r="T27" s="81" t="s">
        <v>121</v>
      </c>
      <c r="U27" s="84" t="s">
        <v>121</v>
      </c>
    </row>
    <row r="28" spans="1:21" ht="15.75" customHeight="1">
      <c r="A28" s="56" t="s">
        <v>147</v>
      </c>
      <c r="B28" s="80"/>
      <c r="C28" s="81">
        <v>7</v>
      </c>
      <c r="D28" s="82" t="s">
        <v>1212</v>
      </c>
      <c r="E28" s="87">
        <v>30.8</v>
      </c>
      <c r="F28" s="81" t="s">
        <v>1199</v>
      </c>
      <c r="G28" s="81" t="s">
        <v>121</v>
      </c>
      <c r="H28" s="81" t="s">
        <v>121</v>
      </c>
      <c r="I28" s="84" t="s">
        <v>121</v>
      </c>
      <c r="J28" s="85"/>
      <c r="K28" s="85"/>
      <c r="L28" s="85"/>
      <c r="M28" s="86"/>
      <c r="N28" s="80"/>
      <c r="O28" s="81">
        <v>7</v>
      </c>
      <c r="P28" s="82" t="s">
        <v>1213</v>
      </c>
      <c r="Q28" s="87">
        <v>28.1</v>
      </c>
      <c r="R28" s="81" t="s">
        <v>1199</v>
      </c>
      <c r="S28" s="81" t="s">
        <v>121</v>
      </c>
      <c r="T28" s="81" t="s">
        <v>121</v>
      </c>
      <c r="U28" s="84" t="s">
        <v>121</v>
      </c>
    </row>
    <row r="29" spans="1:21" ht="15.75" customHeight="1">
      <c r="A29" s="56" t="s">
        <v>147</v>
      </c>
      <c r="B29" s="80"/>
      <c r="C29" s="81">
        <v>8</v>
      </c>
      <c r="D29" s="88" t="s">
        <v>1214</v>
      </c>
      <c r="E29" s="87">
        <v>25.35</v>
      </c>
      <c r="F29" s="81" t="s">
        <v>1199</v>
      </c>
      <c r="G29" s="81" t="s">
        <v>121</v>
      </c>
      <c r="H29" s="81" t="s">
        <v>121</v>
      </c>
      <c r="I29" s="84" t="s">
        <v>121</v>
      </c>
      <c r="J29" s="85"/>
      <c r="K29" s="85"/>
      <c r="L29" s="85"/>
      <c r="M29" s="86"/>
      <c r="N29" s="80"/>
      <c r="O29" s="81">
        <v>8</v>
      </c>
      <c r="P29" s="82" t="s">
        <v>1215</v>
      </c>
      <c r="Q29" s="87">
        <v>27.35</v>
      </c>
      <c r="R29" s="81" t="s">
        <v>1199</v>
      </c>
      <c r="S29" s="81" t="s">
        <v>121</v>
      </c>
      <c r="T29" s="81" t="s">
        <v>121</v>
      </c>
      <c r="U29" s="84" t="s">
        <v>121</v>
      </c>
    </row>
    <row r="30" spans="1:21" ht="15.75" customHeight="1">
      <c r="A30" s="56" t="s">
        <v>147</v>
      </c>
      <c r="B30" s="80"/>
      <c r="C30" s="81">
        <v>9</v>
      </c>
      <c r="D30" s="88" t="s">
        <v>1216</v>
      </c>
      <c r="E30" s="87">
        <v>22.85</v>
      </c>
      <c r="F30" s="81" t="s">
        <v>1199</v>
      </c>
      <c r="G30" s="81" t="s">
        <v>121</v>
      </c>
      <c r="H30" s="81" t="s">
        <v>121</v>
      </c>
      <c r="I30" s="84" t="s">
        <v>121</v>
      </c>
      <c r="J30" s="85"/>
      <c r="K30" s="85"/>
      <c r="L30" s="85"/>
      <c r="M30" s="86"/>
      <c r="N30" s="80"/>
      <c r="O30" s="81">
        <v>9</v>
      </c>
      <c r="P30" s="82" t="s">
        <v>1217</v>
      </c>
      <c r="Q30" s="87">
        <v>25.65</v>
      </c>
      <c r="R30" s="81" t="s">
        <v>1199</v>
      </c>
      <c r="S30" s="81" t="s">
        <v>121</v>
      </c>
      <c r="T30" s="81" t="s">
        <v>121</v>
      </c>
      <c r="U30" s="84" t="s">
        <v>121</v>
      </c>
    </row>
    <row r="31" spans="1:21" ht="15.75" customHeight="1">
      <c r="A31" s="56" t="s">
        <v>147</v>
      </c>
      <c r="B31" s="80"/>
      <c r="C31" s="81">
        <v>10</v>
      </c>
      <c r="D31" s="88" t="s">
        <v>1218</v>
      </c>
      <c r="E31" s="87">
        <v>22.7</v>
      </c>
      <c r="F31" s="81" t="s">
        <v>1199</v>
      </c>
      <c r="G31" s="81" t="s">
        <v>121</v>
      </c>
      <c r="H31" s="81" t="s">
        <v>121</v>
      </c>
      <c r="I31" s="84" t="s">
        <v>121</v>
      </c>
      <c r="J31" s="85"/>
      <c r="K31" s="85"/>
      <c r="L31" s="85"/>
      <c r="M31" s="86"/>
      <c r="N31" s="80"/>
      <c r="O31" s="81">
        <v>10</v>
      </c>
      <c r="P31" s="82" t="s">
        <v>1219</v>
      </c>
      <c r="Q31" s="87">
        <v>18.2</v>
      </c>
      <c r="R31" s="81" t="s">
        <v>1198</v>
      </c>
      <c r="S31" s="81" t="s">
        <v>121</v>
      </c>
      <c r="T31" s="81" t="s">
        <v>121</v>
      </c>
      <c r="U31" s="84" t="s">
        <v>121</v>
      </c>
    </row>
    <row r="32" spans="1:21" ht="15.75" customHeight="1">
      <c r="A32" s="56" t="s">
        <v>147</v>
      </c>
      <c r="B32" s="80"/>
      <c r="C32" s="81">
        <v>11</v>
      </c>
      <c r="D32" s="88" t="s">
        <v>1220</v>
      </c>
      <c r="E32" s="87">
        <v>22.1</v>
      </c>
      <c r="F32" s="81" t="s">
        <v>1199</v>
      </c>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147</v>
      </c>
      <c r="B33" s="80"/>
      <c r="C33" s="81">
        <v>12</v>
      </c>
      <c r="D33" s="88" t="s">
        <v>1221</v>
      </c>
      <c r="E33" s="87">
        <v>9.5</v>
      </c>
      <c r="F33" s="81" t="s">
        <v>1199</v>
      </c>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30" t="s">
        <v>184</v>
      </c>
      <c r="D47" s="227"/>
      <c r="E47" s="227"/>
      <c r="F47" s="227"/>
      <c r="G47" s="90">
        <v>0</v>
      </c>
      <c r="H47" s="90">
        <v>9</v>
      </c>
      <c r="I47" s="84" t="s">
        <v>121</v>
      </c>
      <c r="J47" s="85"/>
      <c r="K47" s="85"/>
      <c r="L47" s="85"/>
      <c r="M47" s="86"/>
      <c r="N47" s="80"/>
      <c r="O47" s="230" t="s">
        <v>185</v>
      </c>
      <c r="P47" s="227"/>
      <c r="Q47" s="227"/>
      <c r="R47" s="227"/>
      <c r="S47" s="90">
        <v>4</v>
      </c>
      <c r="T47" s="90">
        <v>5</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99"/>
      <c r="C51" s="81">
        <v>1</v>
      </c>
      <c r="D51" s="82" t="s">
        <v>1222</v>
      </c>
      <c r="E51" s="83">
        <v>79.150000000000006</v>
      </c>
      <c r="F51" s="81" t="s">
        <v>1198</v>
      </c>
      <c r="G51" s="81">
        <v>5</v>
      </c>
      <c r="H51" s="81" t="s">
        <v>121</v>
      </c>
      <c r="I51" s="100" t="s">
        <v>121</v>
      </c>
      <c r="J51" s="85"/>
      <c r="K51" s="85"/>
      <c r="L51" s="85"/>
      <c r="M51" s="86"/>
      <c r="N51" s="99"/>
      <c r="O51" s="81">
        <v>1</v>
      </c>
      <c r="P51" s="82" t="s">
        <v>1223</v>
      </c>
      <c r="Q51" s="83">
        <v>67</v>
      </c>
      <c r="R51" s="81" t="s">
        <v>1198</v>
      </c>
      <c r="S51" s="81">
        <v>5</v>
      </c>
      <c r="T51" s="81" t="s">
        <v>121</v>
      </c>
      <c r="U51" s="100" t="s">
        <v>121</v>
      </c>
    </row>
    <row r="52" spans="1:21" ht="13.2">
      <c r="A52" s="56" t="s">
        <v>151</v>
      </c>
      <c r="B52" s="99"/>
      <c r="C52" s="81">
        <v>2</v>
      </c>
      <c r="D52" s="82" t="s">
        <v>1224</v>
      </c>
      <c r="E52" s="87">
        <v>73.900000000000006</v>
      </c>
      <c r="F52" s="81" t="s">
        <v>1199</v>
      </c>
      <c r="G52" s="81" t="s">
        <v>121</v>
      </c>
      <c r="H52" s="81">
        <v>3</v>
      </c>
      <c r="I52" s="100" t="s">
        <v>121</v>
      </c>
      <c r="J52" s="85"/>
      <c r="K52" s="85"/>
      <c r="L52" s="85"/>
      <c r="M52" s="86"/>
      <c r="N52" s="99"/>
      <c r="O52" s="81">
        <v>2</v>
      </c>
      <c r="P52" s="82" t="s">
        <v>1225</v>
      </c>
      <c r="Q52" s="87">
        <v>58.85</v>
      </c>
      <c r="R52" s="81" t="s">
        <v>1199</v>
      </c>
      <c r="S52" s="81" t="s">
        <v>121</v>
      </c>
      <c r="T52" s="81">
        <v>3</v>
      </c>
      <c r="U52" s="100" t="s">
        <v>123</v>
      </c>
    </row>
    <row r="53" spans="1:21" ht="13.2">
      <c r="A53" s="56" t="s">
        <v>151</v>
      </c>
      <c r="B53" s="99"/>
      <c r="C53" s="81">
        <v>3</v>
      </c>
      <c r="D53" s="82" t="s">
        <v>1226</v>
      </c>
      <c r="E53" s="87">
        <v>68.650000000000006</v>
      </c>
      <c r="F53" s="81" t="s">
        <v>1199</v>
      </c>
      <c r="G53" s="81" t="s">
        <v>121</v>
      </c>
      <c r="H53" s="81">
        <v>1</v>
      </c>
      <c r="I53" s="100" t="s">
        <v>121</v>
      </c>
      <c r="J53" s="85"/>
      <c r="K53" s="85"/>
      <c r="L53" s="85"/>
      <c r="M53" s="86"/>
      <c r="N53" s="99"/>
      <c r="O53" s="81">
        <v>3</v>
      </c>
      <c r="P53" s="82" t="s">
        <v>1227</v>
      </c>
      <c r="Q53" s="87">
        <v>44.6</v>
      </c>
      <c r="R53" s="81" t="s">
        <v>1198</v>
      </c>
      <c r="S53" s="81">
        <v>1</v>
      </c>
      <c r="T53" s="81" t="s">
        <v>121</v>
      </c>
      <c r="U53" s="100" t="s">
        <v>121</v>
      </c>
    </row>
    <row r="54" spans="1:21" ht="13.2">
      <c r="A54" s="56" t="s">
        <v>151</v>
      </c>
      <c r="B54" s="99"/>
      <c r="C54" s="81">
        <v>4</v>
      </c>
      <c r="D54" s="82" t="s">
        <v>1228</v>
      </c>
      <c r="E54" s="87">
        <v>66.45</v>
      </c>
      <c r="F54" s="81" t="s">
        <v>1198</v>
      </c>
      <c r="G54" s="81" t="s">
        <v>121</v>
      </c>
      <c r="H54" s="81" t="s">
        <v>121</v>
      </c>
      <c r="I54" s="100" t="s">
        <v>121</v>
      </c>
      <c r="J54" s="85"/>
      <c r="K54" s="85"/>
      <c r="L54" s="85"/>
      <c r="M54" s="86"/>
      <c r="N54" s="99"/>
      <c r="O54" s="81" t="s">
        <v>121</v>
      </c>
      <c r="P54" s="82"/>
      <c r="Q54" s="87" t="s">
        <v>121</v>
      </c>
      <c r="R54" s="81"/>
      <c r="S54" s="81" t="s">
        <v>121</v>
      </c>
      <c r="T54" s="81" t="s">
        <v>121</v>
      </c>
      <c r="U54" s="100" t="s">
        <v>121</v>
      </c>
    </row>
    <row r="55" spans="1:21" ht="13.2">
      <c r="A55" s="56" t="s">
        <v>151</v>
      </c>
      <c r="B55" s="99"/>
      <c r="C55" s="81">
        <v>5</v>
      </c>
      <c r="D55" s="82" t="s">
        <v>1229</v>
      </c>
      <c r="E55" s="87">
        <v>64.599999999999994</v>
      </c>
      <c r="F55" s="81" t="s">
        <v>1199</v>
      </c>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151</v>
      </c>
      <c r="B56" s="99"/>
      <c r="C56" s="81">
        <v>6</v>
      </c>
      <c r="D56" s="82" t="s">
        <v>1230</v>
      </c>
      <c r="E56" s="87">
        <v>46.3</v>
      </c>
      <c r="F56" s="81" t="s">
        <v>1198</v>
      </c>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30" t="s">
        <v>199</v>
      </c>
      <c r="D66" s="227"/>
      <c r="E66" s="227"/>
      <c r="F66" s="228"/>
      <c r="G66" s="90">
        <v>5</v>
      </c>
      <c r="H66" s="90">
        <v>4</v>
      </c>
      <c r="I66" s="100" t="s">
        <v>121</v>
      </c>
      <c r="J66" s="85"/>
      <c r="K66" s="85"/>
      <c r="L66" s="85"/>
      <c r="M66" s="86"/>
      <c r="N66" s="99"/>
      <c r="O66" s="230" t="s">
        <v>200</v>
      </c>
      <c r="P66" s="227"/>
      <c r="Q66" s="227"/>
      <c r="R66" s="228"/>
      <c r="S66" s="90">
        <v>6</v>
      </c>
      <c r="T66" s="90">
        <v>3</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13.2">
      <c r="A70" s="56" t="s">
        <v>155</v>
      </c>
      <c r="B70" s="80"/>
      <c r="C70" s="81">
        <v>1</v>
      </c>
      <c r="D70" s="82" t="s">
        <v>1231</v>
      </c>
      <c r="E70" s="83">
        <v>107.3</v>
      </c>
      <c r="F70" s="81" t="s">
        <v>1199</v>
      </c>
      <c r="G70" s="81" t="s">
        <v>121</v>
      </c>
      <c r="H70" s="81">
        <v>5</v>
      </c>
      <c r="I70" s="84" t="s">
        <v>121</v>
      </c>
      <c r="J70" s="85"/>
      <c r="K70" s="85"/>
      <c r="L70" s="85"/>
      <c r="M70" s="86"/>
      <c r="N70" s="80"/>
      <c r="O70" s="81">
        <v>1</v>
      </c>
      <c r="P70" s="82" t="s">
        <v>1232</v>
      </c>
      <c r="Q70" s="83">
        <v>119.6</v>
      </c>
      <c r="R70" s="81" t="s">
        <v>1198</v>
      </c>
      <c r="S70" s="81">
        <v>5</v>
      </c>
      <c r="T70" s="81" t="s">
        <v>121</v>
      </c>
      <c r="U70" s="84" t="s">
        <v>121</v>
      </c>
    </row>
    <row r="71" spans="1:21" ht="13.2">
      <c r="A71" s="56" t="s">
        <v>155</v>
      </c>
      <c r="B71" s="80"/>
      <c r="C71" s="81">
        <v>2</v>
      </c>
      <c r="D71" s="82" t="s">
        <v>1233</v>
      </c>
      <c r="E71" s="87">
        <v>100.15</v>
      </c>
      <c r="F71" s="81" t="s">
        <v>1198</v>
      </c>
      <c r="G71" s="81">
        <v>3</v>
      </c>
      <c r="H71" s="81" t="s">
        <v>121</v>
      </c>
      <c r="I71" s="84" t="s">
        <v>121</v>
      </c>
      <c r="J71" s="85"/>
      <c r="K71" s="85"/>
      <c r="L71" s="85"/>
      <c r="M71" s="86"/>
      <c r="N71" s="80"/>
      <c r="O71" s="81">
        <v>2</v>
      </c>
      <c r="P71" s="82" t="s">
        <v>1234</v>
      </c>
      <c r="Q71" s="87">
        <v>116.65</v>
      </c>
      <c r="R71" s="81" t="s">
        <v>1199</v>
      </c>
      <c r="S71" s="81" t="s">
        <v>121</v>
      </c>
      <c r="T71" s="81">
        <v>3</v>
      </c>
      <c r="U71" s="84" t="s">
        <v>121</v>
      </c>
    </row>
    <row r="72" spans="1:21" ht="13.2">
      <c r="A72" s="56" t="s">
        <v>155</v>
      </c>
      <c r="B72" s="80"/>
      <c r="C72" s="81">
        <v>3</v>
      </c>
      <c r="D72" s="82" t="s">
        <v>1235</v>
      </c>
      <c r="E72" s="87">
        <v>91.65</v>
      </c>
      <c r="F72" s="81" t="s">
        <v>1199</v>
      </c>
      <c r="G72" s="81" t="s">
        <v>121</v>
      </c>
      <c r="H72" s="81">
        <v>1</v>
      </c>
      <c r="I72" s="84" t="s">
        <v>121</v>
      </c>
      <c r="J72" s="85"/>
      <c r="K72" s="85"/>
      <c r="L72" s="85"/>
      <c r="M72" s="86"/>
      <c r="N72" s="80"/>
      <c r="O72" s="81">
        <v>3</v>
      </c>
      <c r="P72" s="82" t="s">
        <v>1236</v>
      </c>
      <c r="Q72" s="87">
        <v>89.95</v>
      </c>
      <c r="R72" s="81" t="s">
        <v>1199</v>
      </c>
      <c r="S72" s="81" t="s">
        <v>121</v>
      </c>
      <c r="T72" s="81">
        <v>1</v>
      </c>
      <c r="U72" s="84" t="s">
        <v>121</v>
      </c>
    </row>
    <row r="73" spans="1:21" ht="13.2">
      <c r="A73" s="56" t="s">
        <v>155</v>
      </c>
      <c r="B73" s="80"/>
      <c r="C73" s="81">
        <v>4</v>
      </c>
      <c r="D73" s="82" t="s">
        <v>1237</v>
      </c>
      <c r="E73" s="87">
        <v>84.75</v>
      </c>
      <c r="F73" s="81" t="s">
        <v>1198</v>
      </c>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155</v>
      </c>
      <c r="B74" s="80"/>
      <c r="C74" s="81">
        <v>5</v>
      </c>
      <c r="D74" s="82" t="s">
        <v>1238</v>
      </c>
      <c r="E74" s="87">
        <v>72.75</v>
      </c>
      <c r="F74" s="81" t="s">
        <v>1198</v>
      </c>
      <c r="G74" s="81" t="s">
        <v>121</v>
      </c>
      <c r="H74" s="81" t="s">
        <v>121</v>
      </c>
      <c r="I74" s="84" t="s">
        <v>123</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30" t="s">
        <v>210</v>
      </c>
      <c r="D80" s="227"/>
      <c r="E80" s="227"/>
      <c r="F80" s="227"/>
      <c r="G80" s="90">
        <v>3</v>
      </c>
      <c r="H80" s="90">
        <v>6</v>
      </c>
      <c r="I80" s="84" t="s">
        <v>121</v>
      </c>
      <c r="J80" s="85"/>
      <c r="K80" s="85"/>
      <c r="L80" s="85"/>
      <c r="M80" s="86"/>
      <c r="N80" s="80"/>
      <c r="O80" s="230" t="s">
        <v>211</v>
      </c>
      <c r="P80" s="227"/>
      <c r="Q80" s="227"/>
      <c r="R80" s="227"/>
      <c r="S80" s="90">
        <v>5</v>
      </c>
      <c r="T80" s="90">
        <v>4</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99"/>
      <c r="C84" s="81">
        <v>1</v>
      </c>
      <c r="D84" s="82" t="s">
        <v>1239</v>
      </c>
      <c r="E84" s="83">
        <v>199.2</v>
      </c>
      <c r="F84" s="81" t="s">
        <v>1199</v>
      </c>
      <c r="G84" s="81" t="s">
        <v>121</v>
      </c>
      <c r="H84" s="81">
        <v>5</v>
      </c>
      <c r="I84" s="100" t="s">
        <v>121</v>
      </c>
      <c r="J84" s="85"/>
      <c r="K84" s="85"/>
      <c r="L84" s="85"/>
      <c r="M84" s="86"/>
      <c r="N84" s="99"/>
      <c r="O84" s="81">
        <v>1</v>
      </c>
      <c r="P84" s="82" t="s">
        <v>1240</v>
      </c>
      <c r="Q84" s="83">
        <v>207.55</v>
      </c>
      <c r="R84" s="81" t="s">
        <v>1198</v>
      </c>
      <c r="S84" s="81">
        <v>5</v>
      </c>
      <c r="T84" s="81" t="s">
        <v>121</v>
      </c>
      <c r="U84" s="100" t="s">
        <v>121</v>
      </c>
    </row>
    <row r="85" spans="1:21" ht="13.2">
      <c r="A85" s="56" t="s">
        <v>159</v>
      </c>
      <c r="B85" s="99"/>
      <c r="C85" s="81">
        <v>2</v>
      </c>
      <c r="D85" s="82" t="s">
        <v>1241</v>
      </c>
      <c r="E85" s="87">
        <v>136</v>
      </c>
      <c r="F85" s="81" t="s">
        <v>1198</v>
      </c>
      <c r="G85" s="81">
        <v>3</v>
      </c>
      <c r="H85" s="81" t="s">
        <v>121</v>
      </c>
      <c r="I85" s="100" t="s">
        <v>121</v>
      </c>
      <c r="J85" s="85"/>
      <c r="K85" s="85"/>
      <c r="L85" s="85"/>
      <c r="M85" s="86"/>
      <c r="N85" s="99"/>
      <c r="O85" s="81">
        <v>2</v>
      </c>
      <c r="P85" s="82" t="s">
        <v>1242</v>
      </c>
      <c r="Q85" s="87">
        <v>204.9</v>
      </c>
      <c r="R85" s="81" t="s">
        <v>1198</v>
      </c>
      <c r="S85" s="81">
        <v>3</v>
      </c>
      <c r="T85" s="81" t="s">
        <v>121</v>
      </c>
      <c r="U85" s="100" t="s">
        <v>121</v>
      </c>
    </row>
    <row r="86" spans="1:21" ht="13.2">
      <c r="A86" s="56" t="s">
        <v>159</v>
      </c>
      <c r="B86" s="99"/>
      <c r="C86" s="81">
        <v>3</v>
      </c>
      <c r="D86" s="82" t="s">
        <v>1243</v>
      </c>
      <c r="E86" s="87">
        <v>131.75</v>
      </c>
      <c r="F86" s="81" t="s">
        <v>1198</v>
      </c>
      <c r="G86" s="81">
        <v>1</v>
      </c>
      <c r="H86" s="81" t="s">
        <v>121</v>
      </c>
      <c r="I86" s="100" t="s">
        <v>121</v>
      </c>
      <c r="J86" s="85"/>
      <c r="K86" s="85"/>
      <c r="L86" s="85"/>
      <c r="M86" s="86"/>
      <c r="N86" s="99"/>
      <c r="O86" s="81">
        <v>3</v>
      </c>
      <c r="P86" s="82" t="s">
        <v>1244</v>
      </c>
      <c r="Q86" s="87">
        <v>175.1</v>
      </c>
      <c r="R86" s="81" t="s">
        <v>1198</v>
      </c>
      <c r="S86" s="81">
        <v>1</v>
      </c>
      <c r="T86" s="81" t="s">
        <v>121</v>
      </c>
      <c r="U86" s="100" t="s">
        <v>121</v>
      </c>
    </row>
    <row r="87" spans="1:21" ht="13.2">
      <c r="A87" s="56" t="s">
        <v>159</v>
      </c>
      <c r="B87" s="99"/>
      <c r="C87" s="81">
        <v>4</v>
      </c>
      <c r="D87" s="82" t="s">
        <v>1245</v>
      </c>
      <c r="E87" s="87">
        <v>131.30000000000001</v>
      </c>
      <c r="F87" s="81" t="s">
        <v>1198</v>
      </c>
      <c r="G87" s="81" t="s">
        <v>121</v>
      </c>
      <c r="H87" s="81" t="s">
        <v>121</v>
      </c>
      <c r="I87" s="100" t="s">
        <v>121</v>
      </c>
      <c r="J87" s="85"/>
      <c r="K87" s="85"/>
      <c r="L87" s="85"/>
      <c r="M87" s="86"/>
      <c r="N87" s="99"/>
      <c r="O87" s="81">
        <v>4</v>
      </c>
      <c r="P87" s="82" t="s">
        <v>1246</v>
      </c>
      <c r="Q87" s="87">
        <v>155.65</v>
      </c>
      <c r="R87" s="81" t="s">
        <v>1199</v>
      </c>
      <c r="S87" s="81" t="s">
        <v>121</v>
      </c>
      <c r="T87" s="81" t="s">
        <v>121</v>
      </c>
      <c r="U87" s="100" t="s">
        <v>121</v>
      </c>
    </row>
    <row r="88" spans="1:21" ht="13.2">
      <c r="A88" s="56" t="s">
        <v>159</v>
      </c>
      <c r="B88" s="99"/>
      <c r="C88" s="81">
        <v>5</v>
      </c>
      <c r="D88" s="82" t="s">
        <v>1247</v>
      </c>
      <c r="E88" s="87">
        <v>130.9</v>
      </c>
      <c r="F88" s="81" t="s">
        <v>1199</v>
      </c>
      <c r="G88" s="81" t="s">
        <v>121</v>
      </c>
      <c r="H88" s="81" t="s">
        <v>121</v>
      </c>
      <c r="I88" s="100" t="s">
        <v>121</v>
      </c>
      <c r="J88" s="85"/>
      <c r="K88" s="85"/>
      <c r="L88" s="85"/>
      <c r="M88" s="86"/>
      <c r="N88" s="99"/>
      <c r="O88" s="81">
        <v>5</v>
      </c>
      <c r="P88" s="88" t="s">
        <v>1248</v>
      </c>
      <c r="Q88" s="87">
        <v>143</v>
      </c>
      <c r="R88" s="81" t="s">
        <v>1199</v>
      </c>
      <c r="S88" s="81" t="s">
        <v>121</v>
      </c>
      <c r="T88" s="81" t="s">
        <v>121</v>
      </c>
      <c r="U88" s="100" t="s">
        <v>121</v>
      </c>
    </row>
    <row r="89" spans="1:21" ht="13.2">
      <c r="A89" s="56" t="s">
        <v>159</v>
      </c>
      <c r="B89" s="99"/>
      <c r="C89" s="81">
        <v>6</v>
      </c>
      <c r="D89" s="82" t="s">
        <v>1249</v>
      </c>
      <c r="E89" s="87">
        <v>130.69999999999999</v>
      </c>
      <c r="F89" s="81" t="s">
        <v>1199</v>
      </c>
      <c r="G89" s="81" t="s">
        <v>121</v>
      </c>
      <c r="H89" s="81" t="s">
        <v>121</v>
      </c>
      <c r="I89" s="100" t="s">
        <v>121</v>
      </c>
      <c r="J89" s="85"/>
      <c r="K89" s="85"/>
      <c r="L89" s="85"/>
      <c r="M89" s="86"/>
      <c r="N89" s="99"/>
      <c r="O89" s="81">
        <v>6</v>
      </c>
      <c r="P89" s="88" t="s">
        <v>1250</v>
      </c>
      <c r="Q89" s="87">
        <v>139</v>
      </c>
      <c r="R89" s="81" t="s">
        <v>1198</v>
      </c>
      <c r="S89" s="81" t="s">
        <v>121</v>
      </c>
      <c r="T89" s="81" t="s">
        <v>121</v>
      </c>
      <c r="U89" s="100" t="s">
        <v>121</v>
      </c>
    </row>
    <row r="90" spans="1:21" ht="13.2">
      <c r="A90" s="56" t="s">
        <v>159</v>
      </c>
      <c r="B90" s="99"/>
      <c r="C90" s="81">
        <v>7</v>
      </c>
      <c r="D90" s="88" t="s">
        <v>1251</v>
      </c>
      <c r="E90" s="87">
        <v>125</v>
      </c>
      <c r="F90" s="81" t="s">
        <v>1198</v>
      </c>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30" t="s">
        <v>220</v>
      </c>
      <c r="D94" s="227"/>
      <c r="E94" s="227"/>
      <c r="F94" s="227"/>
      <c r="G94" s="90">
        <v>4</v>
      </c>
      <c r="H94" s="90">
        <v>5</v>
      </c>
      <c r="I94" s="100" t="s">
        <v>121</v>
      </c>
      <c r="J94" s="85"/>
      <c r="K94" s="85"/>
      <c r="L94" s="85"/>
      <c r="M94" s="86"/>
      <c r="N94" s="99"/>
      <c r="O94" s="230" t="s">
        <v>221</v>
      </c>
      <c r="P94" s="227"/>
      <c r="Q94" s="227"/>
      <c r="R94" s="227"/>
      <c r="S94" s="90">
        <v>9</v>
      </c>
      <c r="T94" s="90">
        <v>0</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1252</v>
      </c>
      <c r="R96" s="227"/>
      <c r="S96" s="227"/>
      <c r="T96" s="228"/>
      <c r="U96" s="4" t="s">
        <v>121</v>
      </c>
    </row>
    <row r="97" spans="1:21" ht="13.2">
      <c r="A97" s="56"/>
      <c r="B97" s="4"/>
      <c r="C97" s="249" t="s">
        <v>1253</v>
      </c>
      <c r="D97" s="235"/>
      <c r="E97" s="235"/>
      <c r="F97" s="235"/>
      <c r="G97" s="235"/>
      <c r="H97" s="236"/>
      <c r="I97" s="85" t="s">
        <v>121</v>
      </c>
      <c r="J97" s="85"/>
      <c r="K97" s="85"/>
      <c r="L97" s="85"/>
      <c r="M97" s="86"/>
      <c r="N97" s="107"/>
      <c r="O97" s="110" t="s">
        <v>226</v>
      </c>
      <c r="P97" s="111"/>
      <c r="Q97" s="231" t="s">
        <v>1254</v>
      </c>
      <c r="R97" s="227"/>
      <c r="S97" s="227"/>
      <c r="T97" s="228"/>
      <c r="U97" s="4"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B99" s="4"/>
      <c r="C99" s="112" t="s">
        <v>228</v>
      </c>
      <c r="D99" s="113"/>
      <c r="E99" s="233" t="s">
        <v>1255</v>
      </c>
      <c r="F99" s="227"/>
      <c r="G99" s="227"/>
      <c r="H99" s="228"/>
      <c r="I99" s="85" t="s">
        <v>121</v>
      </c>
      <c r="J99" s="85"/>
      <c r="K99" s="85"/>
      <c r="L99" s="85"/>
      <c r="M99" s="86"/>
      <c r="N99" s="107"/>
      <c r="O99" s="112" t="s">
        <v>229</v>
      </c>
      <c r="P99" s="113"/>
      <c r="Q99" s="233" t="s">
        <v>1256</v>
      </c>
      <c r="R99" s="227"/>
      <c r="S99" s="227"/>
      <c r="T99" s="228"/>
      <c r="U99" s="4"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B101" s="4"/>
      <c r="C101" s="273"/>
      <c r="D101" s="235"/>
      <c r="E101" s="235"/>
      <c r="F101" s="235"/>
      <c r="G101" s="235"/>
      <c r="H101" s="236"/>
      <c r="I101" s="4" t="s">
        <v>121</v>
      </c>
      <c r="J101" s="4"/>
      <c r="K101" s="4"/>
      <c r="L101" s="4"/>
      <c r="M101" s="71"/>
      <c r="N101" s="109"/>
      <c r="O101" s="234"/>
      <c r="P101" s="235"/>
      <c r="Q101" s="235"/>
      <c r="R101" s="235"/>
      <c r="S101" s="235"/>
      <c r="T101" s="236"/>
      <c r="U101" s="4"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14"/>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129"/>
      <c r="C109" s="251" t="s">
        <v>130</v>
      </c>
      <c r="D109" s="227"/>
      <c r="E109" s="252" t="s">
        <v>1194</v>
      </c>
      <c r="F109" s="227"/>
      <c r="G109" s="228"/>
      <c r="H109" s="130" t="s">
        <v>1257</v>
      </c>
      <c r="I109" s="131" t="s">
        <v>121</v>
      </c>
      <c r="J109" s="132"/>
      <c r="K109" s="132"/>
      <c r="L109" s="132"/>
      <c r="M109" s="133"/>
      <c r="N109" s="48"/>
      <c r="O109" s="244" t="s">
        <v>132</v>
      </c>
      <c r="P109" s="227"/>
      <c r="Q109" s="245" t="s">
        <v>1195</v>
      </c>
      <c r="R109" s="227"/>
      <c r="S109" s="228"/>
      <c r="T109" s="134" t="s">
        <v>161</v>
      </c>
      <c r="U109" s="135" t="s">
        <v>121</v>
      </c>
    </row>
    <row r="110" spans="1:21" ht="17.399999999999999">
      <c r="A110" s="56"/>
      <c r="B110" s="136"/>
      <c r="C110" s="253" t="s">
        <v>1</v>
      </c>
      <c r="D110" s="228"/>
      <c r="E110" s="254">
        <v>42</v>
      </c>
      <c r="F110" s="227"/>
      <c r="G110" s="227"/>
      <c r="H110" s="137"/>
      <c r="I110" s="131" t="s">
        <v>121</v>
      </c>
      <c r="J110" s="138"/>
      <c r="K110" s="138"/>
      <c r="L110" s="138"/>
      <c r="M110" s="139"/>
      <c r="N110" s="48"/>
      <c r="O110" s="246" t="s">
        <v>1</v>
      </c>
      <c r="P110" s="228"/>
      <c r="Q110" s="247">
        <v>22</v>
      </c>
      <c r="R110" s="227"/>
      <c r="S110" s="227"/>
      <c r="T110" s="140"/>
      <c r="U110" s="135"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B113" s="4"/>
      <c r="C113" s="62" t="s">
        <v>147</v>
      </c>
      <c r="D113" s="63" t="s">
        <v>148</v>
      </c>
      <c r="E113" s="57"/>
      <c r="F113" s="57"/>
      <c r="G113" s="64">
        <v>9</v>
      </c>
      <c r="H113" s="65">
        <v>0</v>
      </c>
      <c r="I113" s="55" t="s">
        <v>121</v>
      </c>
      <c r="J113" s="55"/>
      <c r="K113" s="55"/>
      <c r="L113" s="55"/>
      <c r="M113" s="61"/>
      <c r="N113" s="4"/>
      <c r="O113" s="62" t="s">
        <v>149</v>
      </c>
      <c r="P113" s="63" t="s">
        <v>150</v>
      </c>
      <c r="Q113" s="57"/>
      <c r="R113" s="57"/>
      <c r="S113" s="64">
        <v>4</v>
      </c>
      <c r="T113" s="65">
        <v>5</v>
      </c>
      <c r="U113" s="55" t="s">
        <v>121</v>
      </c>
    </row>
    <row r="114" spans="1:21" ht="13.2">
      <c r="A114" s="56"/>
      <c r="B114" s="4"/>
      <c r="C114" s="62" t="s">
        <v>151</v>
      </c>
      <c r="D114" s="63" t="s">
        <v>152</v>
      </c>
      <c r="E114" s="57"/>
      <c r="F114" s="57"/>
      <c r="G114" s="64">
        <v>5</v>
      </c>
      <c r="H114" s="65">
        <v>3</v>
      </c>
      <c r="I114" s="55" t="s">
        <v>121</v>
      </c>
      <c r="J114" s="55"/>
      <c r="K114" s="55"/>
      <c r="L114" s="55"/>
      <c r="M114" s="61"/>
      <c r="N114" s="4"/>
      <c r="O114" s="62" t="s">
        <v>153</v>
      </c>
      <c r="P114" s="63" t="s">
        <v>154</v>
      </c>
      <c r="Q114" s="57"/>
      <c r="R114" s="57"/>
      <c r="S114" s="64">
        <v>9</v>
      </c>
      <c r="T114" s="65">
        <v>0</v>
      </c>
      <c r="U114" s="55" t="s">
        <v>121</v>
      </c>
    </row>
    <row r="115" spans="1:21" ht="13.2">
      <c r="A115" s="56"/>
      <c r="B115" s="4"/>
      <c r="C115" s="62" t="s">
        <v>155</v>
      </c>
      <c r="D115" s="63" t="s">
        <v>156</v>
      </c>
      <c r="E115" s="57"/>
      <c r="F115" s="57"/>
      <c r="G115" s="64">
        <v>0</v>
      </c>
      <c r="H115" s="65">
        <v>8</v>
      </c>
      <c r="I115" s="55" t="s">
        <v>121</v>
      </c>
      <c r="J115" s="55"/>
      <c r="K115" s="55"/>
      <c r="L115" s="55"/>
      <c r="M115" s="61"/>
      <c r="N115" s="4"/>
      <c r="O115" s="62" t="s">
        <v>157</v>
      </c>
      <c r="P115" s="63" t="s">
        <v>158</v>
      </c>
      <c r="Q115" s="57"/>
      <c r="R115" s="57"/>
      <c r="S115" s="64">
        <v>5</v>
      </c>
      <c r="T115" s="65">
        <v>0</v>
      </c>
      <c r="U115" s="55" t="s">
        <v>121</v>
      </c>
    </row>
    <row r="116" spans="1:21" ht="13.2">
      <c r="A116" s="56"/>
      <c r="B116" s="4"/>
      <c r="C116" s="62" t="s">
        <v>159</v>
      </c>
      <c r="D116" s="63" t="s">
        <v>160</v>
      </c>
      <c r="E116" s="57"/>
      <c r="F116" s="57"/>
      <c r="G116" s="64">
        <v>5</v>
      </c>
      <c r="H116" s="65">
        <v>3</v>
      </c>
      <c r="I116" s="55" t="s">
        <v>121</v>
      </c>
      <c r="J116" s="55"/>
      <c r="K116" s="55"/>
      <c r="L116" s="55"/>
      <c r="M116" s="61"/>
      <c r="N116" s="4"/>
      <c r="O116" s="62" t="s">
        <v>161</v>
      </c>
      <c r="P116" s="63" t="s">
        <v>162</v>
      </c>
      <c r="Q116" s="57"/>
      <c r="R116" s="57"/>
      <c r="S116" s="64">
        <v>5</v>
      </c>
      <c r="T116" s="65">
        <v>3</v>
      </c>
      <c r="U116" s="55" t="s">
        <v>121</v>
      </c>
    </row>
    <row r="117" spans="1:21" ht="13.2">
      <c r="A117" s="56"/>
      <c r="B117" s="4"/>
      <c r="C117" s="66"/>
      <c r="D117" s="67" t="s">
        <v>163</v>
      </c>
      <c r="E117" s="68"/>
      <c r="F117" s="68"/>
      <c r="G117" s="69">
        <v>19</v>
      </c>
      <c r="H117" s="70">
        <v>14</v>
      </c>
      <c r="I117" s="55" t="s">
        <v>121</v>
      </c>
      <c r="J117" s="55"/>
      <c r="K117" s="55"/>
      <c r="L117" s="55"/>
      <c r="M117" s="61"/>
      <c r="N117" s="4"/>
      <c r="O117" s="66"/>
      <c r="P117" s="67" t="s">
        <v>163</v>
      </c>
      <c r="Q117" s="68"/>
      <c r="R117" s="68"/>
      <c r="S117" s="69">
        <v>23</v>
      </c>
      <c r="T117" s="70">
        <v>8</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80"/>
      <c r="C122" s="81">
        <v>1</v>
      </c>
      <c r="D122" s="82" t="s">
        <v>1258</v>
      </c>
      <c r="E122" s="83">
        <v>59.5</v>
      </c>
      <c r="F122" s="81" t="s">
        <v>1257</v>
      </c>
      <c r="G122" s="81">
        <v>5</v>
      </c>
      <c r="H122" s="81" t="s">
        <v>121</v>
      </c>
      <c r="I122" s="84" t="s">
        <v>121</v>
      </c>
      <c r="J122" s="85"/>
      <c r="K122" s="85"/>
      <c r="L122" s="85"/>
      <c r="M122" s="86"/>
      <c r="N122" s="80"/>
      <c r="O122" s="81">
        <v>1</v>
      </c>
      <c r="P122" s="82" t="s">
        <v>1259</v>
      </c>
      <c r="Q122" s="83">
        <v>36.700000000000003</v>
      </c>
      <c r="R122" s="81" t="s">
        <v>161</v>
      </c>
      <c r="S122" s="81" t="s">
        <v>121</v>
      </c>
      <c r="T122" s="81">
        <v>5</v>
      </c>
      <c r="U122" s="84" t="s">
        <v>121</v>
      </c>
    </row>
    <row r="123" spans="1:21" ht="13.2">
      <c r="A123" s="56" t="s">
        <v>147</v>
      </c>
      <c r="B123" s="80"/>
      <c r="C123" s="81">
        <v>2</v>
      </c>
      <c r="D123" s="82" t="s">
        <v>1260</v>
      </c>
      <c r="E123" s="87">
        <v>48.95</v>
      </c>
      <c r="F123" s="81" t="s">
        <v>1257</v>
      </c>
      <c r="G123" s="81">
        <v>3</v>
      </c>
      <c r="H123" s="81" t="s">
        <v>121</v>
      </c>
      <c r="I123" s="84" t="s">
        <v>121</v>
      </c>
      <c r="J123" s="85"/>
      <c r="K123" s="85"/>
      <c r="L123" s="85"/>
      <c r="M123" s="86"/>
      <c r="N123" s="80"/>
      <c r="O123" s="81">
        <v>2</v>
      </c>
      <c r="P123" s="82" t="s">
        <v>1261</v>
      </c>
      <c r="Q123" s="87">
        <v>33.75</v>
      </c>
      <c r="R123" s="81" t="s">
        <v>1257</v>
      </c>
      <c r="S123" s="81">
        <v>3</v>
      </c>
      <c r="T123" s="81" t="s">
        <v>121</v>
      </c>
      <c r="U123" s="84" t="s">
        <v>121</v>
      </c>
    </row>
    <row r="124" spans="1:21" ht="13.2">
      <c r="A124" s="56" t="s">
        <v>147</v>
      </c>
      <c r="B124" s="80"/>
      <c r="C124" s="81">
        <v>3</v>
      </c>
      <c r="D124" s="82" t="s">
        <v>1262</v>
      </c>
      <c r="E124" s="87">
        <v>46.15</v>
      </c>
      <c r="F124" s="81" t="s">
        <v>1257</v>
      </c>
      <c r="G124" s="81">
        <v>1</v>
      </c>
      <c r="H124" s="81" t="s">
        <v>121</v>
      </c>
      <c r="I124" s="84" t="s">
        <v>121</v>
      </c>
      <c r="J124" s="85"/>
      <c r="K124" s="85"/>
      <c r="L124" s="85"/>
      <c r="M124" s="86"/>
      <c r="N124" s="80"/>
      <c r="O124" s="81">
        <v>3</v>
      </c>
      <c r="P124" s="82" t="s">
        <v>1263</v>
      </c>
      <c r="Q124" s="87">
        <v>29.85</v>
      </c>
      <c r="R124" s="81" t="s">
        <v>1257</v>
      </c>
      <c r="S124" s="81">
        <v>1</v>
      </c>
      <c r="T124" s="81" t="s">
        <v>121</v>
      </c>
      <c r="U124" s="84" t="s">
        <v>121</v>
      </c>
    </row>
    <row r="125" spans="1:21" ht="13.2">
      <c r="A125" s="56" t="s">
        <v>147</v>
      </c>
      <c r="B125" s="80"/>
      <c r="C125" s="81">
        <v>4</v>
      </c>
      <c r="D125" s="82" t="s">
        <v>1264</v>
      </c>
      <c r="E125" s="87">
        <v>36.950000000000003</v>
      </c>
      <c r="F125" s="81" t="s">
        <v>1257</v>
      </c>
      <c r="G125" s="81" t="s">
        <v>121</v>
      </c>
      <c r="H125" s="81" t="s">
        <v>121</v>
      </c>
      <c r="I125" s="84" t="s">
        <v>121</v>
      </c>
      <c r="J125" s="85"/>
      <c r="K125" s="85"/>
      <c r="L125" s="85"/>
      <c r="M125" s="86"/>
      <c r="N125" s="80"/>
      <c r="O125" s="81">
        <v>4</v>
      </c>
      <c r="P125" s="82" t="s">
        <v>1265</v>
      </c>
      <c r="Q125" s="87">
        <v>23.7</v>
      </c>
      <c r="R125" s="81" t="s">
        <v>1257</v>
      </c>
      <c r="S125" s="81" t="s">
        <v>121</v>
      </c>
      <c r="T125" s="81" t="s">
        <v>121</v>
      </c>
      <c r="U125" s="84" t="s">
        <v>121</v>
      </c>
    </row>
    <row r="126" spans="1:21" ht="13.2">
      <c r="A126" s="56" t="s">
        <v>147</v>
      </c>
      <c r="B126" s="80"/>
      <c r="C126" s="81">
        <v>5</v>
      </c>
      <c r="D126" s="82" t="s">
        <v>1266</v>
      </c>
      <c r="E126" s="87">
        <v>30</v>
      </c>
      <c r="F126" s="81" t="s">
        <v>161</v>
      </c>
      <c r="G126" s="81" t="s">
        <v>121</v>
      </c>
      <c r="H126" s="81" t="s">
        <v>121</v>
      </c>
      <c r="I126" s="84" t="s">
        <v>121</v>
      </c>
      <c r="J126" s="85"/>
      <c r="K126" s="85"/>
      <c r="L126" s="85"/>
      <c r="M126" s="86"/>
      <c r="N126" s="80"/>
      <c r="O126" s="81">
        <v>5</v>
      </c>
      <c r="P126" s="82" t="s">
        <v>1267</v>
      </c>
      <c r="Q126" s="87">
        <v>22.6</v>
      </c>
      <c r="R126" s="81" t="s">
        <v>1257</v>
      </c>
      <c r="S126" s="81" t="s">
        <v>121</v>
      </c>
      <c r="T126" s="81" t="s">
        <v>121</v>
      </c>
      <c r="U126" s="84" t="s">
        <v>121</v>
      </c>
    </row>
    <row r="127" spans="1:21" ht="13.2">
      <c r="A127" s="56" t="s">
        <v>147</v>
      </c>
      <c r="B127" s="80"/>
      <c r="C127" s="81">
        <v>6</v>
      </c>
      <c r="D127" s="82" t="s">
        <v>1268</v>
      </c>
      <c r="E127" s="87">
        <v>18.25</v>
      </c>
      <c r="F127" s="81" t="s">
        <v>1257</v>
      </c>
      <c r="G127" s="81" t="s">
        <v>121</v>
      </c>
      <c r="H127" s="81" t="s">
        <v>121</v>
      </c>
      <c r="I127" s="84" t="s">
        <v>121</v>
      </c>
      <c r="J127" s="85"/>
      <c r="K127" s="85"/>
      <c r="L127" s="85"/>
      <c r="M127" s="86"/>
      <c r="N127" s="80"/>
      <c r="O127" s="81" t="s">
        <v>121</v>
      </c>
      <c r="P127" s="82"/>
      <c r="Q127" s="87" t="s">
        <v>121</v>
      </c>
      <c r="R127" s="81"/>
      <c r="S127" s="81" t="s">
        <v>121</v>
      </c>
      <c r="T127" s="81" t="s">
        <v>121</v>
      </c>
      <c r="U127" s="84" t="s">
        <v>121</v>
      </c>
    </row>
    <row r="128" spans="1:21" ht="13.2">
      <c r="A128" s="56" t="s">
        <v>147</v>
      </c>
      <c r="B128" s="80"/>
      <c r="C128" s="81">
        <v>7</v>
      </c>
      <c r="D128" s="82" t="s">
        <v>1269</v>
      </c>
      <c r="E128" s="87">
        <v>14.5</v>
      </c>
      <c r="F128" s="81" t="s">
        <v>1257</v>
      </c>
      <c r="G128" s="81" t="s">
        <v>121</v>
      </c>
      <c r="H128" s="81" t="s">
        <v>121</v>
      </c>
      <c r="I128" s="84" t="s">
        <v>121</v>
      </c>
      <c r="J128" s="85"/>
      <c r="K128" s="85"/>
      <c r="L128" s="85"/>
      <c r="M128" s="86"/>
      <c r="N128" s="80"/>
      <c r="O128" s="81" t="s">
        <v>121</v>
      </c>
      <c r="P128" s="82"/>
      <c r="Q128" s="87" t="s">
        <v>121</v>
      </c>
      <c r="R128" s="81"/>
      <c r="S128" s="81" t="s">
        <v>121</v>
      </c>
      <c r="T128" s="81" t="s">
        <v>121</v>
      </c>
      <c r="U128" s="84" t="s">
        <v>121</v>
      </c>
    </row>
    <row r="129" spans="1:21" ht="13.2">
      <c r="A129" s="56" t="s">
        <v>147</v>
      </c>
      <c r="B129" s="80"/>
      <c r="C129" s="81">
        <v>8</v>
      </c>
      <c r="D129" s="88" t="s">
        <v>1270</v>
      </c>
      <c r="E129" s="87">
        <v>11</v>
      </c>
      <c r="F129" s="81" t="s">
        <v>1257</v>
      </c>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121</v>
      </c>
      <c r="B130" s="80"/>
      <c r="C130" s="81" t="s">
        <v>121</v>
      </c>
      <c r="D130" s="88"/>
      <c r="E130" s="87" t="s">
        <v>121</v>
      </c>
      <c r="F130" s="81"/>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121</v>
      </c>
      <c r="B131" s="80"/>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9</v>
      </c>
      <c r="H147" s="90">
        <v>0</v>
      </c>
      <c r="I147" s="84" t="s">
        <v>121</v>
      </c>
      <c r="J147" s="85"/>
      <c r="K147" s="85"/>
      <c r="L147" s="85"/>
      <c r="M147" s="86"/>
      <c r="N147" s="80"/>
      <c r="O147" s="230" t="s">
        <v>185</v>
      </c>
      <c r="P147" s="227"/>
      <c r="Q147" s="227"/>
      <c r="R147" s="227"/>
      <c r="S147" s="90">
        <v>4</v>
      </c>
      <c r="T147" s="90">
        <v>5</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13.2">
      <c r="A151" s="56" t="s">
        <v>151</v>
      </c>
      <c r="B151" s="99"/>
      <c r="C151" s="81">
        <v>1</v>
      </c>
      <c r="D151" s="82" t="s">
        <v>1271</v>
      </c>
      <c r="E151" s="83">
        <v>58.85</v>
      </c>
      <c r="F151" s="81" t="s">
        <v>1257</v>
      </c>
      <c r="G151" s="81">
        <v>5</v>
      </c>
      <c r="H151" s="81" t="s">
        <v>121</v>
      </c>
      <c r="I151" s="100" t="s">
        <v>121</v>
      </c>
      <c r="J151" s="85"/>
      <c r="K151" s="85"/>
      <c r="L151" s="85"/>
      <c r="M151" s="86"/>
      <c r="N151" s="99"/>
      <c r="O151" s="81">
        <v>1</v>
      </c>
      <c r="P151" s="82" t="s">
        <v>1272</v>
      </c>
      <c r="Q151" s="83">
        <v>88.45</v>
      </c>
      <c r="R151" s="81" t="s">
        <v>1257</v>
      </c>
      <c r="S151" s="81">
        <v>5</v>
      </c>
      <c r="T151" s="81" t="s">
        <v>121</v>
      </c>
      <c r="U151" s="100" t="s">
        <v>121</v>
      </c>
    </row>
    <row r="152" spans="1:21" ht="13.2">
      <c r="A152" s="56" t="s">
        <v>151</v>
      </c>
      <c r="B152" s="99"/>
      <c r="C152" s="81">
        <v>2</v>
      </c>
      <c r="D152" s="82" t="s">
        <v>1273</v>
      </c>
      <c r="E152" s="87">
        <v>44.75</v>
      </c>
      <c r="F152" s="81" t="s">
        <v>161</v>
      </c>
      <c r="G152" s="81" t="s">
        <v>121</v>
      </c>
      <c r="H152" s="81">
        <v>3</v>
      </c>
      <c r="I152" s="100" t="s">
        <v>121</v>
      </c>
      <c r="J152" s="85"/>
      <c r="K152" s="85"/>
      <c r="L152" s="85"/>
      <c r="M152" s="86"/>
      <c r="N152" s="99"/>
      <c r="O152" s="81">
        <v>2</v>
      </c>
      <c r="P152" s="82" t="s">
        <v>1274</v>
      </c>
      <c r="Q152" s="87">
        <v>66</v>
      </c>
      <c r="R152" s="81" t="s">
        <v>1257</v>
      </c>
      <c r="S152" s="81">
        <v>3</v>
      </c>
      <c r="T152" s="81" t="s">
        <v>121</v>
      </c>
      <c r="U152" s="100" t="s">
        <v>123</v>
      </c>
    </row>
    <row r="153" spans="1:21" ht="13.2">
      <c r="A153" s="56" t="s">
        <v>121</v>
      </c>
      <c r="B153" s="99"/>
      <c r="C153" s="81" t="s">
        <v>121</v>
      </c>
      <c r="D153" s="82"/>
      <c r="E153" s="87" t="s">
        <v>121</v>
      </c>
      <c r="F153" s="81"/>
      <c r="G153" s="81" t="s">
        <v>121</v>
      </c>
      <c r="H153" s="81" t="s">
        <v>121</v>
      </c>
      <c r="I153" s="100" t="s">
        <v>121</v>
      </c>
      <c r="J153" s="85"/>
      <c r="K153" s="85"/>
      <c r="L153" s="85"/>
      <c r="M153" s="86"/>
      <c r="N153" s="99"/>
      <c r="O153" s="81">
        <v>3</v>
      </c>
      <c r="P153" s="82" t="s">
        <v>1275</v>
      </c>
      <c r="Q153" s="87">
        <v>62.75</v>
      </c>
      <c r="R153" s="81" t="s">
        <v>1257</v>
      </c>
      <c r="S153" s="81">
        <v>1</v>
      </c>
      <c r="T153" s="81" t="s">
        <v>121</v>
      </c>
      <c r="U153" s="100" t="s">
        <v>121</v>
      </c>
    </row>
    <row r="154" spans="1:21" ht="13.2">
      <c r="A154" s="56" t="s">
        <v>121</v>
      </c>
      <c r="B154" s="99"/>
      <c r="C154" s="81" t="s">
        <v>121</v>
      </c>
      <c r="D154" s="82"/>
      <c r="E154" s="87" t="s">
        <v>121</v>
      </c>
      <c r="F154" s="81"/>
      <c r="G154" s="81" t="s">
        <v>121</v>
      </c>
      <c r="H154" s="81" t="s">
        <v>121</v>
      </c>
      <c r="I154" s="100" t="s">
        <v>121</v>
      </c>
      <c r="J154" s="85"/>
      <c r="K154" s="85"/>
      <c r="L154" s="85"/>
      <c r="M154" s="86"/>
      <c r="N154" s="99"/>
      <c r="O154" s="81">
        <v>4</v>
      </c>
      <c r="P154" s="82" t="s">
        <v>1276</v>
      </c>
      <c r="Q154" s="87">
        <v>53.45</v>
      </c>
      <c r="R154" s="81" t="s">
        <v>161</v>
      </c>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v>5</v>
      </c>
      <c r="P155" s="82" t="s">
        <v>1277</v>
      </c>
      <c r="Q155" s="87">
        <v>46.6</v>
      </c>
      <c r="R155" s="81" t="s">
        <v>161</v>
      </c>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5</v>
      </c>
      <c r="H166" s="90">
        <v>3</v>
      </c>
      <c r="I166" s="100" t="s">
        <v>121</v>
      </c>
      <c r="J166" s="85"/>
      <c r="K166" s="85"/>
      <c r="L166" s="85"/>
      <c r="M166" s="86"/>
      <c r="N166" s="99"/>
      <c r="O166" s="230" t="s">
        <v>200</v>
      </c>
      <c r="P166" s="227"/>
      <c r="Q166" s="227"/>
      <c r="R166" s="228"/>
      <c r="S166" s="90">
        <v>9</v>
      </c>
      <c r="T166" s="90">
        <v>0</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155</v>
      </c>
      <c r="B170" s="80"/>
      <c r="C170" s="81">
        <v>1</v>
      </c>
      <c r="D170" s="82" t="s">
        <v>1278</v>
      </c>
      <c r="E170" s="83">
        <v>77.55</v>
      </c>
      <c r="F170" s="81" t="s">
        <v>161</v>
      </c>
      <c r="G170" s="81" t="s">
        <v>121</v>
      </c>
      <c r="H170" s="81">
        <v>5</v>
      </c>
      <c r="I170" s="84" t="s">
        <v>121</v>
      </c>
      <c r="J170" s="85"/>
      <c r="K170" s="85"/>
      <c r="L170" s="85"/>
      <c r="M170" s="86"/>
      <c r="N170" s="80"/>
      <c r="O170" s="81">
        <v>1</v>
      </c>
      <c r="P170" s="82" t="s">
        <v>1279</v>
      </c>
      <c r="Q170" s="83">
        <v>104.2</v>
      </c>
      <c r="R170" s="81" t="s">
        <v>1257</v>
      </c>
      <c r="S170" s="81">
        <v>5</v>
      </c>
      <c r="T170" s="81" t="s">
        <v>121</v>
      </c>
      <c r="U170" s="84" t="s">
        <v>121</v>
      </c>
    </row>
    <row r="171" spans="1:21" ht="13.2">
      <c r="A171" s="56" t="s">
        <v>155</v>
      </c>
      <c r="B171" s="80"/>
      <c r="C171" s="81">
        <v>2</v>
      </c>
      <c r="D171" s="82" t="s">
        <v>1280</v>
      </c>
      <c r="E171" s="87">
        <v>51.35</v>
      </c>
      <c r="F171" s="81" t="s">
        <v>161</v>
      </c>
      <c r="G171" s="81" t="s">
        <v>121</v>
      </c>
      <c r="H171" s="81">
        <v>3</v>
      </c>
      <c r="I171" s="84" t="s">
        <v>121</v>
      </c>
      <c r="J171" s="85"/>
      <c r="K171" s="85"/>
      <c r="L171" s="85"/>
      <c r="M171" s="86"/>
      <c r="N171" s="80"/>
      <c r="O171" s="81" t="s">
        <v>121</v>
      </c>
      <c r="P171" s="82"/>
      <c r="Q171" s="87" t="s">
        <v>121</v>
      </c>
      <c r="R171" s="81"/>
      <c r="S171" s="81" t="s">
        <v>121</v>
      </c>
      <c r="T171" s="81" t="s">
        <v>121</v>
      </c>
      <c r="U171" s="84" t="s">
        <v>121</v>
      </c>
    </row>
    <row r="172" spans="1:21" ht="13.2">
      <c r="A172" s="56" t="s">
        <v>121</v>
      </c>
      <c r="B172" s="80"/>
      <c r="C172" s="81" t="s">
        <v>121</v>
      </c>
      <c r="D172" s="82"/>
      <c r="E172" s="87" t="s">
        <v>121</v>
      </c>
      <c r="F172" s="81"/>
      <c r="G172" s="81" t="s">
        <v>121</v>
      </c>
      <c r="H172" s="81" t="s">
        <v>121</v>
      </c>
      <c r="I172" s="84" t="s">
        <v>121</v>
      </c>
      <c r="J172" s="85"/>
      <c r="K172" s="85"/>
      <c r="L172" s="85"/>
      <c r="M172" s="86"/>
      <c r="N172" s="80"/>
      <c r="O172" s="81" t="s">
        <v>121</v>
      </c>
      <c r="P172" s="82"/>
      <c r="Q172" s="87" t="s">
        <v>121</v>
      </c>
      <c r="R172" s="81"/>
      <c r="S172" s="81" t="s">
        <v>121</v>
      </c>
      <c r="T172" s="81" t="s">
        <v>121</v>
      </c>
      <c r="U172" s="84" t="s">
        <v>121</v>
      </c>
    </row>
    <row r="173" spans="1:21" ht="13.2">
      <c r="A173" s="56" t="s">
        <v>121</v>
      </c>
      <c r="B173" s="80"/>
      <c r="C173" s="81" t="s">
        <v>121</v>
      </c>
      <c r="D173" s="82"/>
      <c r="E173" s="87" t="s">
        <v>121</v>
      </c>
      <c r="F173" s="81"/>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0</v>
      </c>
      <c r="H180" s="90">
        <v>8</v>
      </c>
      <c r="I180" s="84" t="s">
        <v>121</v>
      </c>
      <c r="J180" s="85"/>
      <c r="K180" s="85"/>
      <c r="L180" s="85"/>
      <c r="M180" s="86"/>
      <c r="N180" s="80"/>
      <c r="O180" s="230" t="s">
        <v>211</v>
      </c>
      <c r="P180" s="227"/>
      <c r="Q180" s="227"/>
      <c r="R180" s="227"/>
      <c r="S180" s="90">
        <v>5</v>
      </c>
      <c r="T180" s="90">
        <v>0</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99"/>
      <c r="C184" s="81">
        <v>1</v>
      </c>
      <c r="D184" s="82" t="s">
        <v>1281</v>
      </c>
      <c r="E184" s="83">
        <v>141.5</v>
      </c>
      <c r="F184" s="81" t="s">
        <v>1257</v>
      </c>
      <c r="G184" s="81">
        <v>5</v>
      </c>
      <c r="H184" s="81" t="s">
        <v>121</v>
      </c>
      <c r="I184" s="100" t="s">
        <v>121</v>
      </c>
      <c r="J184" s="85"/>
      <c r="K184" s="85"/>
      <c r="L184" s="85"/>
      <c r="M184" s="86"/>
      <c r="N184" s="99"/>
      <c r="O184" s="81">
        <v>1</v>
      </c>
      <c r="P184" s="82" t="s">
        <v>1282</v>
      </c>
      <c r="Q184" s="83">
        <v>114.6</v>
      </c>
      <c r="R184" s="81" t="s">
        <v>1257</v>
      </c>
      <c r="S184" s="81">
        <v>5</v>
      </c>
      <c r="T184" s="81" t="s">
        <v>121</v>
      </c>
      <c r="U184" s="100" t="s">
        <v>121</v>
      </c>
    </row>
    <row r="185" spans="1:21" ht="13.2">
      <c r="A185" s="56" t="s">
        <v>159</v>
      </c>
      <c r="B185" s="99"/>
      <c r="C185" s="81">
        <v>2</v>
      </c>
      <c r="D185" s="82" t="s">
        <v>1283</v>
      </c>
      <c r="E185" s="87">
        <v>51.45</v>
      </c>
      <c r="F185" s="81" t="s">
        <v>161</v>
      </c>
      <c r="G185" s="81" t="s">
        <v>121</v>
      </c>
      <c r="H185" s="81">
        <v>3</v>
      </c>
      <c r="I185" s="100" t="s">
        <v>121</v>
      </c>
      <c r="J185" s="85"/>
      <c r="K185" s="85"/>
      <c r="L185" s="85"/>
      <c r="M185" s="86"/>
      <c r="N185" s="99"/>
      <c r="O185" s="81">
        <v>2</v>
      </c>
      <c r="P185" s="82" t="s">
        <v>1284</v>
      </c>
      <c r="Q185" s="87">
        <v>96.3</v>
      </c>
      <c r="R185" s="81" t="s">
        <v>161</v>
      </c>
      <c r="S185" s="81" t="s">
        <v>121</v>
      </c>
      <c r="T185" s="81">
        <v>3</v>
      </c>
      <c r="U185" s="100" t="s">
        <v>121</v>
      </c>
    </row>
    <row r="186" spans="1:21" ht="13.2">
      <c r="A186" s="56" t="s">
        <v>121</v>
      </c>
      <c r="B186" s="99"/>
      <c r="C186" s="81" t="s">
        <v>121</v>
      </c>
      <c r="D186" s="82"/>
      <c r="E186" s="87" t="s">
        <v>121</v>
      </c>
      <c r="F186" s="81"/>
      <c r="G186" s="81" t="s">
        <v>121</v>
      </c>
      <c r="H186" s="81" t="s">
        <v>121</v>
      </c>
      <c r="I186" s="100" t="s">
        <v>121</v>
      </c>
      <c r="J186" s="85"/>
      <c r="K186" s="85"/>
      <c r="L186" s="85"/>
      <c r="M186" s="86"/>
      <c r="N186" s="99"/>
      <c r="O186" s="81" t="s">
        <v>121</v>
      </c>
      <c r="P186" s="82"/>
      <c r="Q186" s="87" t="s">
        <v>121</v>
      </c>
      <c r="R186" s="81"/>
      <c r="S186" s="81" t="s">
        <v>121</v>
      </c>
      <c r="T186" s="81" t="s">
        <v>121</v>
      </c>
      <c r="U186" s="100" t="s">
        <v>121</v>
      </c>
    </row>
    <row r="187" spans="1:21" ht="13.2">
      <c r="A187" s="56" t="s">
        <v>121</v>
      </c>
      <c r="B187" s="99"/>
      <c r="C187" s="81" t="s">
        <v>121</v>
      </c>
      <c r="D187" s="82"/>
      <c r="E187" s="87" t="s">
        <v>121</v>
      </c>
      <c r="F187" s="81"/>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5</v>
      </c>
      <c r="H194" s="90">
        <v>3</v>
      </c>
      <c r="I194" s="100" t="s">
        <v>121</v>
      </c>
      <c r="J194" s="85"/>
      <c r="K194" s="85"/>
      <c r="L194" s="85"/>
      <c r="M194" s="86"/>
      <c r="N194" s="99"/>
      <c r="O194" s="230" t="s">
        <v>221</v>
      </c>
      <c r="P194" s="227"/>
      <c r="Q194" s="227"/>
      <c r="R194" s="227"/>
      <c r="S194" s="90">
        <v>5</v>
      </c>
      <c r="T194" s="90">
        <v>3</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1285</v>
      </c>
      <c r="R196" s="227"/>
      <c r="S196" s="227"/>
      <c r="T196" s="228"/>
      <c r="U196" s="4" t="s">
        <v>121</v>
      </c>
    </row>
    <row r="197" spans="1:21" ht="13.2">
      <c r="A197" s="56"/>
      <c r="B197" s="4"/>
      <c r="C197" s="249" t="s">
        <v>1286</v>
      </c>
      <c r="D197" s="235"/>
      <c r="E197" s="235"/>
      <c r="F197" s="235"/>
      <c r="G197" s="235"/>
      <c r="H197" s="236"/>
      <c r="I197" s="85" t="s">
        <v>121</v>
      </c>
      <c r="J197" s="85"/>
      <c r="K197" s="85"/>
      <c r="L197" s="85"/>
      <c r="M197" s="86"/>
      <c r="N197" s="107"/>
      <c r="O197" s="110" t="s">
        <v>226</v>
      </c>
      <c r="P197" s="111"/>
      <c r="Q197" s="231" t="s">
        <v>1287</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1287</v>
      </c>
      <c r="F199" s="227"/>
      <c r="G199" s="227"/>
      <c r="H199" s="228"/>
      <c r="I199" s="85" t="s">
        <v>121</v>
      </c>
      <c r="J199" s="85"/>
      <c r="K199" s="85"/>
      <c r="L199" s="85"/>
      <c r="M199" s="86"/>
      <c r="N199" s="107"/>
      <c r="O199" s="112" t="s">
        <v>229</v>
      </c>
      <c r="P199" s="113"/>
      <c r="Q199" s="233" t="s">
        <v>1288</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73"/>
      <c r="D201" s="235"/>
      <c r="E201" s="235"/>
      <c r="F201" s="235"/>
      <c r="G201" s="235"/>
      <c r="H201" s="236"/>
      <c r="I201" s="4" t="s">
        <v>121</v>
      </c>
      <c r="J201" s="4"/>
      <c r="K201" s="4"/>
      <c r="L201" s="4"/>
      <c r="M201" s="71"/>
      <c r="N201" s="109"/>
      <c r="O201" s="234"/>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129"/>
      <c r="C209" s="251" t="s">
        <v>130</v>
      </c>
      <c r="D209" s="227"/>
      <c r="E209" s="252" t="s">
        <v>1196</v>
      </c>
      <c r="F209" s="227"/>
      <c r="G209" s="228"/>
      <c r="H209" s="130" t="s">
        <v>1289</v>
      </c>
      <c r="I209" s="131" t="s">
        <v>121</v>
      </c>
      <c r="J209" s="132"/>
      <c r="K209" s="132"/>
      <c r="L209" s="132"/>
      <c r="M209" s="133"/>
      <c r="N209" s="48"/>
      <c r="O209" s="244" t="s">
        <v>132</v>
      </c>
      <c r="P209" s="227"/>
      <c r="Q209" s="245" t="s">
        <v>1197</v>
      </c>
      <c r="R209" s="227"/>
      <c r="S209" s="228"/>
      <c r="T209" s="134" t="s">
        <v>1290</v>
      </c>
      <c r="U209" s="135" t="s">
        <v>121</v>
      </c>
    </row>
    <row r="210" spans="1:21" ht="17.399999999999999">
      <c r="A210" s="56"/>
      <c r="B210" s="136"/>
      <c r="C210" s="253" t="s">
        <v>1</v>
      </c>
      <c r="D210" s="228"/>
      <c r="E210" s="254">
        <v>45</v>
      </c>
      <c r="F210" s="227"/>
      <c r="G210" s="227"/>
      <c r="H210" s="137"/>
      <c r="I210" s="131" t="s">
        <v>121</v>
      </c>
      <c r="J210" s="138"/>
      <c r="K210" s="138"/>
      <c r="L210" s="138"/>
      <c r="M210" s="139"/>
      <c r="N210" s="48"/>
      <c r="O210" s="246" t="s">
        <v>1</v>
      </c>
      <c r="P210" s="228"/>
      <c r="Q210" s="247">
        <v>24</v>
      </c>
      <c r="R210" s="227"/>
      <c r="S210" s="227"/>
      <c r="T210" s="140"/>
      <c r="U210" s="135"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B213" s="4"/>
      <c r="C213" s="62" t="s">
        <v>147</v>
      </c>
      <c r="D213" s="63" t="s">
        <v>148</v>
      </c>
      <c r="E213" s="57"/>
      <c r="F213" s="57"/>
      <c r="G213" s="64">
        <v>6</v>
      </c>
      <c r="H213" s="65">
        <v>3</v>
      </c>
      <c r="I213" s="55" t="s">
        <v>121</v>
      </c>
      <c r="J213" s="55"/>
      <c r="K213" s="55"/>
      <c r="L213" s="55"/>
      <c r="M213" s="61"/>
      <c r="N213" s="4"/>
      <c r="O213" s="62" t="s">
        <v>149</v>
      </c>
      <c r="P213" s="63" t="s">
        <v>150</v>
      </c>
      <c r="Q213" s="57"/>
      <c r="R213" s="57"/>
      <c r="S213" s="64">
        <v>4</v>
      </c>
      <c r="T213" s="65">
        <v>5</v>
      </c>
      <c r="U213" s="55" t="s">
        <v>121</v>
      </c>
    </row>
    <row r="214" spans="1:21" ht="13.2">
      <c r="A214" s="56"/>
      <c r="B214" s="4"/>
      <c r="C214" s="62" t="s">
        <v>151</v>
      </c>
      <c r="D214" s="63" t="s">
        <v>152</v>
      </c>
      <c r="E214" s="57"/>
      <c r="F214" s="57"/>
      <c r="G214" s="64">
        <v>5</v>
      </c>
      <c r="H214" s="65">
        <v>4</v>
      </c>
      <c r="I214" s="55" t="s">
        <v>121</v>
      </c>
      <c r="J214" s="55"/>
      <c r="K214" s="55"/>
      <c r="L214" s="55"/>
      <c r="M214" s="61"/>
      <c r="N214" s="4"/>
      <c r="O214" s="62" t="s">
        <v>153</v>
      </c>
      <c r="P214" s="63" t="s">
        <v>154</v>
      </c>
      <c r="Q214" s="57"/>
      <c r="R214" s="57"/>
      <c r="S214" s="64">
        <v>3</v>
      </c>
      <c r="T214" s="65">
        <v>6</v>
      </c>
      <c r="U214" s="55" t="s">
        <v>121</v>
      </c>
    </row>
    <row r="215" spans="1:21" ht="13.2">
      <c r="A215" s="56"/>
      <c r="B215" s="4"/>
      <c r="C215" s="62" t="s">
        <v>155</v>
      </c>
      <c r="D215" s="63" t="s">
        <v>156</v>
      </c>
      <c r="E215" s="57"/>
      <c r="F215" s="57"/>
      <c r="G215" s="64">
        <v>8</v>
      </c>
      <c r="H215" s="65">
        <v>0</v>
      </c>
      <c r="I215" s="55" t="s">
        <v>121</v>
      </c>
      <c r="J215" s="55"/>
      <c r="K215" s="55"/>
      <c r="L215" s="55"/>
      <c r="M215" s="61"/>
      <c r="N215" s="4"/>
      <c r="O215" s="62" t="s">
        <v>157</v>
      </c>
      <c r="P215" s="63" t="s">
        <v>158</v>
      </c>
      <c r="Q215" s="57"/>
      <c r="R215" s="57"/>
      <c r="S215" s="64">
        <v>3</v>
      </c>
      <c r="T215" s="65">
        <v>6</v>
      </c>
      <c r="U215" s="55" t="s">
        <v>121</v>
      </c>
    </row>
    <row r="216" spans="1:21" ht="13.2">
      <c r="A216" s="56"/>
      <c r="B216" s="4"/>
      <c r="C216" s="62" t="s">
        <v>159</v>
      </c>
      <c r="D216" s="63" t="s">
        <v>160</v>
      </c>
      <c r="E216" s="57"/>
      <c r="F216" s="57"/>
      <c r="G216" s="64">
        <v>8</v>
      </c>
      <c r="H216" s="65">
        <v>0</v>
      </c>
      <c r="I216" s="55" t="s">
        <v>121</v>
      </c>
      <c r="J216" s="55"/>
      <c r="K216" s="55"/>
      <c r="L216" s="55"/>
      <c r="M216" s="61"/>
      <c r="N216" s="4"/>
      <c r="O216" s="62" t="s">
        <v>161</v>
      </c>
      <c r="P216" s="63" t="s">
        <v>162</v>
      </c>
      <c r="Q216" s="57"/>
      <c r="R216" s="57"/>
      <c r="S216" s="64">
        <v>8</v>
      </c>
      <c r="T216" s="65">
        <v>0</v>
      </c>
      <c r="U216" s="55" t="s">
        <v>121</v>
      </c>
    </row>
    <row r="217" spans="1:21" ht="13.2">
      <c r="A217" s="56"/>
      <c r="B217" s="4"/>
      <c r="C217" s="66"/>
      <c r="D217" s="67" t="s">
        <v>163</v>
      </c>
      <c r="E217" s="68"/>
      <c r="F217" s="68"/>
      <c r="G217" s="69">
        <v>27</v>
      </c>
      <c r="H217" s="70">
        <v>7</v>
      </c>
      <c r="I217" s="55" t="s">
        <v>121</v>
      </c>
      <c r="J217" s="55"/>
      <c r="K217" s="55"/>
      <c r="L217" s="55"/>
      <c r="M217" s="61"/>
      <c r="N217" s="4"/>
      <c r="O217" s="66"/>
      <c r="P217" s="67" t="s">
        <v>163</v>
      </c>
      <c r="Q217" s="68"/>
      <c r="R217" s="68"/>
      <c r="S217" s="69">
        <v>18</v>
      </c>
      <c r="T217" s="70">
        <v>17</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80"/>
      <c r="C222" s="81">
        <v>1</v>
      </c>
      <c r="D222" s="82" t="s">
        <v>1291</v>
      </c>
      <c r="E222" s="83">
        <v>64.400000000000006</v>
      </c>
      <c r="F222" s="81" t="s">
        <v>1289</v>
      </c>
      <c r="G222" s="81">
        <v>5</v>
      </c>
      <c r="H222" s="81" t="s">
        <v>121</v>
      </c>
      <c r="I222" s="84" t="s">
        <v>121</v>
      </c>
      <c r="J222" s="85"/>
      <c r="K222" s="85"/>
      <c r="L222" s="85"/>
      <c r="M222" s="86"/>
      <c r="N222" s="80"/>
      <c r="O222" s="81">
        <v>1</v>
      </c>
      <c r="P222" s="82" t="s">
        <v>1292</v>
      </c>
      <c r="Q222" s="83">
        <v>47.15</v>
      </c>
      <c r="R222" s="81" t="s">
        <v>1290</v>
      </c>
      <c r="S222" s="81" t="s">
        <v>121</v>
      </c>
      <c r="T222" s="81">
        <v>5</v>
      </c>
      <c r="U222" s="84" t="s">
        <v>121</v>
      </c>
    </row>
    <row r="223" spans="1:21" ht="13.2">
      <c r="A223" s="56" t="s">
        <v>147</v>
      </c>
      <c r="B223" s="80"/>
      <c r="C223" s="81">
        <v>2</v>
      </c>
      <c r="D223" s="82" t="s">
        <v>1293</v>
      </c>
      <c r="E223" s="87">
        <v>60.15</v>
      </c>
      <c r="F223" s="81" t="s">
        <v>1290</v>
      </c>
      <c r="G223" s="81" t="s">
        <v>121</v>
      </c>
      <c r="H223" s="81">
        <v>3</v>
      </c>
      <c r="I223" s="84" t="s">
        <v>121</v>
      </c>
      <c r="J223" s="85"/>
      <c r="K223" s="85"/>
      <c r="L223" s="85"/>
      <c r="M223" s="86"/>
      <c r="N223" s="80"/>
      <c r="O223" s="81">
        <v>2</v>
      </c>
      <c r="P223" s="82" t="s">
        <v>1294</v>
      </c>
      <c r="Q223" s="87">
        <v>42.15</v>
      </c>
      <c r="R223" s="81" t="s">
        <v>1289</v>
      </c>
      <c r="S223" s="81">
        <v>3</v>
      </c>
      <c r="T223" s="81" t="s">
        <v>121</v>
      </c>
      <c r="U223" s="84" t="s">
        <v>121</v>
      </c>
    </row>
    <row r="224" spans="1:21" ht="13.2">
      <c r="A224" s="56" t="s">
        <v>147</v>
      </c>
      <c r="B224" s="80"/>
      <c r="C224" s="81">
        <v>3</v>
      </c>
      <c r="D224" s="82" t="s">
        <v>1295</v>
      </c>
      <c r="E224" s="87">
        <v>48.55</v>
      </c>
      <c r="F224" s="81" t="s">
        <v>1289</v>
      </c>
      <c r="G224" s="81">
        <v>1</v>
      </c>
      <c r="H224" s="81" t="s">
        <v>121</v>
      </c>
      <c r="I224" s="84" t="s">
        <v>121</v>
      </c>
      <c r="J224" s="85"/>
      <c r="K224" s="85"/>
      <c r="L224" s="85"/>
      <c r="M224" s="86"/>
      <c r="N224" s="80"/>
      <c r="O224" s="81">
        <v>3</v>
      </c>
      <c r="P224" s="82" t="s">
        <v>1296</v>
      </c>
      <c r="Q224" s="87">
        <v>39.6</v>
      </c>
      <c r="R224" s="81" t="s">
        <v>1289</v>
      </c>
      <c r="S224" s="81">
        <v>1</v>
      </c>
      <c r="T224" s="81" t="s">
        <v>121</v>
      </c>
      <c r="U224" s="84" t="s">
        <v>121</v>
      </c>
    </row>
    <row r="225" spans="1:21" ht="13.2">
      <c r="A225" s="56" t="s">
        <v>147</v>
      </c>
      <c r="B225" s="80"/>
      <c r="C225" s="81">
        <v>4</v>
      </c>
      <c r="D225" s="82" t="s">
        <v>1297</v>
      </c>
      <c r="E225" s="87">
        <v>45.7</v>
      </c>
      <c r="F225" s="81" t="s">
        <v>1290</v>
      </c>
      <c r="G225" s="81" t="s">
        <v>121</v>
      </c>
      <c r="H225" s="81" t="s">
        <v>121</v>
      </c>
      <c r="I225" s="84" t="s">
        <v>121</v>
      </c>
      <c r="J225" s="85"/>
      <c r="K225" s="85"/>
      <c r="L225" s="85"/>
      <c r="M225" s="86"/>
      <c r="N225" s="80"/>
      <c r="O225" s="81">
        <v>4</v>
      </c>
      <c r="P225" s="82" t="s">
        <v>1298</v>
      </c>
      <c r="Q225" s="87">
        <v>39.25</v>
      </c>
      <c r="R225" s="81" t="s">
        <v>1289</v>
      </c>
      <c r="S225" s="81" t="s">
        <v>121</v>
      </c>
      <c r="T225" s="81" t="s">
        <v>121</v>
      </c>
      <c r="U225" s="84" t="s">
        <v>121</v>
      </c>
    </row>
    <row r="226" spans="1:21" ht="13.2">
      <c r="A226" s="56" t="s">
        <v>147</v>
      </c>
      <c r="B226" s="80"/>
      <c r="C226" s="81">
        <v>5</v>
      </c>
      <c r="D226" s="82" t="s">
        <v>1299</v>
      </c>
      <c r="E226" s="87">
        <v>37.6</v>
      </c>
      <c r="F226" s="81" t="s">
        <v>1290</v>
      </c>
      <c r="G226" s="81" t="s">
        <v>121</v>
      </c>
      <c r="H226" s="81" t="s">
        <v>121</v>
      </c>
      <c r="I226" s="84" t="s">
        <v>121</v>
      </c>
      <c r="J226" s="85"/>
      <c r="K226" s="85"/>
      <c r="L226" s="85"/>
      <c r="M226" s="86"/>
      <c r="N226" s="80"/>
      <c r="O226" s="81">
        <v>5</v>
      </c>
      <c r="P226" s="82" t="s">
        <v>1300</v>
      </c>
      <c r="Q226" s="87">
        <v>36.9</v>
      </c>
      <c r="R226" s="81" t="s">
        <v>1289</v>
      </c>
      <c r="S226" s="81" t="s">
        <v>121</v>
      </c>
      <c r="T226" s="81" t="s">
        <v>121</v>
      </c>
      <c r="U226" s="84" t="s">
        <v>121</v>
      </c>
    </row>
    <row r="227" spans="1:21" ht="13.2">
      <c r="A227" s="56" t="s">
        <v>147</v>
      </c>
      <c r="B227" s="80"/>
      <c r="C227" s="81">
        <v>6</v>
      </c>
      <c r="D227" s="82" t="s">
        <v>1301</v>
      </c>
      <c r="E227" s="87">
        <v>32.35</v>
      </c>
      <c r="F227" s="81" t="s">
        <v>1290</v>
      </c>
      <c r="G227" s="81" t="s">
        <v>121</v>
      </c>
      <c r="H227" s="81" t="s">
        <v>121</v>
      </c>
      <c r="I227" s="84" t="s">
        <v>121</v>
      </c>
      <c r="J227" s="85"/>
      <c r="K227" s="85"/>
      <c r="L227" s="85"/>
      <c r="M227" s="86"/>
      <c r="N227" s="80"/>
      <c r="O227" s="81">
        <v>6</v>
      </c>
      <c r="P227" s="82" t="s">
        <v>1302</v>
      </c>
      <c r="Q227" s="87">
        <v>32.700000000000003</v>
      </c>
      <c r="R227" s="81" t="s">
        <v>1290</v>
      </c>
      <c r="S227" s="81" t="s">
        <v>121</v>
      </c>
      <c r="T227" s="81" t="s">
        <v>121</v>
      </c>
      <c r="U227" s="84" t="s">
        <v>121</v>
      </c>
    </row>
    <row r="228" spans="1:21" ht="13.2">
      <c r="A228" s="56" t="s">
        <v>147</v>
      </c>
      <c r="B228" s="80"/>
      <c r="C228" s="81">
        <v>7</v>
      </c>
      <c r="D228" s="82" t="s">
        <v>1303</v>
      </c>
      <c r="E228" s="87">
        <v>29.5</v>
      </c>
      <c r="F228" s="81" t="s">
        <v>1290</v>
      </c>
      <c r="G228" s="81" t="s">
        <v>121</v>
      </c>
      <c r="H228" s="81" t="s">
        <v>121</v>
      </c>
      <c r="I228" s="84" t="s">
        <v>121</v>
      </c>
      <c r="J228" s="85"/>
      <c r="K228" s="85"/>
      <c r="L228" s="85"/>
      <c r="M228" s="86"/>
      <c r="N228" s="80"/>
      <c r="O228" s="81">
        <v>7</v>
      </c>
      <c r="P228" s="82" t="s">
        <v>1304</v>
      </c>
      <c r="Q228" s="87">
        <v>25.2</v>
      </c>
      <c r="R228" s="81" t="s">
        <v>1289</v>
      </c>
      <c r="S228" s="81" t="s">
        <v>121</v>
      </c>
      <c r="T228" s="81" t="s">
        <v>121</v>
      </c>
      <c r="U228" s="84" t="s">
        <v>121</v>
      </c>
    </row>
    <row r="229" spans="1:21" ht="13.2">
      <c r="A229" s="56" t="s">
        <v>147</v>
      </c>
      <c r="B229" s="80"/>
      <c r="C229" s="81">
        <v>8</v>
      </c>
      <c r="D229" s="88" t="s">
        <v>1305</v>
      </c>
      <c r="E229" s="87">
        <v>17.899999999999999</v>
      </c>
      <c r="F229" s="81" t="s">
        <v>1289</v>
      </c>
      <c r="G229" s="81" t="s">
        <v>121</v>
      </c>
      <c r="H229" s="81" t="s">
        <v>121</v>
      </c>
      <c r="I229" s="84" t="s">
        <v>121</v>
      </c>
      <c r="J229" s="85"/>
      <c r="K229" s="85"/>
      <c r="L229" s="85"/>
      <c r="M229" s="86"/>
      <c r="N229" s="80"/>
      <c r="O229" s="81">
        <v>8</v>
      </c>
      <c r="P229" s="82" t="s">
        <v>1306</v>
      </c>
      <c r="Q229" s="87">
        <v>21.5</v>
      </c>
      <c r="R229" s="81" t="s">
        <v>1289</v>
      </c>
      <c r="S229" s="81" t="s">
        <v>121</v>
      </c>
      <c r="T229" s="81" t="s">
        <v>121</v>
      </c>
      <c r="U229" s="84" t="s">
        <v>121</v>
      </c>
    </row>
    <row r="230" spans="1:21" ht="13.2">
      <c r="A230" s="56" t="s">
        <v>147</v>
      </c>
      <c r="B230" s="80"/>
      <c r="C230" s="81">
        <v>9</v>
      </c>
      <c r="D230" s="88" t="s">
        <v>1307</v>
      </c>
      <c r="E230" s="87">
        <v>16</v>
      </c>
      <c r="F230" s="81" t="s">
        <v>1289</v>
      </c>
      <c r="G230" s="81" t="s">
        <v>121</v>
      </c>
      <c r="H230" s="81" t="s">
        <v>121</v>
      </c>
      <c r="I230" s="84" t="s">
        <v>121</v>
      </c>
      <c r="J230" s="85"/>
      <c r="K230" s="85"/>
      <c r="L230" s="85"/>
      <c r="M230" s="86"/>
      <c r="N230" s="80"/>
      <c r="O230" s="81">
        <v>9</v>
      </c>
      <c r="P230" s="82" t="s">
        <v>1308</v>
      </c>
      <c r="Q230" s="87">
        <v>19.25</v>
      </c>
      <c r="R230" s="81" t="s">
        <v>1290</v>
      </c>
      <c r="S230" s="81" t="s">
        <v>121</v>
      </c>
      <c r="T230" s="81" t="s">
        <v>121</v>
      </c>
      <c r="U230" s="84" t="s">
        <v>121</v>
      </c>
    </row>
    <row r="231" spans="1:21" ht="13.2">
      <c r="A231" s="56" t="s">
        <v>147</v>
      </c>
      <c r="B231" s="80"/>
      <c r="C231" s="81">
        <v>10</v>
      </c>
      <c r="D231" s="88" t="s">
        <v>1309</v>
      </c>
      <c r="E231" s="87">
        <v>12.25</v>
      </c>
      <c r="F231" s="81" t="s">
        <v>1290</v>
      </c>
      <c r="G231" s="81" t="s">
        <v>121</v>
      </c>
      <c r="H231" s="81" t="s">
        <v>121</v>
      </c>
      <c r="I231" s="84" t="s">
        <v>121</v>
      </c>
      <c r="J231" s="85"/>
      <c r="K231" s="85"/>
      <c r="L231" s="85"/>
      <c r="M231" s="86"/>
      <c r="N231" s="80"/>
      <c r="O231" s="81">
        <v>10</v>
      </c>
      <c r="P231" s="82" t="s">
        <v>1310</v>
      </c>
      <c r="Q231" s="87">
        <v>14.75</v>
      </c>
      <c r="R231" s="81" t="s">
        <v>1289</v>
      </c>
      <c r="S231" s="81" t="s">
        <v>121</v>
      </c>
      <c r="T231" s="81" t="s">
        <v>121</v>
      </c>
      <c r="U231" s="84" t="s">
        <v>121</v>
      </c>
    </row>
    <row r="232" spans="1:21" ht="13.2">
      <c r="A232" s="56" t="s">
        <v>147</v>
      </c>
      <c r="B232" s="80"/>
      <c r="C232" s="81">
        <v>11</v>
      </c>
      <c r="D232" s="88" t="s">
        <v>1311</v>
      </c>
      <c r="E232" s="87">
        <v>7</v>
      </c>
      <c r="F232" s="81" t="s">
        <v>1289</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6</v>
      </c>
      <c r="H247" s="90">
        <v>3</v>
      </c>
      <c r="I247" s="84" t="s">
        <v>121</v>
      </c>
      <c r="J247" s="85"/>
      <c r="K247" s="85"/>
      <c r="L247" s="85"/>
      <c r="M247" s="86"/>
      <c r="N247" s="80"/>
      <c r="O247" s="230" t="s">
        <v>185</v>
      </c>
      <c r="P247" s="227"/>
      <c r="Q247" s="227"/>
      <c r="R247" s="227"/>
      <c r="S247" s="90">
        <v>4</v>
      </c>
      <c r="T247" s="90">
        <v>5</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99"/>
      <c r="C251" s="81">
        <v>1</v>
      </c>
      <c r="D251" s="82" t="s">
        <v>1312</v>
      </c>
      <c r="E251" s="83">
        <v>81.900000000000006</v>
      </c>
      <c r="F251" s="81" t="s">
        <v>1289</v>
      </c>
      <c r="G251" s="81">
        <v>5</v>
      </c>
      <c r="H251" s="81" t="s">
        <v>121</v>
      </c>
      <c r="I251" s="100" t="s">
        <v>123</v>
      </c>
      <c r="J251" s="85"/>
      <c r="K251" s="85"/>
      <c r="L251" s="85"/>
      <c r="M251" s="86"/>
      <c r="N251" s="99"/>
      <c r="O251" s="81">
        <v>1</v>
      </c>
      <c r="P251" s="82" t="s">
        <v>1313</v>
      </c>
      <c r="Q251" s="83">
        <v>83.4</v>
      </c>
      <c r="R251" s="81" t="s">
        <v>1290</v>
      </c>
      <c r="S251" s="81" t="s">
        <v>121</v>
      </c>
      <c r="T251" s="81">
        <v>5</v>
      </c>
      <c r="U251" s="100" t="s">
        <v>121</v>
      </c>
    </row>
    <row r="252" spans="1:21" ht="13.2">
      <c r="A252" s="56" t="s">
        <v>151</v>
      </c>
      <c r="B252" s="99"/>
      <c r="C252" s="81">
        <v>2</v>
      </c>
      <c r="D252" s="82" t="s">
        <v>1314</v>
      </c>
      <c r="E252" s="87">
        <v>58.25</v>
      </c>
      <c r="F252" s="81" t="s">
        <v>1290</v>
      </c>
      <c r="G252" s="81" t="s">
        <v>121</v>
      </c>
      <c r="H252" s="81">
        <v>3</v>
      </c>
      <c r="I252" s="100" t="s">
        <v>121</v>
      </c>
      <c r="J252" s="85"/>
      <c r="K252" s="85"/>
      <c r="L252" s="85"/>
      <c r="M252" s="86"/>
      <c r="N252" s="99"/>
      <c r="O252" s="81">
        <v>2</v>
      </c>
      <c r="P252" s="82" t="s">
        <v>1315</v>
      </c>
      <c r="Q252" s="87">
        <v>63.65</v>
      </c>
      <c r="R252" s="81" t="s">
        <v>1289</v>
      </c>
      <c r="S252" s="81">
        <v>3</v>
      </c>
      <c r="T252" s="81" t="s">
        <v>121</v>
      </c>
      <c r="U252" s="100" t="s">
        <v>121</v>
      </c>
    </row>
    <row r="253" spans="1:21" ht="13.2">
      <c r="A253" s="56" t="s">
        <v>151</v>
      </c>
      <c r="B253" s="99"/>
      <c r="C253" s="81">
        <v>3</v>
      </c>
      <c r="D253" s="82" t="s">
        <v>1316</v>
      </c>
      <c r="E253" s="87">
        <v>56.75</v>
      </c>
      <c r="F253" s="81" t="s">
        <v>1290</v>
      </c>
      <c r="G253" s="81" t="s">
        <v>121</v>
      </c>
      <c r="H253" s="81">
        <v>1</v>
      </c>
      <c r="I253" s="100" t="s">
        <v>121</v>
      </c>
      <c r="J253" s="85"/>
      <c r="K253" s="85"/>
      <c r="L253" s="85"/>
      <c r="M253" s="86"/>
      <c r="N253" s="99"/>
      <c r="O253" s="81">
        <v>3</v>
      </c>
      <c r="P253" s="82" t="s">
        <v>1317</v>
      </c>
      <c r="Q253" s="87">
        <v>59.85</v>
      </c>
      <c r="R253" s="81" t="s">
        <v>1290</v>
      </c>
      <c r="S253" s="81" t="s">
        <v>121</v>
      </c>
      <c r="T253" s="81">
        <v>1</v>
      </c>
      <c r="U253" s="100" t="s">
        <v>121</v>
      </c>
    </row>
    <row r="254" spans="1:21" ht="13.2">
      <c r="A254" s="56" t="s">
        <v>121</v>
      </c>
      <c r="B254" s="99"/>
      <c r="C254" s="81" t="s">
        <v>121</v>
      </c>
      <c r="D254" s="82"/>
      <c r="E254" s="87" t="s">
        <v>121</v>
      </c>
      <c r="F254" s="81"/>
      <c r="G254" s="81" t="s">
        <v>121</v>
      </c>
      <c r="H254" s="81" t="s">
        <v>121</v>
      </c>
      <c r="I254" s="100" t="s">
        <v>121</v>
      </c>
      <c r="J254" s="85"/>
      <c r="K254" s="85"/>
      <c r="L254" s="85"/>
      <c r="M254" s="86"/>
      <c r="N254" s="99"/>
      <c r="O254" s="81">
        <v>4</v>
      </c>
      <c r="P254" s="82" t="s">
        <v>1318</v>
      </c>
      <c r="Q254" s="87">
        <v>55.85</v>
      </c>
      <c r="R254" s="81" t="s">
        <v>1289</v>
      </c>
      <c r="S254" s="81" t="s">
        <v>121</v>
      </c>
      <c r="T254" s="81" t="s">
        <v>121</v>
      </c>
      <c r="U254" s="100" t="s">
        <v>121</v>
      </c>
    </row>
    <row r="255" spans="1:21" ht="13.2">
      <c r="A255" s="56" t="s">
        <v>121</v>
      </c>
      <c r="B255" s="99"/>
      <c r="C255" s="81" t="s">
        <v>121</v>
      </c>
      <c r="D255" s="82"/>
      <c r="E255" s="87" t="s">
        <v>121</v>
      </c>
      <c r="F255" s="81"/>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121</v>
      </c>
      <c r="B256" s="99"/>
      <c r="C256" s="81" t="s">
        <v>121</v>
      </c>
      <c r="D256" s="82"/>
      <c r="E256" s="87" t="s">
        <v>121</v>
      </c>
      <c r="F256" s="81"/>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5</v>
      </c>
      <c r="H266" s="90">
        <v>4</v>
      </c>
      <c r="I266" s="100" t="s">
        <v>121</v>
      </c>
      <c r="J266" s="85"/>
      <c r="K266" s="85"/>
      <c r="L266" s="85"/>
      <c r="M266" s="86"/>
      <c r="N266" s="99"/>
      <c r="O266" s="230" t="s">
        <v>200</v>
      </c>
      <c r="P266" s="227"/>
      <c r="Q266" s="227"/>
      <c r="R266" s="228"/>
      <c r="S266" s="90">
        <v>3</v>
      </c>
      <c r="T266" s="90">
        <v>6</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80"/>
      <c r="C270" s="81">
        <v>1</v>
      </c>
      <c r="D270" s="82" t="s">
        <v>1319</v>
      </c>
      <c r="E270" s="83">
        <v>84.55</v>
      </c>
      <c r="F270" s="81" t="s">
        <v>1289</v>
      </c>
      <c r="G270" s="81">
        <v>5</v>
      </c>
      <c r="H270" s="81" t="s">
        <v>121</v>
      </c>
      <c r="I270" s="84" t="s">
        <v>121</v>
      </c>
      <c r="J270" s="85"/>
      <c r="K270" s="85"/>
      <c r="L270" s="85"/>
      <c r="M270" s="86"/>
      <c r="N270" s="80"/>
      <c r="O270" s="81">
        <v>1</v>
      </c>
      <c r="P270" s="82" t="s">
        <v>1320</v>
      </c>
      <c r="Q270" s="83">
        <v>127.65</v>
      </c>
      <c r="R270" s="81" t="s">
        <v>1290</v>
      </c>
      <c r="S270" s="81" t="s">
        <v>121</v>
      </c>
      <c r="T270" s="81">
        <v>5</v>
      </c>
      <c r="U270" s="84" t="s">
        <v>123</v>
      </c>
    </row>
    <row r="271" spans="1:21" ht="13.2">
      <c r="A271" s="56" t="s">
        <v>155</v>
      </c>
      <c r="B271" s="80"/>
      <c r="C271" s="81">
        <v>2</v>
      </c>
      <c r="D271" s="82" t="s">
        <v>1321</v>
      </c>
      <c r="E271" s="87">
        <v>77</v>
      </c>
      <c r="F271" s="81" t="s">
        <v>1289</v>
      </c>
      <c r="G271" s="81">
        <v>3</v>
      </c>
      <c r="H271" s="81" t="s">
        <v>121</v>
      </c>
      <c r="I271" s="84" t="s">
        <v>123</v>
      </c>
      <c r="J271" s="85"/>
      <c r="K271" s="85"/>
      <c r="L271" s="85"/>
      <c r="M271" s="86"/>
      <c r="N271" s="80"/>
      <c r="O271" s="81">
        <v>2</v>
      </c>
      <c r="P271" s="82" t="s">
        <v>1322</v>
      </c>
      <c r="Q271" s="87">
        <v>81</v>
      </c>
      <c r="R271" s="81" t="s">
        <v>1289</v>
      </c>
      <c r="S271" s="81">
        <v>3</v>
      </c>
      <c r="T271" s="81" t="s">
        <v>121</v>
      </c>
      <c r="U271" s="84" t="s">
        <v>123</v>
      </c>
    </row>
    <row r="272" spans="1:21" ht="13.2">
      <c r="A272" s="56" t="s">
        <v>121</v>
      </c>
      <c r="B272" s="80"/>
      <c r="C272" s="81" t="s">
        <v>121</v>
      </c>
      <c r="D272" s="82"/>
      <c r="E272" s="87" t="s">
        <v>121</v>
      </c>
      <c r="F272" s="81"/>
      <c r="G272" s="81" t="s">
        <v>121</v>
      </c>
      <c r="H272" s="81" t="s">
        <v>121</v>
      </c>
      <c r="I272" s="84" t="s">
        <v>121</v>
      </c>
      <c r="J272" s="85"/>
      <c r="K272" s="85"/>
      <c r="L272" s="85"/>
      <c r="M272" s="86"/>
      <c r="N272" s="80"/>
      <c r="O272" s="81">
        <v>3</v>
      </c>
      <c r="P272" s="82" t="s">
        <v>1323</v>
      </c>
      <c r="Q272" s="87">
        <v>78.5</v>
      </c>
      <c r="R272" s="81" t="s">
        <v>1290</v>
      </c>
      <c r="S272" s="81" t="s">
        <v>121</v>
      </c>
      <c r="T272" s="81">
        <v>1</v>
      </c>
      <c r="U272" s="84" t="s">
        <v>121</v>
      </c>
    </row>
    <row r="273" spans="1:21" ht="13.2">
      <c r="A273" s="56" t="s">
        <v>121</v>
      </c>
      <c r="B273" s="80"/>
      <c r="C273" s="81" t="s">
        <v>121</v>
      </c>
      <c r="D273" s="82"/>
      <c r="E273" s="87" t="s">
        <v>121</v>
      </c>
      <c r="F273" s="81"/>
      <c r="G273" s="81" t="s">
        <v>121</v>
      </c>
      <c r="H273" s="81" t="s">
        <v>121</v>
      </c>
      <c r="I273" s="84" t="s">
        <v>121</v>
      </c>
      <c r="J273" s="85"/>
      <c r="K273" s="85"/>
      <c r="L273" s="85"/>
      <c r="M273" s="86"/>
      <c r="N273" s="80"/>
      <c r="O273" s="81">
        <v>4</v>
      </c>
      <c r="P273" s="82" t="s">
        <v>1324</v>
      </c>
      <c r="Q273" s="87">
        <v>38.1</v>
      </c>
      <c r="R273" s="81" t="s">
        <v>1289</v>
      </c>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8</v>
      </c>
      <c r="H280" s="90">
        <v>0</v>
      </c>
      <c r="I280" s="84" t="s">
        <v>121</v>
      </c>
      <c r="J280" s="85"/>
      <c r="K280" s="85"/>
      <c r="L280" s="85"/>
      <c r="M280" s="86"/>
      <c r="N280" s="80"/>
      <c r="O280" s="230" t="s">
        <v>211</v>
      </c>
      <c r="P280" s="227"/>
      <c r="Q280" s="227"/>
      <c r="R280" s="227"/>
      <c r="S280" s="90">
        <v>3</v>
      </c>
      <c r="T280" s="90">
        <v>6</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99"/>
      <c r="C284" s="81">
        <v>1</v>
      </c>
      <c r="D284" s="82" t="s">
        <v>1325</v>
      </c>
      <c r="E284" s="83">
        <v>137.5</v>
      </c>
      <c r="F284" s="81" t="s">
        <v>1289</v>
      </c>
      <c r="G284" s="81">
        <v>5</v>
      </c>
      <c r="H284" s="81" t="s">
        <v>121</v>
      </c>
      <c r="I284" s="100" t="s">
        <v>123</v>
      </c>
      <c r="J284" s="85"/>
      <c r="K284" s="85"/>
      <c r="L284" s="85"/>
      <c r="M284" s="86"/>
      <c r="N284" s="99"/>
      <c r="O284" s="81">
        <v>1</v>
      </c>
      <c r="P284" s="82" t="s">
        <v>1326</v>
      </c>
      <c r="Q284" s="83">
        <v>135.55000000000001</v>
      </c>
      <c r="R284" s="81" t="s">
        <v>1289</v>
      </c>
      <c r="S284" s="81">
        <v>5</v>
      </c>
      <c r="T284" s="81" t="s">
        <v>121</v>
      </c>
      <c r="U284" s="100" t="s">
        <v>123</v>
      </c>
    </row>
    <row r="285" spans="1:21" ht="13.2">
      <c r="A285" s="56" t="s">
        <v>159</v>
      </c>
      <c r="B285" s="99"/>
      <c r="C285" s="81">
        <v>2</v>
      </c>
      <c r="D285" s="82" t="s">
        <v>1327</v>
      </c>
      <c r="E285" s="87">
        <v>135.4</v>
      </c>
      <c r="F285" s="81" t="s">
        <v>1289</v>
      </c>
      <c r="G285" s="81">
        <v>3</v>
      </c>
      <c r="H285" s="81" t="s">
        <v>121</v>
      </c>
      <c r="I285" s="100" t="s">
        <v>123</v>
      </c>
      <c r="J285" s="85"/>
      <c r="K285" s="85"/>
      <c r="L285" s="85"/>
      <c r="M285" s="86"/>
      <c r="N285" s="99"/>
      <c r="O285" s="81">
        <v>2</v>
      </c>
      <c r="P285" s="82" t="s">
        <v>1328</v>
      </c>
      <c r="Q285" s="87">
        <v>131.75</v>
      </c>
      <c r="R285" s="81" t="s">
        <v>1289</v>
      </c>
      <c r="S285" s="81">
        <v>3</v>
      </c>
      <c r="T285" s="81" t="s">
        <v>121</v>
      </c>
      <c r="U285" s="100" t="s">
        <v>121</v>
      </c>
    </row>
    <row r="286" spans="1:21" ht="13.2">
      <c r="A286" s="56" t="s">
        <v>121</v>
      </c>
      <c r="B286" s="99"/>
      <c r="C286" s="81" t="s">
        <v>121</v>
      </c>
      <c r="D286" s="82"/>
      <c r="E286" s="87" t="s">
        <v>121</v>
      </c>
      <c r="F286" s="81"/>
      <c r="G286" s="81" t="s">
        <v>121</v>
      </c>
      <c r="H286" s="81" t="s">
        <v>121</v>
      </c>
      <c r="I286" s="100" t="s">
        <v>121</v>
      </c>
      <c r="J286" s="85"/>
      <c r="K286" s="85"/>
      <c r="L286" s="85"/>
      <c r="M286" s="86"/>
      <c r="N286" s="99"/>
      <c r="O286" s="81" t="s">
        <v>121</v>
      </c>
      <c r="P286" s="82"/>
      <c r="Q286" s="87" t="s">
        <v>121</v>
      </c>
      <c r="R286" s="81"/>
      <c r="S286" s="81" t="s">
        <v>121</v>
      </c>
      <c r="T286" s="81" t="s">
        <v>121</v>
      </c>
      <c r="U286" s="100" t="s">
        <v>121</v>
      </c>
    </row>
    <row r="287" spans="1:21" ht="13.2">
      <c r="A287" s="56" t="s">
        <v>121</v>
      </c>
      <c r="B287" s="99"/>
      <c r="C287" s="81" t="s">
        <v>121</v>
      </c>
      <c r="D287" s="82"/>
      <c r="E287" s="87" t="s">
        <v>121</v>
      </c>
      <c r="F287" s="81"/>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8</v>
      </c>
      <c r="H294" s="90">
        <v>0</v>
      </c>
      <c r="I294" s="100" t="s">
        <v>121</v>
      </c>
      <c r="J294" s="85"/>
      <c r="K294" s="85"/>
      <c r="L294" s="85"/>
      <c r="M294" s="86"/>
      <c r="N294" s="99"/>
      <c r="O294" s="230" t="s">
        <v>221</v>
      </c>
      <c r="P294" s="227"/>
      <c r="Q294" s="227"/>
      <c r="R294" s="227"/>
      <c r="S294" s="90">
        <v>8</v>
      </c>
      <c r="T294" s="90">
        <v>0</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1329</v>
      </c>
      <c r="R296" s="227"/>
      <c r="S296" s="227"/>
      <c r="T296" s="228"/>
      <c r="U296" s="4" t="s">
        <v>121</v>
      </c>
    </row>
    <row r="297" spans="1:21" ht="13.2">
      <c r="A297" s="56"/>
      <c r="B297" s="4"/>
      <c r="C297" s="249" t="s">
        <v>1330</v>
      </c>
      <c r="D297" s="235"/>
      <c r="E297" s="235"/>
      <c r="F297" s="235"/>
      <c r="G297" s="235"/>
      <c r="H297" s="236"/>
      <c r="I297" s="85" t="s">
        <v>121</v>
      </c>
      <c r="J297" s="85"/>
      <c r="K297" s="85"/>
      <c r="L297" s="85"/>
      <c r="M297" s="86"/>
      <c r="N297" s="107"/>
      <c r="O297" s="110" t="s">
        <v>226</v>
      </c>
      <c r="P297" s="111"/>
      <c r="Q297" s="231" t="s">
        <v>1331</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1331</v>
      </c>
      <c r="F299" s="227"/>
      <c r="G299" s="227"/>
      <c r="H299" s="228"/>
      <c r="I299" s="85" t="s">
        <v>121</v>
      </c>
      <c r="J299" s="85"/>
      <c r="K299" s="85"/>
      <c r="L299" s="85"/>
      <c r="M299" s="86"/>
      <c r="N299" s="107"/>
      <c r="O299" s="112" t="s">
        <v>229</v>
      </c>
      <c r="P299" s="113"/>
      <c r="Q299" s="233" t="s">
        <v>1332</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73" t="s">
        <v>1333</v>
      </c>
      <c r="D301" s="235"/>
      <c r="E301" s="235"/>
      <c r="F301" s="235"/>
      <c r="G301" s="235"/>
      <c r="H301" s="236"/>
      <c r="I301" s="4" t="s">
        <v>121</v>
      </c>
      <c r="J301" s="4"/>
      <c r="K301" s="4"/>
      <c r="L301" s="4"/>
      <c r="M301" s="71"/>
      <c r="N301" s="109"/>
      <c r="O301" s="234"/>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7"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rgb="FF00AAAA"/>
    <outlinePr summaryBelow="0" summaryRight="0"/>
  </sheetPr>
  <dimension ref="A1:U309"/>
  <sheetViews>
    <sheetView workbookViewId="0">
      <pane ySplit="5" topLeftCell="A6" activePane="bottomLeft" state="frozen"/>
      <selection pane="bottomLeft" activeCell="I17" sqref="I17:J17"/>
    </sheetView>
  </sheetViews>
  <sheetFormatPr defaultColWidth="14.44140625" defaultRowHeight="15.75" customHeight="1"/>
  <cols>
    <col min="1" max="1" width="3.44140625" customWidth="1"/>
    <col min="2" max="2" width="1.6640625" customWidth="1"/>
    <col min="3" max="3" width="4" customWidth="1"/>
    <col min="4" max="4" width="19" customWidth="1"/>
    <col min="5" max="5" width="7.109375" customWidth="1"/>
    <col min="6" max="6" width="6" customWidth="1"/>
    <col min="7" max="8" width="4.33203125" customWidth="1"/>
    <col min="9" max="9" width="3.33203125" customWidth="1"/>
    <col min="10" max="14" width="1.6640625" customWidth="1"/>
    <col min="15" max="15" width="4" customWidth="1"/>
    <col min="16" max="16" width="19" customWidth="1"/>
    <col min="17" max="17" width="7.109375" customWidth="1"/>
    <col min="18" max="18" width="6" customWidth="1"/>
    <col min="19" max="20" width="4.33203125" customWidth="1"/>
    <col min="21" max="21" width="4.6640625" customWidth="1"/>
  </cols>
  <sheetData>
    <row r="1" spans="1:21" ht="31.8" customHeight="1">
      <c r="A1" s="25" t="s">
        <v>121</v>
      </c>
      <c r="B1" s="7"/>
      <c r="C1" s="8"/>
      <c r="D1" s="26">
        <v>44383</v>
      </c>
      <c r="E1" s="9"/>
      <c r="F1" s="27" t="s">
        <v>128</v>
      </c>
      <c r="G1" s="10"/>
      <c r="H1" s="9"/>
      <c r="I1" s="11"/>
      <c r="J1" s="11"/>
      <c r="K1" s="11"/>
      <c r="L1" s="11"/>
      <c r="M1" s="11"/>
      <c r="N1" s="11"/>
      <c r="O1" s="11"/>
      <c r="P1" s="11"/>
      <c r="Q1" s="28" t="s">
        <v>0</v>
      </c>
      <c r="R1" s="255">
        <v>8</v>
      </c>
      <c r="S1" s="227"/>
      <c r="T1" s="227"/>
      <c r="U1" s="12"/>
    </row>
    <row r="2" spans="1:21" ht="15.75" customHeight="1">
      <c r="B2" s="256" t="s">
        <v>129</v>
      </c>
      <c r="C2" s="226"/>
      <c r="D2" s="13" t="s">
        <v>130</v>
      </c>
      <c r="E2" s="10"/>
      <c r="F2" s="225" t="s">
        <v>1</v>
      </c>
      <c r="G2" s="226"/>
      <c r="H2" s="226"/>
      <c r="I2" s="257" t="s">
        <v>121</v>
      </c>
      <c r="J2" s="226"/>
      <c r="K2" s="226"/>
      <c r="L2" s="9"/>
      <c r="M2" s="9"/>
      <c r="N2" s="9"/>
      <c r="O2" s="9"/>
      <c r="P2" s="13" t="s">
        <v>132</v>
      </c>
      <c r="Q2" s="10"/>
      <c r="R2" s="225" t="s">
        <v>1</v>
      </c>
      <c r="S2" s="226"/>
      <c r="T2" s="226"/>
      <c r="U2" s="10" t="s">
        <v>121</v>
      </c>
    </row>
    <row r="3" spans="1:21" ht="15.75" customHeight="1">
      <c r="A3" s="29">
        <v>1</v>
      </c>
      <c r="B3" s="30">
        <v>1</v>
      </c>
      <c r="C3" s="9"/>
      <c r="D3" s="258" t="s">
        <v>1334</v>
      </c>
      <c r="E3" s="228"/>
      <c r="F3" s="259">
        <v>23</v>
      </c>
      <c r="G3" s="227"/>
      <c r="H3" s="228"/>
      <c r="I3" s="31">
        <v>0</v>
      </c>
      <c r="J3" s="9"/>
      <c r="K3" s="32"/>
      <c r="L3" s="32" t="s">
        <v>3</v>
      </c>
      <c r="M3" s="9"/>
      <c r="N3" s="9"/>
      <c r="O3" s="9"/>
      <c r="P3" s="260" t="s">
        <v>1335</v>
      </c>
      <c r="Q3" s="227"/>
      <c r="R3" s="261">
        <v>30</v>
      </c>
      <c r="S3" s="227"/>
      <c r="T3" s="228"/>
      <c r="U3" s="31">
        <v>0</v>
      </c>
    </row>
    <row r="4" spans="1:21" ht="15.75" customHeight="1">
      <c r="A4" s="29">
        <v>2</v>
      </c>
      <c r="B4" s="30">
        <v>2</v>
      </c>
      <c r="C4" s="16"/>
      <c r="D4" s="258" t="s">
        <v>1336</v>
      </c>
      <c r="E4" s="228"/>
      <c r="F4" s="259">
        <v>45</v>
      </c>
      <c r="G4" s="227"/>
      <c r="H4" s="227"/>
      <c r="I4" s="31">
        <v>0</v>
      </c>
      <c r="J4" s="14"/>
      <c r="K4" s="32"/>
      <c r="L4" s="32" t="s">
        <v>3</v>
      </c>
      <c r="M4" s="14"/>
      <c r="N4" s="14"/>
      <c r="O4" s="15"/>
      <c r="P4" s="260" t="s">
        <v>1337</v>
      </c>
      <c r="Q4" s="227"/>
      <c r="R4" s="261">
        <v>15</v>
      </c>
      <c r="S4" s="227"/>
      <c r="T4" s="227"/>
      <c r="U4" s="31">
        <v>0</v>
      </c>
    </row>
    <row r="5" spans="1:21" ht="15.75" customHeight="1">
      <c r="A5" s="29">
        <v>3</v>
      </c>
      <c r="B5" s="30">
        <v>3</v>
      </c>
      <c r="C5" s="16"/>
      <c r="D5" s="264" t="s">
        <v>1338</v>
      </c>
      <c r="E5" s="236"/>
      <c r="F5" s="259">
        <v>34</v>
      </c>
      <c r="G5" s="227"/>
      <c r="H5" s="228"/>
      <c r="I5" s="31">
        <v>0</v>
      </c>
      <c r="J5" s="14"/>
      <c r="K5" s="32"/>
      <c r="L5" s="32" t="s">
        <v>3</v>
      </c>
      <c r="M5" s="14"/>
      <c r="N5" s="14"/>
      <c r="O5" s="15"/>
      <c r="P5" s="262" t="s">
        <v>1339</v>
      </c>
      <c r="Q5" s="235"/>
      <c r="R5" s="263">
        <v>34</v>
      </c>
      <c r="S5" s="235"/>
      <c r="T5" s="236"/>
      <c r="U5" s="31">
        <v>0</v>
      </c>
    </row>
    <row r="6" spans="1:21" ht="15.75" customHeight="1">
      <c r="B6" s="33"/>
      <c r="C6" s="8"/>
      <c r="D6" s="34" t="s">
        <v>139</v>
      </c>
      <c r="E6" s="35">
        <v>1</v>
      </c>
      <c r="F6" s="10"/>
      <c r="G6" s="10"/>
      <c r="H6" s="10"/>
      <c r="I6" s="36"/>
      <c r="J6" s="36"/>
      <c r="K6" s="36"/>
      <c r="L6" s="36"/>
      <c r="M6" s="36"/>
      <c r="N6" s="36"/>
      <c r="O6" s="36"/>
      <c r="P6" s="34" t="s">
        <v>140</v>
      </c>
      <c r="Q6" s="267">
        <v>44383</v>
      </c>
      <c r="R6" s="226"/>
      <c r="S6" s="226"/>
      <c r="T6" s="226"/>
      <c r="U6" s="37"/>
    </row>
    <row r="7" spans="1:21" ht="15.75" customHeight="1">
      <c r="B7" s="38"/>
      <c r="C7" s="7"/>
      <c r="D7" s="39" t="s">
        <v>141</v>
      </c>
      <c r="E7" s="11"/>
      <c r="F7" s="9"/>
      <c r="G7" s="9"/>
      <c r="H7" s="9"/>
      <c r="I7" s="9"/>
      <c r="J7" s="9"/>
      <c r="K7" s="9"/>
      <c r="L7" s="9"/>
      <c r="M7" s="9"/>
      <c r="N7" s="9"/>
      <c r="O7" s="9"/>
      <c r="P7" s="40" t="s">
        <v>2</v>
      </c>
      <c r="Q7" s="268" t="s">
        <v>142</v>
      </c>
      <c r="R7" s="226"/>
      <c r="S7" s="226"/>
      <c r="T7" s="226"/>
      <c r="U7" s="9"/>
    </row>
    <row r="8" spans="1:21" ht="15.75" customHeight="1">
      <c r="B8" s="41"/>
      <c r="C8" s="42"/>
      <c r="D8" s="11"/>
      <c r="E8" s="11"/>
      <c r="F8" s="9"/>
      <c r="G8" s="9"/>
      <c r="H8" s="9"/>
      <c r="I8" s="9"/>
      <c r="J8" s="9"/>
      <c r="K8" s="9"/>
      <c r="L8" s="9"/>
      <c r="M8" s="9"/>
      <c r="N8" s="9"/>
      <c r="O8" s="9"/>
      <c r="P8" s="11"/>
      <c r="Q8" s="11"/>
      <c r="R8" s="11"/>
      <c r="S8" s="9"/>
      <c r="T8" s="9"/>
      <c r="U8" s="9"/>
    </row>
    <row r="9" spans="1:21" ht="63.6" customHeight="1">
      <c r="B9" s="43"/>
      <c r="C9" s="275" t="s">
        <v>130</v>
      </c>
      <c r="D9" s="227"/>
      <c r="E9" s="265" t="s">
        <v>1334</v>
      </c>
      <c r="F9" s="227"/>
      <c r="G9" s="228"/>
      <c r="H9" s="44" t="s">
        <v>1340</v>
      </c>
      <c r="I9" s="45"/>
      <c r="J9" s="46"/>
      <c r="K9" s="46"/>
      <c r="L9" s="46"/>
      <c r="M9" s="46"/>
      <c r="N9" s="47"/>
      <c r="O9" s="276" t="s">
        <v>132</v>
      </c>
      <c r="P9" s="227"/>
      <c r="Q9" s="269" t="s">
        <v>1335</v>
      </c>
      <c r="R9" s="227"/>
      <c r="S9" s="228"/>
      <c r="T9" s="49" t="s">
        <v>1341</v>
      </c>
      <c r="U9" s="50"/>
    </row>
    <row r="10" spans="1:21" ht="15.75" customHeight="1">
      <c r="B10" s="51"/>
      <c r="C10" s="272" t="s">
        <v>1</v>
      </c>
      <c r="D10" s="228"/>
      <c r="E10" s="266">
        <v>23</v>
      </c>
      <c r="F10" s="227"/>
      <c r="G10" s="227"/>
      <c r="H10" s="52"/>
      <c r="I10" s="45"/>
      <c r="J10" s="53"/>
      <c r="K10" s="53"/>
      <c r="L10" s="53"/>
      <c r="M10" s="53"/>
      <c r="N10" s="47"/>
      <c r="O10" s="270" t="s">
        <v>1</v>
      </c>
      <c r="P10" s="228"/>
      <c r="Q10" s="271">
        <v>30</v>
      </c>
      <c r="R10" s="227"/>
      <c r="S10" s="227"/>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145</v>
      </c>
      <c r="H12" s="60" t="s">
        <v>146</v>
      </c>
      <c r="I12" s="55"/>
      <c r="J12" s="55"/>
      <c r="K12" s="55"/>
      <c r="L12" s="55"/>
      <c r="M12" s="61"/>
      <c r="N12" s="4"/>
      <c r="O12" s="57"/>
      <c r="P12" s="58"/>
      <c r="Q12" s="57"/>
      <c r="R12" s="57"/>
      <c r="S12" s="59" t="s">
        <v>145</v>
      </c>
      <c r="T12" s="60" t="s">
        <v>146</v>
      </c>
      <c r="U12" s="55"/>
    </row>
    <row r="13" spans="1:21" ht="15.75" customHeight="1">
      <c r="A13" s="56"/>
      <c r="B13" s="4"/>
      <c r="C13" s="62" t="s">
        <v>147</v>
      </c>
      <c r="D13" s="63" t="s">
        <v>148</v>
      </c>
      <c r="E13" s="57"/>
      <c r="F13" s="57"/>
      <c r="G13" s="64">
        <v>1</v>
      </c>
      <c r="H13" s="65">
        <v>8</v>
      </c>
      <c r="I13" s="55"/>
      <c r="J13" s="55"/>
      <c r="K13" s="55"/>
      <c r="L13" s="55"/>
      <c r="M13" s="61"/>
      <c r="N13" s="4"/>
      <c r="O13" s="62" t="s">
        <v>149</v>
      </c>
      <c r="P13" s="63" t="s">
        <v>150</v>
      </c>
      <c r="Q13" s="57"/>
      <c r="R13" s="57"/>
      <c r="S13" s="64">
        <v>0</v>
      </c>
      <c r="T13" s="65">
        <v>9</v>
      </c>
      <c r="U13" s="55"/>
    </row>
    <row r="14" spans="1:21" ht="15.75" customHeight="1">
      <c r="A14" s="56"/>
      <c r="B14" s="4"/>
      <c r="C14" s="62" t="s">
        <v>151</v>
      </c>
      <c r="D14" s="63" t="s">
        <v>152</v>
      </c>
      <c r="E14" s="57"/>
      <c r="F14" s="57"/>
      <c r="G14" s="64">
        <v>5</v>
      </c>
      <c r="H14" s="65">
        <v>3</v>
      </c>
      <c r="I14" s="55"/>
      <c r="J14" s="55"/>
      <c r="K14" s="55"/>
      <c r="L14" s="55"/>
      <c r="M14" s="61"/>
      <c r="N14" s="4"/>
      <c r="O14" s="62" t="s">
        <v>153</v>
      </c>
      <c r="P14" s="63" t="s">
        <v>154</v>
      </c>
      <c r="Q14" s="57"/>
      <c r="R14" s="57"/>
      <c r="S14" s="64">
        <v>3</v>
      </c>
      <c r="T14" s="65">
        <v>5</v>
      </c>
      <c r="U14" s="55"/>
    </row>
    <row r="15" spans="1:21" ht="15.75" customHeight="1">
      <c r="A15" s="56"/>
      <c r="B15" s="4"/>
      <c r="C15" s="62" t="s">
        <v>155</v>
      </c>
      <c r="D15" s="63" t="s">
        <v>156</v>
      </c>
      <c r="E15" s="57"/>
      <c r="F15" s="57"/>
      <c r="G15" s="64">
        <v>5</v>
      </c>
      <c r="H15" s="65">
        <v>0</v>
      </c>
      <c r="I15" s="55"/>
      <c r="J15" s="55"/>
      <c r="K15" s="55"/>
      <c r="L15" s="55"/>
      <c r="M15" s="61"/>
      <c r="N15" s="4"/>
      <c r="O15" s="62" t="s">
        <v>157</v>
      </c>
      <c r="P15" s="63" t="s">
        <v>158</v>
      </c>
      <c r="Q15" s="57"/>
      <c r="R15" s="57"/>
      <c r="S15" s="64">
        <v>5</v>
      </c>
      <c r="T15" s="65">
        <v>0</v>
      </c>
      <c r="U15" s="55"/>
    </row>
    <row r="16" spans="1:21" ht="15.75" customHeight="1">
      <c r="A16" s="56"/>
      <c r="B16" s="4"/>
      <c r="C16" s="62" t="s">
        <v>159</v>
      </c>
      <c r="D16" s="63" t="s">
        <v>160</v>
      </c>
      <c r="E16" s="57"/>
      <c r="F16" s="57"/>
      <c r="G16" s="64">
        <v>4</v>
      </c>
      <c r="H16" s="65">
        <v>5</v>
      </c>
      <c r="I16" s="55"/>
      <c r="J16" s="55"/>
      <c r="K16" s="55"/>
      <c r="L16" s="55"/>
      <c r="M16" s="61"/>
      <c r="N16" s="4"/>
      <c r="O16" s="62" t="s">
        <v>161</v>
      </c>
      <c r="P16" s="63" t="s">
        <v>162</v>
      </c>
      <c r="Q16" s="57"/>
      <c r="R16" s="57"/>
      <c r="S16" s="64">
        <v>0</v>
      </c>
      <c r="T16" s="65">
        <v>0</v>
      </c>
      <c r="U16" s="55"/>
    </row>
    <row r="17" spans="1:21" ht="15.75" customHeight="1">
      <c r="A17" s="56"/>
      <c r="B17" s="4"/>
      <c r="C17" s="66"/>
      <c r="D17" s="67" t="s">
        <v>163</v>
      </c>
      <c r="E17" s="68"/>
      <c r="F17" s="68"/>
      <c r="G17" s="69">
        <v>15</v>
      </c>
      <c r="H17" s="70">
        <v>16</v>
      </c>
      <c r="I17" s="55"/>
      <c r="J17" s="55"/>
      <c r="K17" s="55"/>
      <c r="L17" s="55"/>
      <c r="M17" s="61"/>
      <c r="N17" s="4"/>
      <c r="O17" s="66"/>
      <c r="P17" s="67" t="s">
        <v>163</v>
      </c>
      <c r="Q17" s="68"/>
      <c r="R17" s="68"/>
      <c r="S17" s="69">
        <v>8</v>
      </c>
      <c r="T17" s="70">
        <v>14</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147</v>
      </c>
      <c r="B21" s="73"/>
      <c r="C21" s="74" t="s">
        <v>164</v>
      </c>
      <c r="D21" s="75" t="s">
        <v>148</v>
      </c>
      <c r="E21" s="76" t="s">
        <v>1</v>
      </c>
      <c r="F21" s="76" t="s">
        <v>165</v>
      </c>
      <c r="G21" s="76" t="s">
        <v>145</v>
      </c>
      <c r="H21" s="76" t="s">
        <v>146</v>
      </c>
      <c r="I21" s="77"/>
      <c r="J21" s="78"/>
      <c r="K21" s="78"/>
      <c r="L21" s="78"/>
      <c r="M21" s="79"/>
      <c r="N21" s="77"/>
      <c r="O21" s="74" t="s">
        <v>164</v>
      </c>
      <c r="P21" s="75" t="s">
        <v>150</v>
      </c>
      <c r="Q21" s="76" t="s">
        <v>1</v>
      </c>
      <c r="R21" s="76" t="s">
        <v>165</v>
      </c>
      <c r="S21" s="76" t="s">
        <v>145</v>
      </c>
      <c r="T21" s="76" t="s">
        <v>146</v>
      </c>
      <c r="U21" s="77"/>
    </row>
    <row r="22" spans="1:21" ht="15.75" customHeight="1">
      <c r="A22" s="56" t="s">
        <v>147</v>
      </c>
      <c r="B22" s="80"/>
      <c r="C22" s="81">
        <v>1</v>
      </c>
      <c r="D22" s="82" t="s">
        <v>1342</v>
      </c>
      <c r="E22" s="83">
        <v>76.25</v>
      </c>
      <c r="F22" s="81" t="s">
        <v>1341</v>
      </c>
      <c r="G22" s="81" t="s">
        <v>121</v>
      </c>
      <c r="H22" s="81">
        <v>5</v>
      </c>
      <c r="I22" s="84" t="s">
        <v>121</v>
      </c>
      <c r="J22" s="85"/>
      <c r="K22" s="85"/>
      <c r="L22" s="85"/>
      <c r="M22" s="86"/>
      <c r="N22" s="80"/>
      <c r="O22" s="81">
        <v>1</v>
      </c>
      <c r="P22" s="82" t="s">
        <v>1343</v>
      </c>
      <c r="Q22" s="83">
        <v>66.7</v>
      </c>
      <c r="R22" s="81" t="s">
        <v>1341</v>
      </c>
      <c r="S22" s="81" t="s">
        <v>121</v>
      </c>
      <c r="T22" s="81">
        <v>5</v>
      </c>
      <c r="U22" s="84" t="s">
        <v>121</v>
      </c>
    </row>
    <row r="23" spans="1:21" ht="15.75" customHeight="1">
      <c r="A23" s="56" t="s">
        <v>147</v>
      </c>
      <c r="B23" s="80"/>
      <c r="C23" s="81">
        <v>2</v>
      </c>
      <c r="D23" s="82" t="s">
        <v>1344</v>
      </c>
      <c r="E23" s="87">
        <v>68.45</v>
      </c>
      <c r="F23" s="81" t="s">
        <v>1341</v>
      </c>
      <c r="G23" s="81" t="s">
        <v>121</v>
      </c>
      <c r="H23" s="81">
        <v>3</v>
      </c>
      <c r="I23" s="84" t="s">
        <v>121</v>
      </c>
      <c r="J23" s="85"/>
      <c r="K23" s="85"/>
      <c r="L23" s="85"/>
      <c r="M23" s="86"/>
      <c r="N23" s="80"/>
      <c r="O23" s="81">
        <v>2</v>
      </c>
      <c r="P23" s="82" t="s">
        <v>1345</v>
      </c>
      <c r="Q23" s="87">
        <v>64.099999999999994</v>
      </c>
      <c r="R23" s="81" t="s">
        <v>1341</v>
      </c>
      <c r="S23" s="81" t="s">
        <v>121</v>
      </c>
      <c r="T23" s="81">
        <v>3</v>
      </c>
      <c r="U23" s="84" t="s">
        <v>121</v>
      </c>
    </row>
    <row r="24" spans="1:21" ht="15.75" customHeight="1">
      <c r="A24" s="56" t="s">
        <v>147</v>
      </c>
      <c r="B24" s="80"/>
      <c r="C24" s="81">
        <v>3</v>
      </c>
      <c r="D24" s="82" t="s">
        <v>1346</v>
      </c>
      <c r="E24" s="87">
        <v>67.650000000000006</v>
      </c>
      <c r="F24" s="81" t="s">
        <v>1340</v>
      </c>
      <c r="G24" s="81">
        <v>1</v>
      </c>
      <c r="H24" s="81" t="s">
        <v>121</v>
      </c>
      <c r="I24" s="84" t="s">
        <v>121</v>
      </c>
      <c r="J24" s="85"/>
      <c r="K24" s="85"/>
      <c r="L24" s="85"/>
      <c r="M24" s="86"/>
      <c r="N24" s="80"/>
      <c r="O24" s="81">
        <v>3</v>
      </c>
      <c r="P24" s="82" t="s">
        <v>1347</v>
      </c>
      <c r="Q24" s="87">
        <v>59.7</v>
      </c>
      <c r="R24" s="81" t="s">
        <v>1341</v>
      </c>
      <c r="S24" s="81" t="s">
        <v>121</v>
      </c>
      <c r="T24" s="81">
        <v>1</v>
      </c>
      <c r="U24" s="84" t="s">
        <v>121</v>
      </c>
    </row>
    <row r="25" spans="1:21" ht="15.75" customHeight="1">
      <c r="A25" s="56" t="s">
        <v>147</v>
      </c>
      <c r="B25" s="80"/>
      <c r="C25" s="81">
        <v>4</v>
      </c>
      <c r="D25" s="82" t="s">
        <v>1348</v>
      </c>
      <c r="E25" s="87">
        <v>46.2</v>
      </c>
      <c r="F25" s="81" t="s">
        <v>1340</v>
      </c>
      <c r="G25" s="81" t="s">
        <v>121</v>
      </c>
      <c r="H25" s="81" t="s">
        <v>121</v>
      </c>
      <c r="I25" s="84" t="s">
        <v>121</v>
      </c>
      <c r="J25" s="85"/>
      <c r="K25" s="85"/>
      <c r="L25" s="85"/>
      <c r="M25" s="86"/>
      <c r="N25" s="80"/>
      <c r="O25" s="81">
        <v>4</v>
      </c>
      <c r="P25" s="82" t="s">
        <v>1349</v>
      </c>
      <c r="Q25" s="87">
        <v>59.45</v>
      </c>
      <c r="R25" s="81" t="s">
        <v>1341</v>
      </c>
      <c r="S25" s="81" t="s">
        <v>121</v>
      </c>
      <c r="T25" s="81" t="s">
        <v>121</v>
      </c>
      <c r="U25" s="84" t="s">
        <v>121</v>
      </c>
    </row>
    <row r="26" spans="1:21" ht="15.75" customHeight="1">
      <c r="A26" s="56" t="s">
        <v>147</v>
      </c>
      <c r="B26" s="80"/>
      <c r="C26" s="81">
        <v>5</v>
      </c>
      <c r="D26" s="82" t="s">
        <v>1350</v>
      </c>
      <c r="E26" s="87">
        <v>44.8</v>
      </c>
      <c r="F26" s="81" t="s">
        <v>1341</v>
      </c>
      <c r="G26" s="81" t="s">
        <v>121</v>
      </c>
      <c r="H26" s="81" t="s">
        <v>121</v>
      </c>
      <c r="I26" s="84" t="s">
        <v>121</v>
      </c>
      <c r="J26" s="85"/>
      <c r="K26" s="85"/>
      <c r="L26" s="85"/>
      <c r="M26" s="86"/>
      <c r="N26" s="80"/>
      <c r="O26" s="81">
        <v>5</v>
      </c>
      <c r="P26" s="82" t="s">
        <v>1351</v>
      </c>
      <c r="Q26" s="87">
        <v>49.55</v>
      </c>
      <c r="R26" s="81" t="s">
        <v>1341</v>
      </c>
      <c r="S26" s="81" t="s">
        <v>121</v>
      </c>
      <c r="T26" s="81" t="s">
        <v>121</v>
      </c>
      <c r="U26" s="84" t="s">
        <v>121</v>
      </c>
    </row>
    <row r="27" spans="1:21" ht="15.75" customHeight="1">
      <c r="A27" s="56" t="s">
        <v>147</v>
      </c>
      <c r="B27" s="80"/>
      <c r="C27" s="81">
        <v>6</v>
      </c>
      <c r="D27" s="82" t="s">
        <v>1352</v>
      </c>
      <c r="E27" s="87">
        <v>42.15</v>
      </c>
      <c r="F27" s="81" t="s">
        <v>1341</v>
      </c>
      <c r="G27" s="81" t="s">
        <v>121</v>
      </c>
      <c r="H27" s="81" t="s">
        <v>121</v>
      </c>
      <c r="I27" s="84" t="s">
        <v>121</v>
      </c>
      <c r="J27" s="85"/>
      <c r="K27" s="85"/>
      <c r="L27" s="85"/>
      <c r="M27" s="86"/>
      <c r="N27" s="80"/>
      <c r="O27" s="81">
        <v>6</v>
      </c>
      <c r="P27" s="82" t="s">
        <v>1353</v>
      </c>
      <c r="Q27" s="87">
        <v>47.35</v>
      </c>
      <c r="R27" s="81" t="s">
        <v>1341</v>
      </c>
      <c r="S27" s="81" t="s">
        <v>121</v>
      </c>
      <c r="T27" s="81" t="s">
        <v>121</v>
      </c>
      <c r="U27" s="84" t="s">
        <v>121</v>
      </c>
    </row>
    <row r="28" spans="1:21" ht="15.75" customHeight="1">
      <c r="A28" s="56" t="s">
        <v>121</v>
      </c>
      <c r="B28" s="80"/>
      <c r="C28" s="81" t="s">
        <v>121</v>
      </c>
      <c r="D28" s="82"/>
      <c r="E28" s="87" t="s">
        <v>121</v>
      </c>
      <c r="F28" s="81"/>
      <c r="G28" s="81" t="s">
        <v>121</v>
      </c>
      <c r="H28" s="81" t="s">
        <v>121</v>
      </c>
      <c r="I28" s="84" t="s">
        <v>121</v>
      </c>
      <c r="J28" s="85"/>
      <c r="K28" s="85"/>
      <c r="L28" s="85"/>
      <c r="M28" s="86"/>
      <c r="N28" s="80"/>
      <c r="O28" s="81">
        <v>7</v>
      </c>
      <c r="P28" s="82" t="s">
        <v>1354</v>
      </c>
      <c r="Q28" s="87">
        <v>46</v>
      </c>
      <c r="R28" s="81" t="s">
        <v>1340</v>
      </c>
      <c r="S28" s="81" t="s">
        <v>121</v>
      </c>
      <c r="T28" s="81" t="s">
        <v>121</v>
      </c>
      <c r="U28" s="84" t="s">
        <v>121</v>
      </c>
    </row>
    <row r="29" spans="1:21" ht="15.75" customHeight="1">
      <c r="A29" s="56" t="s">
        <v>121</v>
      </c>
      <c r="B29" s="80"/>
      <c r="C29" s="81" t="s">
        <v>121</v>
      </c>
      <c r="D29" s="88"/>
      <c r="E29" s="87" t="s">
        <v>121</v>
      </c>
      <c r="F29" s="81"/>
      <c r="G29" s="81" t="s">
        <v>121</v>
      </c>
      <c r="H29" s="81" t="s">
        <v>121</v>
      </c>
      <c r="I29" s="84" t="s">
        <v>121</v>
      </c>
      <c r="J29" s="85"/>
      <c r="K29" s="85"/>
      <c r="L29" s="85"/>
      <c r="M29" s="86"/>
      <c r="N29" s="80"/>
      <c r="O29" s="81">
        <v>8</v>
      </c>
      <c r="P29" s="82" t="s">
        <v>1355</v>
      </c>
      <c r="Q29" s="87">
        <v>45.5</v>
      </c>
      <c r="R29" s="81" t="s">
        <v>1341</v>
      </c>
      <c r="S29" s="81" t="s">
        <v>121</v>
      </c>
      <c r="T29" s="81" t="s">
        <v>121</v>
      </c>
      <c r="U29" s="84" t="s">
        <v>121</v>
      </c>
    </row>
    <row r="30" spans="1:21" ht="15.75" customHeight="1">
      <c r="A30" s="56" t="s">
        <v>121</v>
      </c>
      <c r="B30" s="80"/>
      <c r="C30" s="81" t="s">
        <v>121</v>
      </c>
      <c r="D30" s="88"/>
      <c r="E30" s="87" t="s">
        <v>121</v>
      </c>
      <c r="F30" s="81"/>
      <c r="G30" s="81" t="s">
        <v>121</v>
      </c>
      <c r="H30" s="81" t="s">
        <v>121</v>
      </c>
      <c r="I30" s="84" t="s">
        <v>121</v>
      </c>
      <c r="J30" s="85"/>
      <c r="K30" s="85"/>
      <c r="L30" s="85"/>
      <c r="M30" s="86"/>
      <c r="N30" s="80"/>
      <c r="O30" s="81">
        <v>9</v>
      </c>
      <c r="P30" s="82" t="s">
        <v>1356</v>
      </c>
      <c r="Q30" s="87">
        <v>28.5</v>
      </c>
      <c r="R30" s="81" t="s">
        <v>1341</v>
      </c>
      <c r="S30" s="81" t="s">
        <v>121</v>
      </c>
      <c r="T30" s="81" t="s">
        <v>121</v>
      </c>
      <c r="U30" s="84" t="s">
        <v>121</v>
      </c>
    </row>
    <row r="31" spans="1:21" ht="15.75" customHeight="1">
      <c r="A31" s="56" t="s">
        <v>121</v>
      </c>
      <c r="B31" s="80"/>
      <c r="C31" s="81" t="s">
        <v>121</v>
      </c>
      <c r="D31" s="88"/>
      <c r="E31" s="87" t="s">
        <v>121</v>
      </c>
      <c r="F31" s="81"/>
      <c r="G31" s="81" t="s">
        <v>121</v>
      </c>
      <c r="H31" s="81" t="s">
        <v>121</v>
      </c>
      <c r="I31" s="84" t="s">
        <v>121</v>
      </c>
      <c r="J31" s="85"/>
      <c r="K31" s="85"/>
      <c r="L31" s="85"/>
      <c r="M31" s="86"/>
      <c r="N31" s="80"/>
      <c r="O31" s="81">
        <v>10</v>
      </c>
      <c r="P31" s="82" t="s">
        <v>1357</v>
      </c>
      <c r="Q31" s="87">
        <v>27.2</v>
      </c>
      <c r="R31" s="81" t="s">
        <v>1340</v>
      </c>
      <c r="S31" s="81" t="s">
        <v>121</v>
      </c>
      <c r="T31" s="81" t="s">
        <v>121</v>
      </c>
      <c r="U31" s="84" t="s">
        <v>121</v>
      </c>
    </row>
    <row r="32" spans="1:21" ht="15.75" customHeight="1">
      <c r="A32" s="56" t="s">
        <v>121</v>
      </c>
      <c r="B32" s="80"/>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30" t="s">
        <v>184</v>
      </c>
      <c r="D47" s="227"/>
      <c r="E47" s="227"/>
      <c r="F47" s="227"/>
      <c r="G47" s="90">
        <v>1</v>
      </c>
      <c r="H47" s="90">
        <v>8</v>
      </c>
      <c r="I47" s="84" t="s">
        <v>121</v>
      </c>
      <c r="J47" s="85"/>
      <c r="K47" s="85"/>
      <c r="L47" s="85"/>
      <c r="M47" s="86"/>
      <c r="N47" s="80"/>
      <c r="O47" s="230" t="s">
        <v>185</v>
      </c>
      <c r="P47" s="227"/>
      <c r="Q47" s="227"/>
      <c r="R47" s="227"/>
      <c r="S47" s="90">
        <v>0</v>
      </c>
      <c r="T47" s="90">
        <v>9</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151</v>
      </c>
      <c r="B50" s="92"/>
      <c r="C50" s="93" t="s">
        <v>164</v>
      </c>
      <c r="D50" s="94" t="s">
        <v>152</v>
      </c>
      <c r="E50" s="95" t="s">
        <v>1</v>
      </c>
      <c r="F50" s="95" t="s">
        <v>165</v>
      </c>
      <c r="G50" s="95" t="s">
        <v>145</v>
      </c>
      <c r="H50" s="95" t="s">
        <v>146</v>
      </c>
      <c r="I50" s="96" t="s">
        <v>121</v>
      </c>
      <c r="J50" s="78"/>
      <c r="K50" s="78"/>
      <c r="L50" s="78"/>
      <c r="M50" s="79"/>
      <c r="N50" s="97"/>
      <c r="O50" s="93" t="s">
        <v>164</v>
      </c>
      <c r="P50" s="94" t="s">
        <v>154</v>
      </c>
      <c r="Q50" s="95" t="s">
        <v>1</v>
      </c>
      <c r="R50" s="95" t="s">
        <v>165</v>
      </c>
      <c r="S50" s="95" t="s">
        <v>145</v>
      </c>
      <c r="T50" s="95" t="s">
        <v>146</v>
      </c>
      <c r="U50" s="96" t="s">
        <v>121</v>
      </c>
    </row>
    <row r="51" spans="1:21" ht="13.2">
      <c r="A51" s="56" t="s">
        <v>151</v>
      </c>
      <c r="B51" s="99"/>
      <c r="C51" s="81">
        <v>1</v>
      </c>
      <c r="D51" s="82" t="s">
        <v>1358</v>
      </c>
      <c r="E51" s="83">
        <v>104.95</v>
      </c>
      <c r="F51" s="81" t="s">
        <v>1340</v>
      </c>
      <c r="G51" s="81">
        <v>5</v>
      </c>
      <c r="H51" s="81" t="s">
        <v>121</v>
      </c>
      <c r="I51" s="100" t="s">
        <v>121</v>
      </c>
      <c r="J51" s="85"/>
      <c r="K51" s="85"/>
      <c r="L51" s="85"/>
      <c r="M51" s="86"/>
      <c r="N51" s="99"/>
      <c r="O51" s="81">
        <v>1</v>
      </c>
      <c r="P51" s="82" t="s">
        <v>1359</v>
      </c>
      <c r="Q51" s="83">
        <v>95.35</v>
      </c>
      <c r="R51" s="81" t="s">
        <v>1341</v>
      </c>
      <c r="S51" s="81" t="s">
        <v>121</v>
      </c>
      <c r="T51" s="81">
        <v>5</v>
      </c>
      <c r="U51" s="100" t="s">
        <v>123</v>
      </c>
    </row>
    <row r="52" spans="1:21" ht="13.2">
      <c r="A52" s="56" t="s">
        <v>151</v>
      </c>
      <c r="B52" s="99"/>
      <c r="C52" s="81">
        <v>2</v>
      </c>
      <c r="D52" s="82" t="s">
        <v>1360</v>
      </c>
      <c r="E52" s="87">
        <v>96</v>
      </c>
      <c r="F52" s="81" t="s">
        <v>1341</v>
      </c>
      <c r="G52" s="81" t="s">
        <v>121</v>
      </c>
      <c r="H52" s="81">
        <v>3</v>
      </c>
      <c r="I52" s="100" t="s">
        <v>123</v>
      </c>
      <c r="J52" s="85"/>
      <c r="K52" s="85"/>
      <c r="L52" s="85"/>
      <c r="M52" s="86"/>
      <c r="N52" s="99"/>
      <c r="O52" s="81">
        <v>2</v>
      </c>
      <c r="P52" s="82" t="s">
        <v>1361</v>
      </c>
      <c r="Q52" s="87">
        <v>87.55</v>
      </c>
      <c r="R52" s="81" t="s">
        <v>1340</v>
      </c>
      <c r="S52" s="81">
        <v>3</v>
      </c>
      <c r="T52" s="81" t="s">
        <v>121</v>
      </c>
      <c r="U52" s="100" t="s">
        <v>121</v>
      </c>
    </row>
    <row r="53" spans="1:21" ht="13.2">
      <c r="A53" s="56" t="s">
        <v>121</v>
      </c>
      <c r="B53" s="99"/>
      <c r="C53" s="81" t="s">
        <v>121</v>
      </c>
      <c r="D53" s="82"/>
      <c r="E53" s="87" t="s">
        <v>121</v>
      </c>
      <c r="F53" s="81"/>
      <c r="G53" s="81" t="s">
        <v>121</v>
      </c>
      <c r="H53" s="81" t="s">
        <v>121</v>
      </c>
      <c r="I53" s="100" t="s">
        <v>121</v>
      </c>
      <c r="J53" s="85"/>
      <c r="K53" s="85"/>
      <c r="L53" s="85"/>
      <c r="M53" s="86"/>
      <c r="N53" s="99"/>
      <c r="O53" s="81" t="s">
        <v>121</v>
      </c>
      <c r="P53" s="82"/>
      <c r="Q53" s="87" t="s">
        <v>121</v>
      </c>
      <c r="R53" s="81"/>
      <c r="S53" s="81" t="s">
        <v>121</v>
      </c>
      <c r="T53" s="81" t="s">
        <v>121</v>
      </c>
      <c r="U53" s="100" t="s">
        <v>121</v>
      </c>
    </row>
    <row r="54" spans="1:21" ht="13.2">
      <c r="A54" s="56" t="s">
        <v>121</v>
      </c>
      <c r="B54" s="99"/>
      <c r="C54" s="81" t="s">
        <v>121</v>
      </c>
      <c r="D54" s="82"/>
      <c r="E54" s="87" t="s">
        <v>121</v>
      </c>
      <c r="F54" s="81"/>
      <c r="G54" s="81" t="s">
        <v>121</v>
      </c>
      <c r="H54" s="81" t="s">
        <v>121</v>
      </c>
      <c r="I54" s="100" t="s">
        <v>121</v>
      </c>
      <c r="J54" s="85"/>
      <c r="K54" s="85"/>
      <c r="L54" s="85"/>
      <c r="M54" s="86"/>
      <c r="N54" s="99"/>
      <c r="O54" s="81" t="s">
        <v>121</v>
      </c>
      <c r="P54" s="82"/>
      <c r="Q54" s="87" t="s">
        <v>121</v>
      </c>
      <c r="R54" s="81"/>
      <c r="S54" s="81" t="s">
        <v>121</v>
      </c>
      <c r="T54" s="81" t="s">
        <v>121</v>
      </c>
      <c r="U54" s="100" t="s">
        <v>121</v>
      </c>
    </row>
    <row r="55" spans="1:21" ht="13.2">
      <c r="A55" s="56" t="s">
        <v>121</v>
      </c>
      <c r="B55" s="99"/>
      <c r="C55" s="81" t="s">
        <v>121</v>
      </c>
      <c r="D55" s="82"/>
      <c r="E55" s="87" t="s">
        <v>121</v>
      </c>
      <c r="F55" s="81"/>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99"/>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30" t="s">
        <v>199</v>
      </c>
      <c r="D66" s="227"/>
      <c r="E66" s="227"/>
      <c r="F66" s="228"/>
      <c r="G66" s="90">
        <v>5</v>
      </c>
      <c r="H66" s="90">
        <v>3</v>
      </c>
      <c r="I66" s="100" t="s">
        <v>121</v>
      </c>
      <c r="J66" s="85"/>
      <c r="K66" s="85"/>
      <c r="L66" s="85"/>
      <c r="M66" s="86"/>
      <c r="N66" s="99"/>
      <c r="O66" s="230" t="s">
        <v>200</v>
      </c>
      <c r="P66" s="227"/>
      <c r="Q66" s="227"/>
      <c r="R66" s="228"/>
      <c r="S66" s="90">
        <v>3</v>
      </c>
      <c r="T66" s="90">
        <v>5</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155</v>
      </c>
      <c r="B69" s="101"/>
      <c r="C69" s="102" t="s">
        <v>164</v>
      </c>
      <c r="D69" s="103" t="s">
        <v>156</v>
      </c>
      <c r="E69" s="104" t="s">
        <v>1</v>
      </c>
      <c r="F69" s="104" t="s">
        <v>165</v>
      </c>
      <c r="G69" s="104" t="s">
        <v>145</v>
      </c>
      <c r="H69" s="104" t="s">
        <v>146</v>
      </c>
      <c r="I69" s="105" t="s">
        <v>121</v>
      </c>
      <c r="J69" s="78"/>
      <c r="K69" s="78"/>
      <c r="L69" s="78"/>
      <c r="M69" s="79"/>
      <c r="N69" s="105"/>
      <c r="O69" s="102" t="s">
        <v>164</v>
      </c>
      <c r="P69" s="103" t="s">
        <v>158</v>
      </c>
      <c r="Q69" s="104" t="s">
        <v>1</v>
      </c>
      <c r="R69" s="104" t="s">
        <v>165</v>
      </c>
      <c r="S69" s="104" t="s">
        <v>145</v>
      </c>
      <c r="T69" s="104" t="s">
        <v>146</v>
      </c>
      <c r="U69" s="105" t="s">
        <v>121</v>
      </c>
    </row>
    <row r="70" spans="1:21" ht="13.2">
      <c r="A70" s="56" t="s">
        <v>155</v>
      </c>
      <c r="B70" s="80"/>
      <c r="C70" s="81">
        <v>1</v>
      </c>
      <c r="D70" s="82" t="s">
        <v>1362</v>
      </c>
      <c r="E70" s="83">
        <v>128.5</v>
      </c>
      <c r="F70" s="81" t="s">
        <v>1340</v>
      </c>
      <c r="G70" s="81">
        <v>5</v>
      </c>
      <c r="H70" s="81" t="s">
        <v>121</v>
      </c>
      <c r="I70" s="84" t="s">
        <v>121</v>
      </c>
      <c r="J70" s="85"/>
      <c r="K70" s="85"/>
      <c r="L70" s="85"/>
      <c r="M70" s="86"/>
      <c r="N70" s="80"/>
      <c r="O70" s="81">
        <v>1</v>
      </c>
      <c r="P70" s="82" t="s">
        <v>1363</v>
      </c>
      <c r="Q70" s="83">
        <v>101.5</v>
      </c>
      <c r="R70" s="81" t="s">
        <v>1340</v>
      </c>
      <c r="S70" s="81">
        <v>5</v>
      </c>
      <c r="T70" s="81" t="s">
        <v>121</v>
      </c>
      <c r="U70" s="84" t="s">
        <v>121</v>
      </c>
    </row>
    <row r="71" spans="1:21" ht="13.2">
      <c r="A71" s="56" t="s">
        <v>121</v>
      </c>
      <c r="B71" s="80"/>
      <c r="C71" s="81" t="s">
        <v>121</v>
      </c>
      <c r="D71" s="82"/>
      <c r="E71" s="87" t="s">
        <v>121</v>
      </c>
      <c r="F71" s="81"/>
      <c r="G71" s="81" t="s">
        <v>121</v>
      </c>
      <c r="H71" s="81" t="s">
        <v>121</v>
      </c>
      <c r="I71" s="84" t="s">
        <v>121</v>
      </c>
      <c r="J71" s="85"/>
      <c r="K71" s="85"/>
      <c r="L71" s="85"/>
      <c r="M71" s="86"/>
      <c r="N71" s="80"/>
      <c r="O71" s="81" t="s">
        <v>121</v>
      </c>
      <c r="P71" s="82"/>
      <c r="Q71" s="87" t="s">
        <v>121</v>
      </c>
      <c r="R71" s="81"/>
      <c r="S71" s="81" t="s">
        <v>121</v>
      </c>
      <c r="T71" s="81" t="s">
        <v>121</v>
      </c>
      <c r="U71" s="84" t="s">
        <v>121</v>
      </c>
    </row>
    <row r="72" spans="1:21" ht="13.2">
      <c r="A72" s="56" t="s">
        <v>121</v>
      </c>
      <c r="B72" s="80"/>
      <c r="C72" s="81" t="s">
        <v>121</v>
      </c>
      <c r="D72" s="82"/>
      <c r="E72" s="87" t="s">
        <v>121</v>
      </c>
      <c r="F72" s="81"/>
      <c r="G72" s="81" t="s">
        <v>121</v>
      </c>
      <c r="H72" s="81" t="s">
        <v>121</v>
      </c>
      <c r="I72" s="84" t="s">
        <v>121</v>
      </c>
      <c r="J72" s="85"/>
      <c r="K72" s="85"/>
      <c r="L72" s="85"/>
      <c r="M72" s="86"/>
      <c r="N72" s="80"/>
      <c r="O72" s="81" t="s">
        <v>121</v>
      </c>
      <c r="P72" s="82"/>
      <c r="Q72" s="87" t="s">
        <v>121</v>
      </c>
      <c r="R72" s="81"/>
      <c r="S72" s="81" t="s">
        <v>121</v>
      </c>
      <c r="T72" s="81" t="s">
        <v>121</v>
      </c>
      <c r="U72" s="84" t="s">
        <v>121</v>
      </c>
    </row>
    <row r="73" spans="1:21" ht="13.2">
      <c r="A73" s="56" t="s">
        <v>121</v>
      </c>
      <c r="B73" s="80"/>
      <c r="C73" s="81" t="s">
        <v>121</v>
      </c>
      <c r="D73" s="82"/>
      <c r="E73" s="87" t="s">
        <v>121</v>
      </c>
      <c r="F73" s="81"/>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30" t="s">
        <v>210</v>
      </c>
      <c r="D80" s="227"/>
      <c r="E80" s="227"/>
      <c r="F80" s="227"/>
      <c r="G80" s="90">
        <v>5</v>
      </c>
      <c r="H80" s="90">
        <v>0</v>
      </c>
      <c r="I80" s="84" t="s">
        <v>121</v>
      </c>
      <c r="J80" s="85"/>
      <c r="K80" s="85"/>
      <c r="L80" s="85"/>
      <c r="M80" s="86"/>
      <c r="N80" s="80"/>
      <c r="O80" s="230" t="s">
        <v>211</v>
      </c>
      <c r="P80" s="227"/>
      <c r="Q80" s="227"/>
      <c r="R80" s="227"/>
      <c r="S80" s="90">
        <v>5</v>
      </c>
      <c r="T80" s="90">
        <v>0</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159</v>
      </c>
      <c r="B83" s="92"/>
      <c r="C83" s="93" t="s">
        <v>164</v>
      </c>
      <c r="D83" s="94" t="s">
        <v>160</v>
      </c>
      <c r="E83" s="95" t="s">
        <v>1</v>
      </c>
      <c r="F83" s="95" t="s">
        <v>165</v>
      </c>
      <c r="G83" s="95" t="s">
        <v>145</v>
      </c>
      <c r="H83" s="95" t="s">
        <v>146</v>
      </c>
      <c r="I83" s="96" t="s">
        <v>121</v>
      </c>
      <c r="J83" s="78"/>
      <c r="K83" s="78"/>
      <c r="L83" s="78"/>
      <c r="M83" s="79"/>
      <c r="N83" s="96"/>
      <c r="O83" s="93" t="s">
        <v>164</v>
      </c>
      <c r="P83" s="94" t="s">
        <v>162</v>
      </c>
      <c r="Q83" s="95" t="s">
        <v>1</v>
      </c>
      <c r="R83" s="95" t="s">
        <v>165</v>
      </c>
      <c r="S83" s="95" t="s">
        <v>145</v>
      </c>
      <c r="T83" s="95" t="s">
        <v>146</v>
      </c>
      <c r="U83" s="96" t="s">
        <v>121</v>
      </c>
    </row>
    <row r="84" spans="1:21" ht="13.2">
      <c r="A84" s="56" t="s">
        <v>159</v>
      </c>
      <c r="B84" s="99"/>
      <c r="C84" s="81">
        <v>1</v>
      </c>
      <c r="D84" s="82" t="s">
        <v>1364</v>
      </c>
      <c r="E84" s="83">
        <v>189.55</v>
      </c>
      <c r="F84" s="81" t="s">
        <v>1341</v>
      </c>
      <c r="G84" s="81" t="s">
        <v>121</v>
      </c>
      <c r="H84" s="81">
        <v>5</v>
      </c>
      <c r="I84" s="100" t="s">
        <v>121</v>
      </c>
      <c r="J84" s="85"/>
      <c r="K84" s="85"/>
      <c r="L84" s="85"/>
      <c r="M84" s="86"/>
      <c r="N84" s="99"/>
      <c r="O84" s="81" t="s">
        <v>121</v>
      </c>
      <c r="P84" s="82"/>
      <c r="Q84" s="83" t="s">
        <v>121</v>
      </c>
      <c r="R84" s="81"/>
      <c r="S84" s="81" t="s">
        <v>121</v>
      </c>
      <c r="T84" s="81" t="s">
        <v>121</v>
      </c>
      <c r="U84" s="100" t="s">
        <v>121</v>
      </c>
    </row>
    <row r="85" spans="1:21" ht="13.2">
      <c r="A85" s="56" t="s">
        <v>159</v>
      </c>
      <c r="B85" s="99"/>
      <c r="C85" s="81">
        <v>2</v>
      </c>
      <c r="D85" s="82" t="s">
        <v>1365</v>
      </c>
      <c r="E85" s="87">
        <v>166.25</v>
      </c>
      <c r="F85" s="81" t="s">
        <v>1340</v>
      </c>
      <c r="G85" s="81">
        <v>3</v>
      </c>
      <c r="H85" s="81" t="s">
        <v>121</v>
      </c>
      <c r="I85" s="100" t="s">
        <v>121</v>
      </c>
      <c r="J85" s="85"/>
      <c r="K85" s="85"/>
      <c r="L85" s="85"/>
      <c r="M85" s="86"/>
      <c r="N85" s="99"/>
      <c r="O85" s="81" t="s">
        <v>121</v>
      </c>
      <c r="P85" s="82"/>
      <c r="Q85" s="87" t="s">
        <v>121</v>
      </c>
      <c r="R85" s="81"/>
      <c r="S85" s="81" t="s">
        <v>121</v>
      </c>
      <c r="T85" s="81" t="s">
        <v>121</v>
      </c>
      <c r="U85" s="100" t="s">
        <v>121</v>
      </c>
    </row>
    <row r="86" spans="1:21" ht="13.2">
      <c r="A86" s="56" t="s">
        <v>159</v>
      </c>
      <c r="B86" s="99"/>
      <c r="C86" s="81">
        <v>3</v>
      </c>
      <c r="D86" s="82" t="s">
        <v>1366</v>
      </c>
      <c r="E86" s="87">
        <v>129.85</v>
      </c>
      <c r="F86" s="81" t="s">
        <v>1340</v>
      </c>
      <c r="G86" s="81">
        <v>1</v>
      </c>
      <c r="H86" s="81" t="s">
        <v>121</v>
      </c>
      <c r="I86" s="100" t="s">
        <v>121</v>
      </c>
      <c r="J86" s="85"/>
      <c r="K86" s="85"/>
      <c r="L86" s="85"/>
      <c r="M86" s="86"/>
      <c r="N86" s="99"/>
      <c r="O86" s="81" t="s">
        <v>121</v>
      </c>
      <c r="P86" s="82"/>
      <c r="Q86" s="87" t="s">
        <v>121</v>
      </c>
      <c r="R86" s="81"/>
      <c r="S86" s="81" t="s">
        <v>121</v>
      </c>
      <c r="T86" s="81" t="s">
        <v>121</v>
      </c>
      <c r="U86" s="100" t="s">
        <v>121</v>
      </c>
    </row>
    <row r="87" spans="1:21" ht="13.2">
      <c r="A87" s="56" t="s">
        <v>121</v>
      </c>
      <c r="B87" s="99"/>
      <c r="C87" s="81" t="s">
        <v>121</v>
      </c>
      <c r="D87" s="82"/>
      <c r="E87" s="87" t="s">
        <v>121</v>
      </c>
      <c r="F87" s="81"/>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30" t="s">
        <v>220</v>
      </c>
      <c r="D94" s="227"/>
      <c r="E94" s="227"/>
      <c r="F94" s="227"/>
      <c r="G94" s="90">
        <v>4</v>
      </c>
      <c r="H94" s="90">
        <v>5</v>
      </c>
      <c r="I94" s="100" t="s">
        <v>121</v>
      </c>
      <c r="J94" s="85"/>
      <c r="K94" s="85"/>
      <c r="L94" s="85"/>
      <c r="M94" s="86"/>
      <c r="N94" s="99"/>
      <c r="O94" s="230" t="s">
        <v>221</v>
      </c>
      <c r="P94" s="227"/>
      <c r="Q94" s="227"/>
      <c r="R94" s="227"/>
      <c r="S94" s="90">
        <v>0</v>
      </c>
      <c r="T94" s="90">
        <v>0</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222</v>
      </c>
      <c r="D96" s="85"/>
      <c r="E96" s="85"/>
      <c r="F96" s="85"/>
      <c r="G96" s="85"/>
      <c r="H96" s="85"/>
      <c r="I96" s="85" t="s">
        <v>121</v>
      </c>
      <c r="J96" s="85"/>
      <c r="K96" s="85"/>
      <c r="L96" s="85"/>
      <c r="M96" s="86"/>
      <c r="N96" s="107"/>
      <c r="O96" s="108" t="s">
        <v>223</v>
      </c>
      <c r="P96" s="107"/>
      <c r="Q96" s="231" t="s">
        <v>1367</v>
      </c>
      <c r="R96" s="227"/>
      <c r="S96" s="227"/>
      <c r="T96" s="228"/>
      <c r="U96" s="4" t="s">
        <v>121</v>
      </c>
    </row>
    <row r="97" spans="1:21" ht="13.2">
      <c r="A97" s="56"/>
      <c r="B97" s="4"/>
      <c r="C97" s="249" t="s">
        <v>1368</v>
      </c>
      <c r="D97" s="235"/>
      <c r="E97" s="235"/>
      <c r="F97" s="235"/>
      <c r="G97" s="235"/>
      <c r="H97" s="236"/>
      <c r="I97" s="85" t="s">
        <v>121</v>
      </c>
      <c r="J97" s="85"/>
      <c r="K97" s="85"/>
      <c r="L97" s="85"/>
      <c r="M97" s="86"/>
      <c r="N97" s="107"/>
      <c r="O97" s="110" t="s">
        <v>226</v>
      </c>
      <c r="P97" s="111"/>
      <c r="Q97" s="231" t="s">
        <v>1369</v>
      </c>
      <c r="R97" s="227"/>
      <c r="S97" s="227"/>
      <c r="T97" s="228"/>
      <c r="U97" s="4" t="s">
        <v>121</v>
      </c>
    </row>
    <row r="98" spans="1:21" ht="13.2">
      <c r="A98" s="56"/>
      <c r="B98" s="4"/>
      <c r="C98" s="239"/>
      <c r="D98" s="240"/>
      <c r="E98" s="240"/>
      <c r="F98" s="240"/>
      <c r="G98" s="240"/>
      <c r="H98" s="241"/>
      <c r="I98" s="85" t="s">
        <v>121</v>
      </c>
      <c r="J98" s="85"/>
      <c r="K98" s="85"/>
      <c r="L98" s="85"/>
      <c r="M98" s="86"/>
      <c r="N98" s="107"/>
      <c r="O98" s="110"/>
      <c r="P98" s="111"/>
      <c r="Q98" s="232"/>
      <c r="R98" s="226"/>
      <c r="S98" s="226"/>
      <c r="T98" s="226"/>
      <c r="U98" s="4" t="s">
        <v>121</v>
      </c>
    </row>
    <row r="99" spans="1:21" ht="13.2">
      <c r="A99" s="56"/>
      <c r="B99" s="4"/>
      <c r="C99" s="112" t="s">
        <v>228</v>
      </c>
      <c r="D99" s="113"/>
      <c r="E99" s="233" t="s">
        <v>1369</v>
      </c>
      <c r="F99" s="227"/>
      <c r="G99" s="227"/>
      <c r="H99" s="228"/>
      <c r="I99" s="85" t="s">
        <v>121</v>
      </c>
      <c r="J99" s="85"/>
      <c r="K99" s="85"/>
      <c r="L99" s="85"/>
      <c r="M99" s="86"/>
      <c r="N99" s="107"/>
      <c r="O99" s="112" t="s">
        <v>229</v>
      </c>
      <c r="P99" s="113"/>
      <c r="Q99" s="233" t="s">
        <v>1370</v>
      </c>
      <c r="R99" s="227"/>
      <c r="S99" s="227"/>
      <c r="T99" s="228"/>
      <c r="U99" s="4" t="s">
        <v>121</v>
      </c>
    </row>
    <row r="100" spans="1:21" ht="13.2">
      <c r="A100" s="56"/>
      <c r="B100" s="4"/>
      <c r="C100" s="112" t="s">
        <v>231</v>
      </c>
      <c r="D100" s="113"/>
      <c r="E100" s="113"/>
      <c r="F100" s="113"/>
      <c r="G100" s="113"/>
      <c r="H100" s="113"/>
      <c r="I100" s="85" t="s">
        <v>121</v>
      </c>
      <c r="J100" s="85"/>
      <c r="K100" s="85"/>
      <c r="L100" s="85"/>
      <c r="M100" s="86"/>
      <c r="N100" s="107"/>
      <c r="O100" s="110" t="s">
        <v>232</v>
      </c>
      <c r="P100" s="111"/>
      <c r="Q100" s="111"/>
      <c r="R100" s="111"/>
      <c r="S100" s="111"/>
      <c r="T100" s="111"/>
      <c r="U100" s="4" t="s">
        <v>121</v>
      </c>
    </row>
    <row r="101" spans="1:21" ht="13.2">
      <c r="A101" s="56"/>
      <c r="B101" s="4"/>
      <c r="C101" s="273" t="s">
        <v>1371</v>
      </c>
      <c r="D101" s="235"/>
      <c r="E101" s="235"/>
      <c r="F101" s="235"/>
      <c r="G101" s="235"/>
      <c r="H101" s="236"/>
      <c r="I101" s="4" t="s">
        <v>121</v>
      </c>
      <c r="J101" s="4"/>
      <c r="K101" s="4"/>
      <c r="L101" s="4"/>
      <c r="M101" s="71"/>
      <c r="N101" s="109"/>
      <c r="O101" s="234" t="s">
        <v>1372</v>
      </c>
      <c r="P101" s="235"/>
      <c r="Q101" s="235"/>
      <c r="R101" s="235"/>
      <c r="S101" s="235"/>
      <c r="T101" s="236"/>
      <c r="U101" s="4" t="s">
        <v>121</v>
      </c>
    </row>
    <row r="102" spans="1:21" ht="13.2">
      <c r="A102" s="56"/>
      <c r="B102" s="4"/>
      <c r="C102" s="237"/>
      <c r="D102" s="226"/>
      <c r="E102" s="226"/>
      <c r="F102" s="226"/>
      <c r="G102" s="226"/>
      <c r="H102" s="238"/>
      <c r="I102" s="4" t="s">
        <v>121</v>
      </c>
      <c r="J102" s="4"/>
      <c r="K102" s="4"/>
      <c r="L102" s="4"/>
      <c r="M102" s="71"/>
      <c r="N102" s="109"/>
      <c r="O102" s="237"/>
      <c r="P102" s="226"/>
      <c r="Q102" s="226"/>
      <c r="R102" s="226"/>
      <c r="S102" s="226"/>
      <c r="T102" s="238"/>
      <c r="U102" s="4" t="s">
        <v>121</v>
      </c>
    </row>
    <row r="103" spans="1:21" ht="13.2">
      <c r="A103" s="56"/>
      <c r="B103" s="4"/>
      <c r="C103" s="237"/>
      <c r="D103" s="226"/>
      <c r="E103" s="226"/>
      <c r="F103" s="226"/>
      <c r="G103" s="226"/>
      <c r="H103" s="238"/>
      <c r="I103" s="4" t="s">
        <v>121</v>
      </c>
      <c r="J103" s="4"/>
      <c r="K103" s="4"/>
      <c r="L103" s="4"/>
      <c r="M103" s="71"/>
      <c r="N103" s="109"/>
      <c r="O103" s="237"/>
      <c r="P103" s="226"/>
      <c r="Q103" s="226"/>
      <c r="R103" s="226"/>
      <c r="S103" s="226"/>
      <c r="T103" s="238"/>
      <c r="U103" s="4" t="s">
        <v>121</v>
      </c>
    </row>
    <row r="104" spans="1:21" ht="13.2">
      <c r="A104" s="56"/>
      <c r="B104" s="4"/>
      <c r="C104" s="239"/>
      <c r="D104" s="240"/>
      <c r="E104" s="240"/>
      <c r="F104" s="240"/>
      <c r="G104" s="240"/>
      <c r="H104" s="241"/>
      <c r="I104" s="4" t="s">
        <v>121</v>
      </c>
      <c r="J104" s="4"/>
      <c r="K104" s="4"/>
      <c r="L104" s="4"/>
      <c r="M104" s="71"/>
      <c r="N104" s="109"/>
      <c r="O104" s="239"/>
      <c r="P104" s="240"/>
      <c r="Q104" s="240"/>
      <c r="R104" s="240"/>
      <c r="S104" s="240"/>
      <c r="T104" s="241"/>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14"/>
      <c r="C106" s="115"/>
      <c r="D106" s="116" t="s">
        <v>139</v>
      </c>
      <c r="E106" s="117">
        <v>2</v>
      </c>
      <c r="F106" s="17"/>
      <c r="G106" s="17"/>
      <c r="H106" s="17"/>
      <c r="I106" s="118" t="s">
        <v>121</v>
      </c>
      <c r="J106" s="118"/>
      <c r="K106" s="118"/>
      <c r="L106" s="118"/>
      <c r="M106" s="119"/>
      <c r="N106" s="118"/>
      <c r="O106" s="118"/>
      <c r="P106" s="116" t="s">
        <v>140</v>
      </c>
      <c r="Q106" s="248">
        <v>44383</v>
      </c>
      <c r="R106" s="226"/>
      <c r="S106" s="226"/>
      <c r="T106" s="226"/>
      <c r="U106" s="120" t="s">
        <v>121</v>
      </c>
    </row>
    <row r="107" spans="1:21" ht="15.6">
      <c r="A107" s="56"/>
      <c r="B107" s="121"/>
      <c r="C107" s="122"/>
      <c r="D107" s="123" t="s">
        <v>141</v>
      </c>
      <c r="E107" s="124"/>
      <c r="F107" s="18"/>
      <c r="G107" s="18"/>
      <c r="H107" s="18"/>
      <c r="I107" s="18" t="s">
        <v>121</v>
      </c>
      <c r="J107" s="18"/>
      <c r="K107" s="18"/>
      <c r="L107" s="18"/>
      <c r="M107" s="125"/>
      <c r="N107" s="18"/>
      <c r="O107" s="18"/>
      <c r="P107" s="126" t="s">
        <v>2</v>
      </c>
      <c r="Q107" s="243" t="s">
        <v>142</v>
      </c>
      <c r="R107" s="226"/>
      <c r="S107" s="226"/>
      <c r="T107" s="226"/>
      <c r="U107" s="18" t="s">
        <v>121</v>
      </c>
    </row>
    <row r="108" spans="1:21" ht="15.6">
      <c r="A108" s="56"/>
      <c r="B108" s="127"/>
      <c r="C108" s="128"/>
      <c r="D108" s="124"/>
      <c r="E108" s="124"/>
      <c r="F108" s="18"/>
      <c r="G108" s="18"/>
      <c r="H108" s="18"/>
      <c r="I108" s="18" t="s">
        <v>121</v>
      </c>
      <c r="J108" s="18"/>
      <c r="K108" s="18"/>
      <c r="L108" s="18"/>
      <c r="M108" s="125"/>
      <c r="N108" s="18"/>
      <c r="O108" s="18"/>
      <c r="P108" s="124"/>
      <c r="Q108" s="124"/>
      <c r="R108" s="124"/>
      <c r="S108" s="18"/>
      <c r="T108" s="18"/>
      <c r="U108" s="18" t="s">
        <v>121</v>
      </c>
    </row>
    <row r="109" spans="1:21" ht="60.6" customHeight="1">
      <c r="A109" s="56"/>
      <c r="B109" s="129"/>
      <c r="C109" s="251" t="s">
        <v>130</v>
      </c>
      <c r="D109" s="227"/>
      <c r="E109" s="252" t="s">
        <v>1336</v>
      </c>
      <c r="F109" s="227"/>
      <c r="G109" s="228"/>
      <c r="H109" s="130" t="s">
        <v>1373</v>
      </c>
      <c r="I109" s="131" t="s">
        <v>121</v>
      </c>
      <c r="J109" s="132"/>
      <c r="K109" s="132"/>
      <c r="L109" s="132"/>
      <c r="M109" s="133"/>
      <c r="N109" s="48"/>
      <c r="O109" s="244" t="s">
        <v>132</v>
      </c>
      <c r="P109" s="227"/>
      <c r="Q109" s="245" t="s">
        <v>1337</v>
      </c>
      <c r="R109" s="227"/>
      <c r="S109" s="228"/>
      <c r="T109" s="134" t="s">
        <v>1374</v>
      </c>
      <c r="U109" s="135" t="s">
        <v>121</v>
      </c>
    </row>
    <row r="110" spans="1:21" ht="17.399999999999999">
      <c r="A110" s="56"/>
      <c r="B110" s="136"/>
      <c r="C110" s="253" t="s">
        <v>1</v>
      </c>
      <c r="D110" s="228"/>
      <c r="E110" s="254">
        <v>45</v>
      </c>
      <c r="F110" s="227"/>
      <c r="G110" s="227"/>
      <c r="H110" s="137"/>
      <c r="I110" s="131" t="s">
        <v>121</v>
      </c>
      <c r="J110" s="138"/>
      <c r="K110" s="138"/>
      <c r="L110" s="138"/>
      <c r="M110" s="139"/>
      <c r="N110" s="48"/>
      <c r="O110" s="246" t="s">
        <v>1</v>
      </c>
      <c r="P110" s="228"/>
      <c r="Q110" s="247">
        <v>15</v>
      </c>
      <c r="R110" s="227"/>
      <c r="S110" s="227"/>
      <c r="T110" s="140"/>
      <c r="U110" s="135"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145</v>
      </c>
      <c r="H112" s="60" t="s">
        <v>146</v>
      </c>
      <c r="I112" s="55" t="s">
        <v>121</v>
      </c>
      <c r="J112" s="55"/>
      <c r="K112" s="55"/>
      <c r="L112" s="55"/>
      <c r="M112" s="61"/>
      <c r="N112" s="4"/>
      <c r="O112" s="57"/>
      <c r="P112" s="58"/>
      <c r="Q112" s="57"/>
      <c r="R112" s="57"/>
      <c r="S112" s="59" t="s">
        <v>145</v>
      </c>
      <c r="T112" s="60" t="s">
        <v>146</v>
      </c>
      <c r="U112" s="55" t="s">
        <v>121</v>
      </c>
    </row>
    <row r="113" spans="1:21" ht="13.2">
      <c r="A113" s="56"/>
      <c r="B113" s="4"/>
      <c r="C113" s="62" t="s">
        <v>147</v>
      </c>
      <c r="D113" s="63" t="s">
        <v>148</v>
      </c>
      <c r="E113" s="57"/>
      <c r="F113" s="57"/>
      <c r="G113" s="64">
        <v>4</v>
      </c>
      <c r="H113" s="65">
        <v>5</v>
      </c>
      <c r="I113" s="55" t="s">
        <v>121</v>
      </c>
      <c r="J113" s="55"/>
      <c r="K113" s="55"/>
      <c r="L113" s="55"/>
      <c r="M113" s="61"/>
      <c r="N113" s="4"/>
      <c r="O113" s="62" t="s">
        <v>149</v>
      </c>
      <c r="P113" s="63" t="s">
        <v>150</v>
      </c>
      <c r="Q113" s="57"/>
      <c r="R113" s="57"/>
      <c r="S113" s="64">
        <v>9</v>
      </c>
      <c r="T113" s="65">
        <v>0</v>
      </c>
      <c r="U113" s="55" t="s">
        <v>121</v>
      </c>
    </row>
    <row r="114" spans="1:21" ht="13.2">
      <c r="A114" s="56"/>
      <c r="B114" s="4"/>
      <c r="C114" s="62" t="s">
        <v>151</v>
      </c>
      <c r="D114" s="63" t="s">
        <v>152</v>
      </c>
      <c r="E114" s="57"/>
      <c r="F114" s="57"/>
      <c r="G114" s="64">
        <v>8</v>
      </c>
      <c r="H114" s="65">
        <v>0</v>
      </c>
      <c r="I114" s="55" t="s">
        <v>121</v>
      </c>
      <c r="J114" s="55"/>
      <c r="K114" s="55"/>
      <c r="L114" s="55"/>
      <c r="M114" s="61"/>
      <c r="N114" s="4"/>
      <c r="O114" s="62" t="s">
        <v>153</v>
      </c>
      <c r="P114" s="63" t="s">
        <v>154</v>
      </c>
      <c r="Q114" s="57"/>
      <c r="R114" s="57"/>
      <c r="S114" s="64">
        <v>8</v>
      </c>
      <c r="T114" s="65">
        <v>1</v>
      </c>
      <c r="U114" s="55" t="s">
        <v>121</v>
      </c>
    </row>
    <row r="115" spans="1:21" ht="13.2">
      <c r="A115" s="56"/>
      <c r="B115" s="4"/>
      <c r="C115" s="62" t="s">
        <v>155</v>
      </c>
      <c r="D115" s="63" t="s">
        <v>156</v>
      </c>
      <c r="E115" s="57"/>
      <c r="F115" s="57"/>
      <c r="G115" s="64">
        <v>0</v>
      </c>
      <c r="H115" s="65">
        <v>0</v>
      </c>
      <c r="I115" s="55" t="s">
        <v>121</v>
      </c>
      <c r="J115" s="55"/>
      <c r="K115" s="55"/>
      <c r="L115" s="55"/>
      <c r="M115" s="61"/>
      <c r="N115" s="4"/>
      <c r="O115" s="62" t="s">
        <v>157</v>
      </c>
      <c r="P115" s="63" t="s">
        <v>158</v>
      </c>
      <c r="Q115" s="57"/>
      <c r="R115" s="57"/>
      <c r="S115" s="64">
        <v>3</v>
      </c>
      <c r="T115" s="65">
        <v>5</v>
      </c>
      <c r="U115" s="55" t="s">
        <v>121</v>
      </c>
    </row>
    <row r="116" spans="1:21" ht="13.2">
      <c r="A116" s="56"/>
      <c r="B116" s="4"/>
      <c r="C116" s="62" t="s">
        <v>159</v>
      </c>
      <c r="D116" s="63" t="s">
        <v>160</v>
      </c>
      <c r="E116" s="57"/>
      <c r="F116" s="57"/>
      <c r="G116" s="64">
        <v>8</v>
      </c>
      <c r="H116" s="65">
        <v>0</v>
      </c>
      <c r="I116" s="55" t="s">
        <v>121</v>
      </c>
      <c r="J116" s="55"/>
      <c r="K116" s="55"/>
      <c r="L116" s="55"/>
      <c r="M116" s="61"/>
      <c r="N116" s="4"/>
      <c r="O116" s="62" t="s">
        <v>161</v>
      </c>
      <c r="P116" s="63" t="s">
        <v>162</v>
      </c>
      <c r="Q116" s="57"/>
      <c r="R116" s="57"/>
      <c r="S116" s="64">
        <v>5</v>
      </c>
      <c r="T116" s="65">
        <v>4</v>
      </c>
      <c r="U116" s="55" t="s">
        <v>121</v>
      </c>
    </row>
    <row r="117" spans="1:21" ht="13.2">
      <c r="A117" s="56"/>
      <c r="B117" s="4"/>
      <c r="C117" s="66"/>
      <c r="D117" s="67" t="s">
        <v>163</v>
      </c>
      <c r="E117" s="68"/>
      <c r="F117" s="68"/>
      <c r="G117" s="69">
        <v>20</v>
      </c>
      <c r="H117" s="70">
        <v>5</v>
      </c>
      <c r="I117" s="55" t="s">
        <v>121</v>
      </c>
      <c r="J117" s="55"/>
      <c r="K117" s="55"/>
      <c r="L117" s="55"/>
      <c r="M117" s="61"/>
      <c r="N117" s="4"/>
      <c r="O117" s="66"/>
      <c r="P117" s="67" t="s">
        <v>163</v>
      </c>
      <c r="Q117" s="68"/>
      <c r="R117" s="68"/>
      <c r="S117" s="69">
        <v>25</v>
      </c>
      <c r="T117" s="70">
        <v>10</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147</v>
      </c>
      <c r="B121" s="73"/>
      <c r="C121" s="74" t="s">
        <v>164</v>
      </c>
      <c r="D121" s="75" t="s">
        <v>148</v>
      </c>
      <c r="E121" s="76" t="s">
        <v>1</v>
      </c>
      <c r="F121" s="76" t="s">
        <v>165</v>
      </c>
      <c r="G121" s="76" t="s">
        <v>145</v>
      </c>
      <c r="H121" s="76" t="s">
        <v>146</v>
      </c>
      <c r="I121" s="77" t="s">
        <v>121</v>
      </c>
      <c r="J121" s="78"/>
      <c r="K121" s="78"/>
      <c r="L121" s="78"/>
      <c r="M121" s="79"/>
      <c r="N121" s="77"/>
      <c r="O121" s="74" t="s">
        <v>164</v>
      </c>
      <c r="P121" s="75" t="s">
        <v>150</v>
      </c>
      <c r="Q121" s="76" t="s">
        <v>1</v>
      </c>
      <c r="R121" s="76" t="s">
        <v>165</v>
      </c>
      <c r="S121" s="76" t="s">
        <v>145</v>
      </c>
      <c r="T121" s="76" t="s">
        <v>146</v>
      </c>
      <c r="U121" s="77" t="s">
        <v>121</v>
      </c>
    </row>
    <row r="122" spans="1:21" ht="13.2">
      <c r="A122" s="56" t="s">
        <v>147</v>
      </c>
      <c r="B122" s="80"/>
      <c r="C122" s="81">
        <v>1</v>
      </c>
      <c r="D122" s="82" t="s">
        <v>1375</v>
      </c>
      <c r="E122" s="83">
        <v>57.65</v>
      </c>
      <c r="F122" s="81" t="s">
        <v>1374</v>
      </c>
      <c r="G122" s="81" t="s">
        <v>121</v>
      </c>
      <c r="H122" s="81">
        <v>5</v>
      </c>
      <c r="I122" s="84" t="s">
        <v>121</v>
      </c>
      <c r="J122" s="85"/>
      <c r="K122" s="85"/>
      <c r="L122" s="85"/>
      <c r="M122" s="86"/>
      <c r="N122" s="80"/>
      <c r="O122" s="81">
        <v>1</v>
      </c>
      <c r="P122" s="82" t="s">
        <v>1376</v>
      </c>
      <c r="Q122" s="83">
        <v>63.55</v>
      </c>
      <c r="R122" s="81" t="s">
        <v>1373</v>
      </c>
      <c r="S122" s="81">
        <v>5</v>
      </c>
      <c r="T122" s="81" t="s">
        <v>121</v>
      </c>
      <c r="U122" s="84" t="s">
        <v>121</v>
      </c>
    </row>
    <row r="123" spans="1:21" ht="13.2">
      <c r="A123" s="56" t="s">
        <v>147</v>
      </c>
      <c r="B123" s="80"/>
      <c r="C123" s="81">
        <v>2</v>
      </c>
      <c r="D123" s="82" t="s">
        <v>1377</v>
      </c>
      <c r="E123" s="87">
        <v>44.6</v>
      </c>
      <c r="F123" s="81" t="s">
        <v>1373</v>
      </c>
      <c r="G123" s="81">
        <v>3</v>
      </c>
      <c r="H123" s="81" t="s">
        <v>121</v>
      </c>
      <c r="I123" s="84" t="s">
        <v>121</v>
      </c>
      <c r="J123" s="85"/>
      <c r="K123" s="85"/>
      <c r="L123" s="85"/>
      <c r="M123" s="86"/>
      <c r="N123" s="80"/>
      <c r="O123" s="81">
        <v>2</v>
      </c>
      <c r="P123" s="82" t="s">
        <v>1378</v>
      </c>
      <c r="Q123" s="87">
        <v>62.35</v>
      </c>
      <c r="R123" s="81" t="s">
        <v>1373</v>
      </c>
      <c r="S123" s="81">
        <v>3</v>
      </c>
      <c r="T123" s="81" t="s">
        <v>121</v>
      </c>
      <c r="U123" s="84" t="s">
        <v>121</v>
      </c>
    </row>
    <row r="124" spans="1:21" ht="13.2">
      <c r="A124" s="56" t="s">
        <v>147</v>
      </c>
      <c r="B124" s="80"/>
      <c r="C124" s="81">
        <v>3</v>
      </c>
      <c r="D124" s="82" t="s">
        <v>1379</v>
      </c>
      <c r="E124" s="87">
        <v>40.4</v>
      </c>
      <c r="F124" s="81" t="s">
        <v>1373</v>
      </c>
      <c r="G124" s="81">
        <v>1</v>
      </c>
      <c r="H124" s="81" t="s">
        <v>121</v>
      </c>
      <c r="I124" s="84" t="s">
        <v>121</v>
      </c>
      <c r="J124" s="85"/>
      <c r="K124" s="85"/>
      <c r="L124" s="85"/>
      <c r="M124" s="86"/>
      <c r="N124" s="80"/>
      <c r="O124" s="81">
        <v>3</v>
      </c>
      <c r="P124" s="82" t="s">
        <v>1380</v>
      </c>
      <c r="Q124" s="87">
        <v>48.85</v>
      </c>
      <c r="R124" s="81" t="s">
        <v>1373</v>
      </c>
      <c r="S124" s="81">
        <v>1</v>
      </c>
      <c r="T124" s="81" t="s">
        <v>121</v>
      </c>
      <c r="U124" s="84" t="s">
        <v>121</v>
      </c>
    </row>
    <row r="125" spans="1:21" ht="13.2">
      <c r="A125" s="56" t="s">
        <v>147</v>
      </c>
      <c r="B125" s="80"/>
      <c r="C125" s="81">
        <v>4</v>
      </c>
      <c r="D125" s="82" t="s">
        <v>1381</v>
      </c>
      <c r="E125" s="87">
        <v>23.75</v>
      </c>
      <c r="F125" s="81" t="s">
        <v>1373</v>
      </c>
      <c r="G125" s="81" t="s">
        <v>121</v>
      </c>
      <c r="H125" s="81" t="s">
        <v>121</v>
      </c>
      <c r="I125" s="84" t="s">
        <v>121</v>
      </c>
      <c r="J125" s="85"/>
      <c r="K125" s="85"/>
      <c r="L125" s="85"/>
      <c r="M125" s="86"/>
      <c r="N125" s="80"/>
      <c r="O125" s="81">
        <v>4</v>
      </c>
      <c r="P125" s="82" t="s">
        <v>1382</v>
      </c>
      <c r="Q125" s="87">
        <v>30.95</v>
      </c>
      <c r="R125" s="81" t="s">
        <v>1373</v>
      </c>
      <c r="S125" s="81" t="s">
        <v>121</v>
      </c>
      <c r="T125" s="81" t="s">
        <v>121</v>
      </c>
      <c r="U125" s="84" t="s">
        <v>121</v>
      </c>
    </row>
    <row r="126" spans="1:21" ht="13.2">
      <c r="A126" s="56" t="s">
        <v>147</v>
      </c>
      <c r="B126" s="80"/>
      <c r="C126" s="81">
        <v>5</v>
      </c>
      <c r="D126" s="82" t="s">
        <v>1383</v>
      </c>
      <c r="E126" s="87">
        <v>20.75</v>
      </c>
      <c r="F126" s="81" t="s">
        <v>1373</v>
      </c>
      <c r="G126" s="81" t="s">
        <v>121</v>
      </c>
      <c r="H126" s="81" t="s">
        <v>121</v>
      </c>
      <c r="I126" s="84" t="s">
        <v>121</v>
      </c>
      <c r="J126" s="85"/>
      <c r="K126" s="85"/>
      <c r="L126" s="85"/>
      <c r="M126" s="86"/>
      <c r="N126" s="80"/>
      <c r="O126" s="81" t="s">
        <v>121</v>
      </c>
      <c r="P126" s="82"/>
      <c r="Q126" s="87" t="s">
        <v>121</v>
      </c>
      <c r="R126" s="81"/>
      <c r="S126" s="81" t="s">
        <v>121</v>
      </c>
      <c r="T126" s="81" t="s">
        <v>121</v>
      </c>
      <c r="U126" s="84" t="s">
        <v>121</v>
      </c>
    </row>
    <row r="127" spans="1:21" ht="13.2">
      <c r="A127" s="56" t="s">
        <v>121</v>
      </c>
      <c r="B127" s="80"/>
      <c r="C127" s="81" t="s">
        <v>121</v>
      </c>
      <c r="D127" s="82"/>
      <c r="E127" s="87" t="s">
        <v>121</v>
      </c>
      <c r="F127" s="81"/>
      <c r="G127" s="81" t="s">
        <v>121</v>
      </c>
      <c r="H127" s="81" t="s">
        <v>121</v>
      </c>
      <c r="I127" s="84" t="s">
        <v>121</v>
      </c>
      <c r="J127" s="85"/>
      <c r="K127" s="85"/>
      <c r="L127" s="85"/>
      <c r="M127" s="86"/>
      <c r="N127" s="80"/>
      <c r="O127" s="81" t="s">
        <v>121</v>
      </c>
      <c r="P127" s="82"/>
      <c r="Q127" s="87" t="s">
        <v>121</v>
      </c>
      <c r="R127" s="81"/>
      <c r="S127" s="81" t="s">
        <v>121</v>
      </c>
      <c r="T127" s="81" t="s">
        <v>121</v>
      </c>
      <c r="U127" s="84" t="s">
        <v>121</v>
      </c>
    </row>
    <row r="128" spans="1:21" ht="13.2">
      <c r="A128" s="56" t="s">
        <v>121</v>
      </c>
      <c r="B128" s="80"/>
      <c r="C128" s="81" t="s">
        <v>121</v>
      </c>
      <c r="D128" s="82"/>
      <c r="E128" s="87" t="s">
        <v>121</v>
      </c>
      <c r="F128" s="81"/>
      <c r="G128" s="81" t="s">
        <v>121</v>
      </c>
      <c r="H128" s="81" t="s">
        <v>121</v>
      </c>
      <c r="I128" s="84" t="s">
        <v>121</v>
      </c>
      <c r="J128" s="85"/>
      <c r="K128" s="85"/>
      <c r="L128" s="85"/>
      <c r="M128" s="86"/>
      <c r="N128" s="80"/>
      <c r="O128" s="81" t="s">
        <v>121</v>
      </c>
      <c r="P128" s="82"/>
      <c r="Q128" s="87" t="s">
        <v>121</v>
      </c>
      <c r="R128" s="81"/>
      <c r="S128" s="81" t="s">
        <v>121</v>
      </c>
      <c r="T128" s="81" t="s">
        <v>121</v>
      </c>
      <c r="U128" s="84" t="s">
        <v>121</v>
      </c>
    </row>
    <row r="129" spans="1:21" ht="13.2">
      <c r="A129" s="56" t="s">
        <v>121</v>
      </c>
      <c r="B129" s="80"/>
      <c r="C129" s="81" t="s">
        <v>121</v>
      </c>
      <c r="D129" s="88"/>
      <c r="E129" s="87" t="s">
        <v>121</v>
      </c>
      <c r="F129" s="81"/>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121</v>
      </c>
      <c r="B130" s="80"/>
      <c r="C130" s="81" t="s">
        <v>121</v>
      </c>
      <c r="D130" s="88"/>
      <c r="E130" s="87" t="s">
        <v>121</v>
      </c>
      <c r="F130" s="81"/>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121</v>
      </c>
      <c r="B131" s="80"/>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30" t="s">
        <v>184</v>
      </c>
      <c r="D147" s="227"/>
      <c r="E147" s="227"/>
      <c r="F147" s="227"/>
      <c r="G147" s="90">
        <v>4</v>
      </c>
      <c r="H147" s="90">
        <v>5</v>
      </c>
      <c r="I147" s="84" t="s">
        <v>121</v>
      </c>
      <c r="J147" s="85"/>
      <c r="K147" s="85"/>
      <c r="L147" s="85"/>
      <c r="M147" s="86"/>
      <c r="N147" s="80"/>
      <c r="O147" s="230" t="s">
        <v>185</v>
      </c>
      <c r="P147" s="227"/>
      <c r="Q147" s="227"/>
      <c r="R147" s="227"/>
      <c r="S147" s="90">
        <v>9</v>
      </c>
      <c r="T147" s="90">
        <v>0</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151</v>
      </c>
      <c r="B150" s="92"/>
      <c r="C150" s="93" t="s">
        <v>164</v>
      </c>
      <c r="D150" s="94" t="s">
        <v>152</v>
      </c>
      <c r="E150" s="95" t="s">
        <v>1</v>
      </c>
      <c r="F150" s="95" t="s">
        <v>165</v>
      </c>
      <c r="G150" s="95" t="s">
        <v>145</v>
      </c>
      <c r="H150" s="95" t="s">
        <v>146</v>
      </c>
      <c r="I150" s="96" t="s">
        <v>121</v>
      </c>
      <c r="J150" s="78"/>
      <c r="K150" s="78"/>
      <c r="L150" s="78"/>
      <c r="M150" s="79"/>
      <c r="N150" s="96"/>
      <c r="O150" s="93" t="s">
        <v>164</v>
      </c>
      <c r="P150" s="94" t="s">
        <v>154</v>
      </c>
      <c r="Q150" s="95" t="s">
        <v>1</v>
      </c>
      <c r="R150" s="95" t="s">
        <v>165</v>
      </c>
      <c r="S150" s="95" t="s">
        <v>145</v>
      </c>
      <c r="T150" s="95" t="s">
        <v>146</v>
      </c>
      <c r="U150" s="96" t="s">
        <v>121</v>
      </c>
    </row>
    <row r="151" spans="1:21" ht="13.2">
      <c r="A151" s="56" t="s">
        <v>151</v>
      </c>
      <c r="B151" s="99"/>
      <c r="C151" s="81">
        <v>1</v>
      </c>
      <c r="D151" s="82" t="s">
        <v>1384</v>
      </c>
      <c r="E151" s="83">
        <v>78.099999999999994</v>
      </c>
      <c r="F151" s="81" t="s">
        <v>1373</v>
      </c>
      <c r="G151" s="81">
        <v>5</v>
      </c>
      <c r="H151" s="81" t="s">
        <v>121</v>
      </c>
      <c r="I151" s="100" t="s">
        <v>121</v>
      </c>
      <c r="J151" s="85"/>
      <c r="K151" s="85"/>
      <c r="L151" s="85"/>
      <c r="M151" s="86"/>
      <c r="N151" s="99"/>
      <c r="O151" s="81">
        <v>1</v>
      </c>
      <c r="P151" s="82" t="s">
        <v>1385</v>
      </c>
      <c r="Q151" s="83">
        <v>145.15</v>
      </c>
      <c r="R151" s="81" t="s">
        <v>1373</v>
      </c>
      <c r="S151" s="81">
        <v>5</v>
      </c>
      <c r="T151" s="81" t="s">
        <v>121</v>
      </c>
      <c r="U151" s="100" t="s">
        <v>123</v>
      </c>
    </row>
    <row r="152" spans="1:21" ht="13.2">
      <c r="A152" s="56" t="s">
        <v>151</v>
      </c>
      <c r="B152" s="99"/>
      <c r="C152" s="81">
        <v>2</v>
      </c>
      <c r="D152" s="82" t="s">
        <v>1386</v>
      </c>
      <c r="E152" s="87">
        <v>68.5</v>
      </c>
      <c r="F152" s="81" t="s">
        <v>1373</v>
      </c>
      <c r="G152" s="81">
        <v>3</v>
      </c>
      <c r="H152" s="81" t="s">
        <v>121</v>
      </c>
      <c r="I152" s="100" t="s">
        <v>121</v>
      </c>
      <c r="J152" s="85"/>
      <c r="K152" s="85"/>
      <c r="L152" s="85"/>
      <c r="M152" s="86"/>
      <c r="N152" s="99"/>
      <c r="O152" s="81">
        <v>2</v>
      </c>
      <c r="P152" s="82" t="s">
        <v>1387</v>
      </c>
      <c r="Q152" s="87">
        <v>75.400000000000006</v>
      </c>
      <c r="R152" s="81" t="s">
        <v>1373</v>
      </c>
      <c r="S152" s="81">
        <v>3</v>
      </c>
      <c r="T152" s="81" t="s">
        <v>121</v>
      </c>
      <c r="U152" s="100" t="s">
        <v>123</v>
      </c>
    </row>
    <row r="153" spans="1:21" ht="13.2">
      <c r="A153" s="56" t="s">
        <v>121</v>
      </c>
      <c r="B153" s="99"/>
      <c r="C153" s="81" t="s">
        <v>121</v>
      </c>
      <c r="D153" s="82"/>
      <c r="E153" s="87" t="s">
        <v>121</v>
      </c>
      <c r="F153" s="81"/>
      <c r="G153" s="81" t="s">
        <v>121</v>
      </c>
      <c r="H153" s="81" t="s">
        <v>121</v>
      </c>
      <c r="I153" s="100" t="s">
        <v>121</v>
      </c>
      <c r="J153" s="85"/>
      <c r="K153" s="85"/>
      <c r="L153" s="85"/>
      <c r="M153" s="86"/>
      <c r="N153" s="99"/>
      <c r="O153" s="81">
        <v>3</v>
      </c>
      <c r="P153" s="82" t="s">
        <v>1388</v>
      </c>
      <c r="Q153" s="87">
        <v>53.35</v>
      </c>
      <c r="R153" s="81" t="s">
        <v>1374</v>
      </c>
      <c r="S153" s="81" t="s">
        <v>121</v>
      </c>
      <c r="T153" s="81">
        <v>1</v>
      </c>
      <c r="U153" s="100" t="s">
        <v>121</v>
      </c>
    </row>
    <row r="154" spans="1:21" ht="13.2">
      <c r="A154" s="56" t="s">
        <v>121</v>
      </c>
      <c r="B154" s="99"/>
      <c r="C154" s="81" t="s">
        <v>121</v>
      </c>
      <c r="D154" s="82"/>
      <c r="E154" s="87" t="s">
        <v>121</v>
      </c>
      <c r="F154" s="81"/>
      <c r="G154" s="81" t="s">
        <v>121</v>
      </c>
      <c r="H154" s="81" t="s">
        <v>121</v>
      </c>
      <c r="I154" s="100" t="s">
        <v>121</v>
      </c>
      <c r="J154" s="85"/>
      <c r="K154" s="85"/>
      <c r="L154" s="85"/>
      <c r="M154" s="86"/>
      <c r="N154" s="99"/>
      <c r="O154" s="81" t="s">
        <v>121</v>
      </c>
      <c r="P154" s="82"/>
      <c r="Q154" s="87" t="s">
        <v>121</v>
      </c>
      <c r="R154" s="81"/>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30" t="s">
        <v>199</v>
      </c>
      <c r="D166" s="227"/>
      <c r="E166" s="227"/>
      <c r="F166" s="228"/>
      <c r="G166" s="90">
        <v>8</v>
      </c>
      <c r="H166" s="90">
        <v>0</v>
      </c>
      <c r="I166" s="100" t="s">
        <v>121</v>
      </c>
      <c r="J166" s="85"/>
      <c r="K166" s="85"/>
      <c r="L166" s="85"/>
      <c r="M166" s="86"/>
      <c r="N166" s="99"/>
      <c r="O166" s="230" t="s">
        <v>200</v>
      </c>
      <c r="P166" s="227"/>
      <c r="Q166" s="227"/>
      <c r="R166" s="228"/>
      <c r="S166" s="90">
        <v>8</v>
      </c>
      <c r="T166" s="90">
        <v>1</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155</v>
      </c>
      <c r="B169" s="101"/>
      <c r="C169" s="102" t="s">
        <v>164</v>
      </c>
      <c r="D169" s="103" t="s">
        <v>156</v>
      </c>
      <c r="E169" s="104" t="s">
        <v>1</v>
      </c>
      <c r="F169" s="104" t="s">
        <v>165</v>
      </c>
      <c r="G169" s="104" t="s">
        <v>145</v>
      </c>
      <c r="H169" s="104" t="s">
        <v>146</v>
      </c>
      <c r="I169" s="105" t="s">
        <v>121</v>
      </c>
      <c r="J169" s="78"/>
      <c r="K169" s="78"/>
      <c r="L169" s="78"/>
      <c r="M169" s="79"/>
      <c r="N169" s="105"/>
      <c r="O169" s="102" t="s">
        <v>164</v>
      </c>
      <c r="P169" s="103" t="s">
        <v>158</v>
      </c>
      <c r="Q169" s="104" t="s">
        <v>1</v>
      </c>
      <c r="R169" s="104" t="s">
        <v>165</v>
      </c>
      <c r="S169" s="104" t="s">
        <v>145</v>
      </c>
      <c r="T169" s="104" t="s">
        <v>146</v>
      </c>
      <c r="U169" s="105" t="s">
        <v>121</v>
      </c>
    </row>
    <row r="170" spans="1:21" ht="13.2">
      <c r="A170" s="56" t="s">
        <v>121</v>
      </c>
      <c r="B170" s="80"/>
      <c r="C170" s="81" t="s">
        <v>121</v>
      </c>
      <c r="D170" s="82"/>
      <c r="E170" s="83" t="s">
        <v>121</v>
      </c>
      <c r="F170" s="81"/>
      <c r="G170" s="81" t="s">
        <v>121</v>
      </c>
      <c r="H170" s="81" t="s">
        <v>121</v>
      </c>
      <c r="I170" s="84" t="s">
        <v>121</v>
      </c>
      <c r="J170" s="85"/>
      <c r="K170" s="85"/>
      <c r="L170" s="85"/>
      <c r="M170" s="86"/>
      <c r="N170" s="80"/>
      <c r="O170" s="81">
        <v>1</v>
      </c>
      <c r="P170" s="82" t="s">
        <v>1389</v>
      </c>
      <c r="Q170" s="83">
        <v>100.8</v>
      </c>
      <c r="R170" s="81" t="s">
        <v>1374</v>
      </c>
      <c r="S170" s="81" t="s">
        <v>121</v>
      </c>
      <c r="T170" s="81">
        <v>5</v>
      </c>
      <c r="U170" s="84" t="s">
        <v>121</v>
      </c>
    </row>
    <row r="171" spans="1:21" ht="13.2">
      <c r="A171" s="56" t="s">
        <v>121</v>
      </c>
      <c r="B171" s="80"/>
      <c r="C171" s="81" t="s">
        <v>121</v>
      </c>
      <c r="D171" s="82"/>
      <c r="E171" s="87" t="s">
        <v>121</v>
      </c>
      <c r="F171" s="81"/>
      <c r="G171" s="81" t="s">
        <v>121</v>
      </c>
      <c r="H171" s="81" t="s">
        <v>121</v>
      </c>
      <c r="I171" s="84" t="s">
        <v>121</v>
      </c>
      <c r="J171" s="85"/>
      <c r="K171" s="85"/>
      <c r="L171" s="85"/>
      <c r="M171" s="86"/>
      <c r="N171" s="80"/>
      <c r="O171" s="81">
        <v>2</v>
      </c>
      <c r="P171" s="82" t="s">
        <v>1390</v>
      </c>
      <c r="Q171" s="87">
        <v>90.3</v>
      </c>
      <c r="R171" s="81" t="s">
        <v>1373</v>
      </c>
      <c r="S171" s="81">
        <v>3</v>
      </c>
      <c r="T171" s="81" t="s">
        <v>121</v>
      </c>
      <c r="U171" s="84" t="s">
        <v>123</v>
      </c>
    </row>
    <row r="172" spans="1:21" ht="13.2">
      <c r="A172" s="56" t="s">
        <v>121</v>
      </c>
      <c r="B172" s="80"/>
      <c r="C172" s="81" t="s">
        <v>121</v>
      </c>
      <c r="D172" s="82"/>
      <c r="E172" s="87" t="s">
        <v>121</v>
      </c>
      <c r="F172" s="81"/>
      <c r="G172" s="81" t="s">
        <v>121</v>
      </c>
      <c r="H172" s="81" t="s">
        <v>121</v>
      </c>
      <c r="I172" s="84" t="s">
        <v>121</v>
      </c>
      <c r="J172" s="85"/>
      <c r="K172" s="85"/>
      <c r="L172" s="85"/>
      <c r="M172" s="86"/>
      <c r="N172" s="80"/>
      <c r="O172" s="81" t="s">
        <v>121</v>
      </c>
      <c r="P172" s="82"/>
      <c r="Q172" s="87" t="s">
        <v>121</v>
      </c>
      <c r="R172" s="81"/>
      <c r="S172" s="81" t="s">
        <v>121</v>
      </c>
      <c r="T172" s="81" t="s">
        <v>121</v>
      </c>
      <c r="U172" s="84" t="s">
        <v>121</v>
      </c>
    </row>
    <row r="173" spans="1:21" ht="13.2">
      <c r="A173" s="56" t="s">
        <v>121</v>
      </c>
      <c r="B173" s="80"/>
      <c r="C173" s="81" t="s">
        <v>121</v>
      </c>
      <c r="D173" s="82"/>
      <c r="E173" s="87" t="s">
        <v>121</v>
      </c>
      <c r="F173" s="81"/>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30" t="s">
        <v>210</v>
      </c>
      <c r="D180" s="227"/>
      <c r="E180" s="227"/>
      <c r="F180" s="227"/>
      <c r="G180" s="90">
        <v>0</v>
      </c>
      <c r="H180" s="90">
        <v>0</v>
      </c>
      <c r="I180" s="84" t="s">
        <v>121</v>
      </c>
      <c r="J180" s="85"/>
      <c r="K180" s="85"/>
      <c r="L180" s="85"/>
      <c r="M180" s="86"/>
      <c r="N180" s="80"/>
      <c r="O180" s="230" t="s">
        <v>211</v>
      </c>
      <c r="P180" s="227"/>
      <c r="Q180" s="227"/>
      <c r="R180" s="227"/>
      <c r="S180" s="90">
        <v>3</v>
      </c>
      <c r="T180" s="90">
        <v>5</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159</v>
      </c>
      <c r="B183" s="92"/>
      <c r="C183" s="93" t="s">
        <v>164</v>
      </c>
      <c r="D183" s="94" t="s">
        <v>160</v>
      </c>
      <c r="E183" s="95" t="s">
        <v>1</v>
      </c>
      <c r="F183" s="95" t="s">
        <v>165</v>
      </c>
      <c r="G183" s="95" t="s">
        <v>145</v>
      </c>
      <c r="H183" s="95" t="s">
        <v>146</v>
      </c>
      <c r="I183" s="96" t="s">
        <v>121</v>
      </c>
      <c r="J183" s="78"/>
      <c r="K183" s="78"/>
      <c r="L183" s="78"/>
      <c r="M183" s="79"/>
      <c r="N183" s="96"/>
      <c r="O183" s="93" t="s">
        <v>164</v>
      </c>
      <c r="P183" s="94" t="s">
        <v>162</v>
      </c>
      <c r="Q183" s="95" t="s">
        <v>1</v>
      </c>
      <c r="R183" s="95" t="s">
        <v>165</v>
      </c>
      <c r="S183" s="95" t="s">
        <v>145</v>
      </c>
      <c r="T183" s="95" t="s">
        <v>146</v>
      </c>
      <c r="U183" s="96" t="s">
        <v>121</v>
      </c>
    </row>
    <row r="184" spans="1:21" ht="13.2">
      <c r="A184" s="56" t="s">
        <v>159</v>
      </c>
      <c r="B184" s="99"/>
      <c r="C184" s="81">
        <v>1</v>
      </c>
      <c r="D184" s="82" t="s">
        <v>1391</v>
      </c>
      <c r="E184" s="83">
        <v>186</v>
      </c>
      <c r="F184" s="81" t="s">
        <v>1373</v>
      </c>
      <c r="G184" s="81">
        <v>5</v>
      </c>
      <c r="H184" s="81" t="s">
        <v>121</v>
      </c>
      <c r="I184" s="100" t="s">
        <v>121</v>
      </c>
      <c r="J184" s="85"/>
      <c r="K184" s="85"/>
      <c r="L184" s="85"/>
      <c r="M184" s="86"/>
      <c r="N184" s="99"/>
      <c r="O184" s="81">
        <v>1</v>
      </c>
      <c r="P184" s="82" t="s">
        <v>1392</v>
      </c>
      <c r="Q184" s="83">
        <v>254.8</v>
      </c>
      <c r="R184" s="81" t="s">
        <v>1373</v>
      </c>
      <c r="S184" s="81">
        <v>5</v>
      </c>
      <c r="T184" s="81" t="s">
        <v>121</v>
      </c>
      <c r="U184" s="100" t="s">
        <v>121</v>
      </c>
    </row>
    <row r="185" spans="1:21" ht="13.2">
      <c r="A185" s="56" t="s">
        <v>159</v>
      </c>
      <c r="B185" s="99"/>
      <c r="C185" s="81">
        <v>2</v>
      </c>
      <c r="D185" s="82" t="s">
        <v>1393</v>
      </c>
      <c r="E185" s="87">
        <v>150.85</v>
      </c>
      <c r="F185" s="81" t="s">
        <v>1373</v>
      </c>
      <c r="G185" s="81">
        <v>3</v>
      </c>
      <c r="H185" s="81" t="s">
        <v>121</v>
      </c>
      <c r="I185" s="100" t="s">
        <v>121</v>
      </c>
      <c r="J185" s="85"/>
      <c r="K185" s="85"/>
      <c r="L185" s="85"/>
      <c r="M185" s="86"/>
      <c r="N185" s="99"/>
      <c r="O185" s="81">
        <v>2</v>
      </c>
      <c r="P185" s="82" t="s">
        <v>1394</v>
      </c>
      <c r="Q185" s="87">
        <v>208.65</v>
      </c>
      <c r="R185" s="81" t="s">
        <v>1374</v>
      </c>
      <c r="S185" s="81" t="s">
        <v>121</v>
      </c>
      <c r="T185" s="81">
        <v>3</v>
      </c>
      <c r="U185" s="100" t="s">
        <v>121</v>
      </c>
    </row>
    <row r="186" spans="1:21" ht="13.2">
      <c r="A186" s="56" t="s">
        <v>121</v>
      </c>
      <c r="B186" s="99"/>
      <c r="C186" s="81" t="s">
        <v>121</v>
      </c>
      <c r="D186" s="82"/>
      <c r="E186" s="87" t="s">
        <v>121</v>
      </c>
      <c r="F186" s="81"/>
      <c r="G186" s="81" t="s">
        <v>121</v>
      </c>
      <c r="H186" s="81" t="s">
        <v>121</v>
      </c>
      <c r="I186" s="100" t="s">
        <v>121</v>
      </c>
      <c r="J186" s="85"/>
      <c r="K186" s="85"/>
      <c r="L186" s="85"/>
      <c r="M186" s="86"/>
      <c r="N186" s="99"/>
      <c r="O186" s="81">
        <v>3</v>
      </c>
      <c r="P186" s="82" t="s">
        <v>1395</v>
      </c>
      <c r="Q186" s="87">
        <v>197.6</v>
      </c>
      <c r="R186" s="81" t="s">
        <v>1374</v>
      </c>
      <c r="S186" s="81" t="s">
        <v>121</v>
      </c>
      <c r="T186" s="81">
        <v>1</v>
      </c>
      <c r="U186" s="100" t="s">
        <v>121</v>
      </c>
    </row>
    <row r="187" spans="1:21" ht="13.2">
      <c r="A187" s="56" t="s">
        <v>121</v>
      </c>
      <c r="B187" s="99"/>
      <c r="C187" s="81" t="s">
        <v>121</v>
      </c>
      <c r="D187" s="82"/>
      <c r="E187" s="87" t="s">
        <v>121</v>
      </c>
      <c r="F187" s="81"/>
      <c r="G187" s="81" t="s">
        <v>121</v>
      </c>
      <c r="H187" s="81" t="s">
        <v>121</v>
      </c>
      <c r="I187" s="100" t="s">
        <v>121</v>
      </c>
      <c r="J187" s="85"/>
      <c r="K187" s="85"/>
      <c r="L187" s="85"/>
      <c r="M187" s="86"/>
      <c r="N187" s="99"/>
      <c r="O187" s="81">
        <v>4</v>
      </c>
      <c r="P187" s="82" t="s">
        <v>1396</v>
      </c>
      <c r="Q187" s="87">
        <v>129.19999999999999</v>
      </c>
      <c r="R187" s="81" t="s">
        <v>1373</v>
      </c>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30" t="s">
        <v>220</v>
      </c>
      <c r="D194" s="227"/>
      <c r="E194" s="227"/>
      <c r="F194" s="227"/>
      <c r="G194" s="90">
        <v>8</v>
      </c>
      <c r="H194" s="90">
        <v>0</v>
      </c>
      <c r="I194" s="100" t="s">
        <v>121</v>
      </c>
      <c r="J194" s="85"/>
      <c r="K194" s="85"/>
      <c r="L194" s="85"/>
      <c r="M194" s="86"/>
      <c r="N194" s="99"/>
      <c r="O194" s="230" t="s">
        <v>221</v>
      </c>
      <c r="P194" s="227"/>
      <c r="Q194" s="227"/>
      <c r="R194" s="227"/>
      <c r="S194" s="90">
        <v>5</v>
      </c>
      <c r="T194" s="90">
        <v>4</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222</v>
      </c>
      <c r="D196" s="85"/>
      <c r="E196" s="85"/>
      <c r="F196" s="85"/>
      <c r="G196" s="85"/>
      <c r="H196" s="85"/>
      <c r="I196" s="85" t="s">
        <v>121</v>
      </c>
      <c r="J196" s="85"/>
      <c r="K196" s="85"/>
      <c r="L196" s="85"/>
      <c r="M196" s="86"/>
      <c r="N196" s="107"/>
      <c r="O196" s="108" t="s">
        <v>223</v>
      </c>
      <c r="P196" s="107"/>
      <c r="Q196" s="231" t="s">
        <v>1397</v>
      </c>
      <c r="R196" s="227"/>
      <c r="S196" s="227"/>
      <c r="T196" s="228"/>
      <c r="U196" s="4" t="s">
        <v>121</v>
      </c>
    </row>
    <row r="197" spans="1:21" ht="13.2">
      <c r="A197" s="56"/>
      <c r="B197" s="4"/>
      <c r="C197" s="249" t="s">
        <v>1398</v>
      </c>
      <c r="D197" s="235"/>
      <c r="E197" s="235"/>
      <c r="F197" s="235"/>
      <c r="G197" s="235"/>
      <c r="H197" s="236"/>
      <c r="I197" s="85" t="s">
        <v>121</v>
      </c>
      <c r="J197" s="85"/>
      <c r="K197" s="85"/>
      <c r="L197" s="85"/>
      <c r="M197" s="86"/>
      <c r="N197" s="107"/>
      <c r="O197" s="110" t="s">
        <v>226</v>
      </c>
      <c r="P197" s="111"/>
      <c r="Q197" s="231" t="s">
        <v>1399</v>
      </c>
      <c r="R197" s="227"/>
      <c r="S197" s="227"/>
      <c r="T197" s="228"/>
      <c r="U197" s="4" t="s">
        <v>121</v>
      </c>
    </row>
    <row r="198" spans="1:21" ht="13.2">
      <c r="A198" s="56"/>
      <c r="B198" s="4"/>
      <c r="C198" s="239"/>
      <c r="D198" s="240"/>
      <c r="E198" s="240"/>
      <c r="F198" s="240"/>
      <c r="G198" s="240"/>
      <c r="H198" s="241"/>
      <c r="I198" s="85" t="s">
        <v>121</v>
      </c>
      <c r="J198" s="85"/>
      <c r="K198" s="85"/>
      <c r="L198" s="85"/>
      <c r="M198" s="86"/>
      <c r="N198" s="107"/>
      <c r="O198" s="110"/>
      <c r="P198" s="111"/>
      <c r="Q198" s="232"/>
      <c r="R198" s="226"/>
      <c r="S198" s="226"/>
      <c r="T198" s="226"/>
      <c r="U198" s="4" t="s">
        <v>121</v>
      </c>
    </row>
    <row r="199" spans="1:21" ht="13.2">
      <c r="A199" s="56"/>
      <c r="B199" s="4"/>
      <c r="C199" s="112" t="s">
        <v>228</v>
      </c>
      <c r="D199" s="113"/>
      <c r="E199" s="233" t="s">
        <v>1399</v>
      </c>
      <c r="F199" s="227"/>
      <c r="G199" s="227"/>
      <c r="H199" s="228"/>
      <c r="I199" s="85" t="s">
        <v>121</v>
      </c>
      <c r="J199" s="85"/>
      <c r="K199" s="85"/>
      <c r="L199" s="85"/>
      <c r="M199" s="86"/>
      <c r="N199" s="107"/>
      <c r="O199" s="112" t="s">
        <v>229</v>
      </c>
      <c r="P199" s="113"/>
      <c r="Q199" s="233" t="s">
        <v>1400</v>
      </c>
      <c r="R199" s="227"/>
      <c r="S199" s="227"/>
      <c r="T199" s="228"/>
      <c r="U199" s="4" t="s">
        <v>121</v>
      </c>
    </row>
    <row r="200" spans="1:21" ht="13.2">
      <c r="A200" s="56"/>
      <c r="B200" s="4"/>
      <c r="C200" s="112" t="s">
        <v>231</v>
      </c>
      <c r="D200" s="113"/>
      <c r="E200" s="113"/>
      <c r="F200" s="113"/>
      <c r="G200" s="113"/>
      <c r="H200" s="113"/>
      <c r="I200" s="85" t="s">
        <v>121</v>
      </c>
      <c r="J200" s="85"/>
      <c r="K200" s="85"/>
      <c r="L200" s="85"/>
      <c r="M200" s="86"/>
      <c r="N200" s="107"/>
      <c r="O200" s="110" t="s">
        <v>232</v>
      </c>
      <c r="P200" s="111"/>
      <c r="Q200" s="111"/>
      <c r="R200" s="111"/>
      <c r="S200" s="111"/>
      <c r="T200" s="111"/>
      <c r="U200" s="4" t="s">
        <v>121</v>
      </c>
    </row>
    <row r="201" spans="1:21" ht="13.2">
      <c r="A201" s="56"/>
      <c r="B201" s="4"/>
      <c r="C201" s="273" t="s">
        <v>1401</v>
      </c>
      <c r="D201" s="235"/>
      <c r="E201" s="235"/>
      <c r="F201" s="235"/>
      <c r="G201" s="235"/>
      <c r="H201" s="236"/>
      <c r="I201" s="4" t="s">
        <v>121</v>
      </c>
      <c r="J201" s="4"/>
      <c r="K201" s="4"/>
      <c r="L201" s="4"/>
      <c r="M201" s="71"/>
      <c r="N201" s="109"/>
      <c r="O201" s="234" t="s">
        <v>1402</v>
      </c>
      <c r="P201" s="235"/>
      <c r="Q201" s="235"/>
      <c r="R201" s="235"/>
      <c r="S201" s="235"/>
      <c r="T201" s="236"/>
      <c r="U201" s="4" t="s">
        <v>121</v>
      </c>
    </row>
    <row r="202" spans="1:21" ht="13.2">
      <c r="A202" s="56"/>
      <c r="B202" s="4"/>
      <c r="C202" s="237"/>
      <c r="D202" s="226"/>
      <c r="E202" s="226"/>
      <c r="F202" s="226"/>
      <c r="G202" s="226"/>
      <c r="H202" s="238"/>
      <c r="I202" s="4" t="s">
        <v>121</v>
      </c>
      <c r="J202" s="4"/>
      <c r="K202" s="4"/>
      <c r="L202" s="4"/>
      <c r="M202" s="71"/>
      <c r="N202" s="109"/>
      <c r="O202" s="237"/>
      <c r="P202" s="226"/>
      <c r="Q202" s="226"/>
      <c r="R202" s="226"/>
      <c r="S202" s="226"/>
      <c r="T202" s="238"/>
      <c r="U202" s="4" t="s">
        <v>121</v>
      </c>
    </row>
    <row r="203" spans="1:21" ht="13.2">
      <c r="A203" s="56"/>
      <c r="B203" s="4"/>
      <c r="C203" s="237"/>
      <c r="D203" s="226"/>
      <c r="E203" s="226"/>
      <c r="F203" s="226"/>
      <c r="G203" s="226"/>
      <c r="H203" s="238"/>
      <c r="I203" s="4" t="s">
        <v>121</v>
      </c>
      <c r="J203" s="4"/>
      <c r="K203" s="4"/>
      <c r="L203" s="4"/>
      <c r="M203" s="71"/>
      <c r="N203" s="109"/>
      <c r="O203" s="237"/>
      <c r="P203" s="226"/>
      <c r="Q203" s="226"/>
      <c r="R203" s="226"/>
      <c r="S203" s="226"/>
      <c r="T203" s="238"/>
      <c r="U203" s="4" t="s">
        <v>121</v>
      </c>
    </row>
    <row r="204" spans="1:21" ht="13.2">
      <c r="A204" s="56"/>
      <c r="B204" s="4"/>
      <c r="C204" s="239"/>
      <c r="D204" s="240"/>
      <c r="E204" s="240"/>
      <c r="F204" s="240"/>
      <c r="G204" s="240"/>
      <c r="H204" s="241"/>
      <c r="I204" s="4" t="s">
        <v>121</v>
      </c>
      <c r="J204" s="4"/>
      <c r="K204" s="4"/>
      <c r="L204" s="4"/>
      <c r="M204" s="71"/>
      <c r="N204" s="109"/>
      <c r="O204" s="239"/>
      <c r="P204" s="240"/>
      <c r="Q204" s="240"/>
      <c r="R204" s="240"/>
      <c r="S204" s="240"/>
      <c r="T204" s="241"/>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14"/>
      <c r="C206" s="115"/>
      <c r="D206" s="116" t="s">
        <v>139</v>
      </c>
      <c r="E206" s="117">
        <v>3</v>
      </c>
      <c r="F206" s="17"/>
      <c r="G206" s="17"/>
      <c r="H206" s="17"/>
      <c r="I206" s="118" t="s">
        <v>121</v>
      </c>
      <c r="J206" s="118"/>
      <c r="K206" s="118"/>
      <c r="L206" s="118"/>
      <c r="M206" s="119"/>
      <c r="N206" s="118"/>
      <c r="O206" s="118"/>
      <c r="P206" s="116" t="s">
        <v>140</v>
      </c>
      <c r="Q206" s="248">
        <v>44383</v>
      </c>
      <c r="R206" s="226"/>
      <c r="S206" s="226"/>
      <c r="T206" s="226"/>
      <c r="U206" s="120" t="s">
        <v>121</v>
      </c>
    </row>
    <row r="207" spans="1:21" ht="15.6">
      <c r="A207" s="56"/>
      <c r="B207" s="121"/>
      <c r="C207" s="122"/>
      <c r="D207" s="123" t="s">
        <v>141</v>
      </c>
      <c r="E207" s="124"/>
      <c r="F207" s="18"/>
      <c r="G207" s="18"/>
      <c r="H207" s="18"/>
      <c r="I207" s="18" t="s">
        <v>121</v>
      </c>
      <c r="J207" s="18"/>
      <c r="K207" s="18"/>
      <c r="L207" s="18"/>
      <c r="M207" s="125"/>
      <c r="N207" s="18"/>
      <c r="O207" s="18"/>
      <c r="P207" s="126" t="s">
        <v>2</v>
      </c>
      <c r="Q207" s="243" t="s">
        <v>142</v>
      </c>
      <c r="R207" s="226"/>
      <c r="S207" s="226"/>
      <c r="T207" s="226"/>
      <c r="U207" s="18" t="s">
        <v>121</v>
      </c>
    </row>
    <row r="208" spans="1:21" ht="15.6">
      <c r="A208" s="56"/>
      <c r="B208" s="127"/>
      <c r="C208" s="128"/>
      <c r="D208" s="124"/>
      <c r="E208" s="124"/>
      <c r="F208" s="18"/>
      <c r="G208" s="18"/>
      <c r="H208" s="18"/>
      <c r="I208" s="18" t="s">
        <v>121</v>
      </c>
      <c r="J208" s="18"/>
      <c r="K208" s="18"/>
      <c r="L208" s="18"/>
      <c r="M208" s="125"/>
      <c r="N208" s="18"/>
      <c r="O208" s="18"/>
      <c r="P208" s="124"/>
      <c r="Q208" s="124"/>
      <c r="R208" s="124"/>
      <c r="S208" s="18"/>
      <c r="T208" s="18"/>
      <c r="U208" s="18" t="s">
        <v>121</v>
      </c>
    </row>
    <row r="209" spans="1:21" ht="61.8" customHeight="1">
      <c r="A209" s="56"/>
      <c r="B209" s="129"/>
      <c r="C209" s="251" t="s">
        <v>130</v>
      </c>
      <c r="D209" s="227"/>
      <c r="E209" s="252" t="s">
        <v>1338</v>
      </c>
      <c r="F209" s="227"/>
      <c r="G209" s="228"/>
      <c r="H209" s="130" t="s">
        <v>1403</v>
      </c>
      <c r="I209" s="131" t="s">
        <v>121</v>
      </c>
      <c r="J209" s="132"/>
      <c r="K209" s="132"/>
      <c r="L209" s="132"/>
      <c r="M209" s="133"/>
      <c r="N209" s="48"/>
      <c r="O209" s="244" t="s">
        <v>132</v>
      </c>
      <c r="P209" s="227"/>
      <c r="Q209" s="245" t="s">
        <v>1339</v>
      </c>
      <c r="R209" s="227"/>
      <c r="S209" s="228"/>
      <c r="T209" s="134" t="s">
        <v>1404</v>
      </c>
      <c r="U209" s="135" t="s">
        <v>121</v>
      </c>
    </row>
    <row r="210" spans="1:21" ht="17.399999999999999">
      <c r="A210" s="56"/>
      <c r="B210" s="136"/>
      <c r="C210" s="253" t="s">
        <v>1</v>
      </c>
      <c r="D210" s="228"/>
      <c r="E210" s="254">
        <v>34</v>
      </c>
      <c r="F210" s="227"/>
      <c r="G210" s="227"/>
      <c r="H210" s="137"/>
      <c r="I210" s="131" t="s">
        <v>121</v>
      </c>
      <c r="J210" s="138"/>
      <c r="K210" s="138"/>
      <c r="L210" s="138"/>
      <c r="M210" s="139"/>
      <c r="N210" s="48"/>
      <c r="O210" s="246" t="s">
        <v>1</v>
      </c>
      <c r="P210" s="228"/>
      <c r="Q210" s="247">
        <v>34</v>
      </c>
      <c r="R210" s="227"/>
      <c r="S210" s="227"/>
      <c r="T210" s="140"/>
      <c r="U210" s="135"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145</v>
      </c>
      <c r="H212" s="60" t="s">
        <v>146</v>
      </c>
      <c r="I212" s="55" t="s">
        <v>121</v>
      </c>
      <c r="J212" s="55"/>
      <c r="K212" s="55"/>
      <c r="L212" s="55"/>
      <c r="M212" s="61"/>
      <c r="N212" s="4"/>
      <c r="O212" s="57"/>
      <c r="P212" s="58"/>
      <c r="Q212" s="57"/>
      <c r="R212" s="57"/>
      <c r="S212" s="59" t="s">
        <v>145</v>
      </c>
      <c r="T212" s="60" t="s">
        <v>146</v>
      </c>
      <c r="U212" s="55" t="s">
        <v>121</v>
      </c>
    </row>
    <row r="213" spans="1:21" ht="13.2">
      <c r="A213" s="56"/>
      <c r="B213" s="4"/>
      <c r="C213" s="62" t="s">
        <v>147</v>
      </c>
      <c r="D213" s="63" t="s">
        <v>148</v>
      </c>
      <c r="E213" s="57"/>
      <c r="F213" s="57"/>
      <c r="G213" s="64">
        <v>8</v>
      </c>
      <c r="H213" s="65">
        <v>1</v>
      </c>
      <c r="I213" s="55" t="s">
        <v>121</v>
      </c>
      <c r="J213" s="55"/>
      <c r="K213" s="55"/>
      <c r="L213" s="55"/>
      <c r="M213" s="61"/>
      <c r="N213" s="4"/>
      <c r="O213" s="62" t="s">
        <v>149</v>
      </c>
      <c r="P213" s="63" t="s">
        <v>150</v>
      </c>
      <c r="Q213" s="57"/>
      <c r="R213" s="57"/>
      <c r="S213" s="64">
        <v>3</v>
      </c>
      <c r="T213" s="65">
        <v>6</v>
      </c>
      <c r="U213" s="55" t="s">
        <v>121</v>
      </c>
    </row>
    <row r="214" spans="1:21" ht="13.2">
      <c r="A214" s="56"/>
      <c r="B214" s="4"/>
      <c r="C214" s="62" t="s">
        <v>151</v>
      </c>
      <c r="D214" s="63" t="s">
        <v>152</v>
      </c>
      <c r="E214" s="57"/>
      <c r="F214" s="57"/>
      <c r="G214" s="64">
        <v>6</v>
      </c>
      <c r="H214" s="65">
        <v>3</v>
      </c>
      <c r="I214" s="55" t="s">
        <v>121</v>
      </c>
      <c r="J214" s="55"/>
      <c r="K214" s="55"/>
      <c r="L214" s="55"/>
      <c r="M214" s="61"/>
      <c r="N214" s="4"/>
      <c r="O214" s="62" t="s">
        <v>153</v>
      </c>
      <c r="P214" s="63" t="s">
        <v>154</v>
      </c>
      <c r="Q214" s="57"/>
      <c r="R214" s="57"/>
      <c r="S214" s="64">
        <v>0</v>
      </c>
      <c r="T214" s="65">
        <v>5</v>
      </c>
      <c r="U214" s="55" t="s">
        <v>121</v>
      </c>
    </row>
    <row r="215" spans="1:21" ht="13.2">
      <c r="A215" s="56"/>
      <c r="B215" s="4"/>
      <c r="C215" s="62" t="s">
        <v>155</v>
      </c>
      <c r="D215" s="63" t="s">
        <v>156</v>
      </c>
      <c r="E215" s="57"/>
      <c r="F215" s="57"/>
      <c r="G215" s="64">
        <v>9</v>
      </c>
      <c r="H215" s="65">
        <v>0</v>
      </c>
      <c r="I215" s="55" t="s">
        <v>121</v>
      </c>
      <c r="J215" s="55"/>
      <c r="K215" s="55"/>
      <c r="L215" s="55"/>
      <c r="M215" s="61"/>
      <c r="N215" s="4"/>
      <c r="O215" s="62" t="s">
        <v>157</v>
      </c>
      <c r="P215" s="63" t="s">
        <v>158</v>
      </c>
      <c r="Q215" s="57"/>
      <c r="R215" s="57"/>
      <c r="S215" s="64">
        <v>3</v>
      </c>
      <c r="T215" s="65">
        <v>6</v>
      </c>
      <c r="U215" s="55" t="s">
        <v>121</v>
      </c>
    </row>
    <row r="216" spans="1:21" ht="13.2">
      <c r="A216" s="56"/>
      <c r="B216" s="4"/>
      <c r="C216" s="62" t="s">
        <v>159</v>
      </c>
      <c r="D216" s="63" t="s">
        <v>160</v>
      </c>
      <c r="E216" s="57"/>
      <c r="F216" s="57"/>
      <c r="G216" s="64">
        <v>1</v>
      </c>
      <c r="H216" s="65">
        <v>8</v>
      </c>
      <c r="I216" s="55" t="s">
        <v>121</v>
      </c>
      <c r="J216" s="55"/>
      <c r="K216" s="55"/>
      <c r="L216" s="55"/>
      <c r="M216" s="61"/>
      <c r="N216" s="4"/>
      <c r="O216" s="62" t="s">
        <v>161</v>
      </c>
      <c r="P216" s="63" t="s">
        <v>162</v>
      </c>
      <c r="Q216" s="57"/>
      <c r="R216" s="57"/>
      <c r="S216" s="64">
        <v>4</v>
      </c>
      <c r="T216" s="65">
        <v>5</v>
      </c>
      <c r="U216" s="55" t="s">
        <v>121</v>
      </c>
    </row>
    <row r="217" spans="1:21" ht="13.2">
      <c r="A217" s="56"/>
      <c r="B217" s="4"/>
      <c r="C217" s="66"/>
      <c r="D217" s="67" t="s">
        <v>163</v>
      </c>
      <c r="E217" s="68"/>
      <c r="F217" s="68"/>
      <c r="G217" s="69">
        <v>24</v>
      </c>
      <c r="H217" s="70">
        <v>12</v>
      </c>
      <c r="I217" s="55" t="s">
        <v>121</v>
      </c>
      <c r="J217" s="55"/>
      <c r="K217" s="55"/>
      <c r="L217" s="55"/>
      <c r="M217" s="61"/>
      <c r="N217" s="4"/>
      <c r="O217" s="66"/>
      <c r="P217" s="67" t="s">
        <v>163</v>
      </c>
      <c r="Q217" s="68"/>
      <c r="R217" s="68"/>
      <c r="S217" s="69">
        <v>10</v>
      </c>
      <c r="T217" s="70">
        <v>22</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147</v>
      </c>
      <c r="B221" s="73"/>
      <c r="C221" s="74" t="s">
        <v>164</v>
      </c>
      <c r="D221" s="75" t="s">
        <v>148</v>
      </c>
      <c r="E221" s="76" t="s">
        <v>1</v>
      </c>
      <c r="F221" s="76" t="s">
        <v>165</v>
      </c>
      <c r="G221" s="76" t="s">
        <v>145</v>
      </c>
      <c r="H221" s="76" t="s">
        <v>146</v>
      </c>
      <c r="I221" s="77" t="s">
        <v>121</v>
      </c>
      <c r="J221" s="78"/>
      <c r="K221" s="78"/>
      <c r="L221" s="78"/>
      <c r="M221" s="79"/>
      <c r="N221" s="77"/>
      <c r="O221" s="74" t="s">
        <v>164</v>
      </c>
      <c r="P221" s="75" t="s">
        <v>150</v>
      </c>
      <c r="Q221" s="76" t="s">
        <v>1</v>
      </c>
      <c r="R221" s="76" t="s">
        <v>165</v>
      </c>
      <c r="S221" s="76" t="s">
        <v>145</v>
      </c>
      <c r="T221" s="76" t="s">
        <v>146</v>
      </c>
      <c r="U221" s="77" t="s">
        <v>121</v>
      </c>
    </row>
    <row r="222" spans="1:21" ht="13.2">
      <c r="A222" s="56" t="s">
        <v>147</v>
      </c>
      <c r="B222" s="80"/>
      <c r="C222" s="81">
        <v>1</v>
      </c>
      <c r="D222" s="82" t="s">
        <v>1405</v>
      </c>
      <c r="E222" s="83">
        <v>78.900000000000006</v>
      </c>
      <c r="F222" s="81" t="s">
        <v>1403</v>
      </c>
      <c r="G222" s="81">
        <v>5</v>
      </c>
      <c r="H222" s="81" t="s">
        <v>121</v>
      </c>
      <c r="I222" s="84" t="s">
        <v>121</v>
      </c>
      <c r="J222" s="85"/>
      <c r="K222" s="85"/>
      <c r="L222" s="85"/>
      <c r="M222" s="86"/>
      <c r="N222" s="80"/>
      <c r="O222" s="81">
        <v>1</v>
      </c>
      <c r="P222" s="82" t="s">
        <v>1406</v>
      </c>
      <c r="Q222" s="83">
        <v>65.8</v>
      </c>
      <c r="R222" s="81" t="s">
        <v>1404</v>
      </c>
      <c r="S222" s="81" t="s">
        <v>121</v>
      </c>
      <c r="T222" s="81">
        <v>5</v>
      </c>
      <c r="U222" s="84" t="s">
        <v>121</v>
      </c>
    </row>
    <row r="223" spans="1:21" ht="13.2">
      <c r="A223" s="56" t="s">
        <v>147</v>
      </c>
      <c r="B223" s="80"/>
      <c r="C223" s="81">
        <v>2</v>
      </c>
      <c r="D223" s="82" t="s">
        <v>1407</v>
      </c>
      <c r="E223" s="87">
        <v>74.400000000000006</v>
      </c>
      <c r="F223" s="81" t="s">
        <v>1403</v>
      </c>
      <c r="G223" s="81">
        <v>3</v>
      </c>
      <c r="H223" s="81" t="s">
        <v>121</v>
      </c>
      <c r="I223" s="84" t="s">
        <v>121</v>
      </c>
      <c r="J223" s="85"/>
      <c r="K223" s="85"/>
      <c r="L223" s="85"/>
      <c r="M223" s="86"/>
      <c r="N223" s="80"/>
      <c r="O223" s="81">
        <v>2</v>
      </c>
      <c r="P223" s="82" t="s">
        <v>1408</v>
      </c>
      <c r="Q223" s="87">
        <v>57.05</v>
      </c>
      <c r="R223" s="81" t="s">
        <v>1403</v>
      </c>
      <c r="S223" s="81">
        <v>3</v>
      </c>
      <c r="T223" s="81" t="s">
        <v>121</v>
      </c>
      <c r="U223" s="84" t="s">
        <v>121</v>
      </c>
    </row>
    <row r="224" spans="1:21" ht="13.2">
      <c r="A224" s="56" t="s">
        <v>147</v>
      </c>
      <c r="B224" s="80"/>
      <c r="C224" s="81">
        <v>3</v>
      </c>
      <c r="D224" s="82" t="s">
        <v>1409</v>
      </c>
      <c r="E224" s="87">
        <v>56.25</v>
      </c>
      <c r="F224" s="81" t="s">
        <v>1404</v>
      </c>
      <c r="G224" s="81" t="s">
        <v>121</v>
      </c>
      <c r="H224" s="81">
        <v>1</v>
      </c>
      <c r="I224" s="84" t="s">
        <v>121</v>
      </c>
      <c r="J224" s="85"/>
      <c r="K224" s="85"/>
      <c r="L224" s="85"/>
      <c r="M224" s="86"/>
      <c r="N224" s="80"/>
      <c r="O224" s="81">
        <v>3</v>
      </c>
      <c r="P224" s="82" t="s">
        <v>1410</v>
      </c>
      <c r="Q224" s="87">
        <v>55.8</v>
      </c>
      <c r="R224" s="81" t="s">
        <v>1404</v>
      </c>
      <c r="S224" s="81" t="s">
        <v>121</v>
      </c>
      <c r="T224" s="81">
        <v>1</v>
      </c>
      <c r="U224" s="84" t="s">
        <v>121</v>
      </c>
    </row>
    <row r="225" spans="1:21" ht="13.2">
      <c r="A225" s="56" t="s">
        <v>147</v>
      </c>
      <c r="B225" s="80"/>
      <c r="C225" s="81">
        <v>4</v>
      </c>
      <c r="D225" s="82" t="s">
        <v>1411</v>
      </c>
      <c r="E225" s="87">
        <v>34.049999999999997</v>
      </c>
      <c r="F225" s="81" t="s">
        <v>1403</v>
      </c>
      <c r="G225" s="81" t="s">
        <v>121</v>
      </c>
      <c r="H225" s="81" t="s">
        <v>121</v>
      </c>
      <c r="I225" s="84" t="s">
        <v>121</v>
      </c>
      <c r="J225" s="85"/>
      <c r="K225" s="85"/>
      <c r="L225" s="85"/>
      <c r="M225" s="86"/>
      <c r="N225" s="80"/>
      <c r="O225" s="81">
        <v>4</v>
      </c>
      <c r="P225" s="82" t="s">
        <v>1412</v>
      </c>
      <c r="Q225" s="87">
        <v>55.3</v>
      </c>
      <c r="R225" s="81" t="s">
        <v>1403</v>
      </c>
      <c r="S225" s="81" t="s">
        <v>121</v>
      </c>
      <c r="T225" s="81" t="s">
        <v>121</v>
      </c>
      <c r="U225" s="84" t="s">
        <v>121</v>
      </c>
    </row>
    <row r="226" spans="1:21" ht="13.2">
      <c r="A226" s="56" t="s">
        <v>121</v>
      </c>
      <c r="B226" s="80"/>
      <c r="C226" s="81" t="s">
        <v>121</v>
      </c>
      <c r="D226" s="82"/>
      <c r="E226" s="87" t="s">
        <v>121</v>
      </c>
      <c r="F226" s="81"/>
      <c r="G226" s="81" t="s">
        <v>121</v>
      </c>
      <c r="H226" s="81" t="s">
        <v>121</v>
      </c>
      <c r="I226" s="84" t="s">
        <v>121</v>
      </c>
      <c r="J226" s="85"/>
      <c r="K226" s="85"/>
      <c r="L226" s="85"/>
      <c r="M226" s="86"/>
      <c r="N226" s="80"/>
      <c r="O226" s="81">
        <v>5</v>
      </c>
      <c r="P226" s="82" t="s">
        <v>1413</v>
      </c>
      <c r="Q226" s="87">
        <v>41.05</v>
      </c>
      <c r="R226" s="81" t="s">
        <v>1404</v>
      </c>
      <c r="S226" s="81" t="s">
        <v>121</v>
      </c>
      <c r="T226" s="81" t="s">
        <v>121</v>
      </c>
      <c r="U226" s="84" t="s">
        <v>121</v>
      </c>
    </row>
    <row r="227" spans="1:21" ht="13.2">
      <c r="A227" s="56" t="s">
        <v>121</v>
      </c>
      <c r="B227" s="80"/>
      <c r="C227" s="81" t="s">
        <v>121</v>
      </c>
      <c r="D227" s="82"/>
      <c r="E227" s="87" t="s">
        <v>121</v>
      </c>
      <c r="F227" s="81"/>
      <c r="G227" s="81" t="s">
        <v>121</v>
      </c>
      <c r="H227" s="81" t="s">
        <v>121</v>
      </c>
      <c r="I227" s="84" t="s">
        <v>121</v>
      </c>
      <c r="J227" s="85"/>
      <c r="K227" s="85"/>
      <c r="L227" s="85"/>
      <c r="M227" s="86"/>
      <c r="N227" s="80"/>
      <c r="O227" s="81">
        <v>6</v>
      </c>
      <c r="P227" s="82" t="s">
        <v>1414</v>
      </c>
      <c r="Q227" s="87">
        <v>39.5</v>
      </c>
      <c r="R227" s="81" t="s">
        <v>1403</v>
      </c>
      <c r="S227" s="81" t="s">
        <v>121</v>
      </c>
      <c r="T227" s="81" t="s">
        <v>121</v>
      </c>
      <c r="U227" s="84" t="s">
        <v>121</v>
      </c>
    </row>
    <row r="228" spans="1:21" ht="13.2">
      <c r="A228" s="56" t="s">
        <v>121</v>
      </c>
      <c r="B228" s="80"/>
      <c r="C228" s="81" t="s">
        <v>121</v>
      </c>
      <c r="D228" s="82"/>
      <c r="E228" s="87" t="s">
        <v>121</v>
      </c>
      <c r="F228" s="81"/>
      <c r="G228" s="81" t="s">
        <v>121</v>
      </c>
      <c r="H228" s="81" t="s">
        <v>121</v>
      </c>
      <c r="I228" s="84" t="s">
        <v>121</v>
      </c>
      <c r="J228" s="85"/>
      <c r="K228" s="85"/>
      <c r="L228" s="85"/>
      <c r="M228" s="86"/>
      <c r="N228" s="80"/>
      <c r="O228" s="81">
        <v>7</v>
      </c>
      <c r="P228" s="82" t="s">
        <v>1415</v>
      </c>
      <c r="Q228" s="87">
        <v>35.799999999999997</v>
      </c>
      <c r="R228" s="81" t="s">
        <v>1403</v>
      </c>
      <c r="S228" s="81" t="s">
        <v>121</v>
      </c>
      <c r="T228" s="81" t="s">
        <v>121</v>
      </c>
      <c r="U228" s="84" t="s">
        <v>121</v>
      </c>
    </row>
    <row r="229" spans="1:21" ht="13.2">
      <c r="A229" s="56" t="s">
        <v>121</v>
      </c>
      <c r="B229" s="80"/>
      <c r="C229" s="81" t="s">
        <v>121</v>
      </c>
      <c r="D229" s="88"/>
      <c r="E229" s="87" t="s">
        <v>121</v>
      </c>
      <c r="F229" s="81"/>
      <c r="G229" s="81" t="s">
        <v>121</v>
      </c>
      <c r="H229" s="81" t="s">
        <v>121</v>
      </c>
      <c r="I229" s="84" t="s">
        <v>121</v>
      </c>
      <c r="J229" s="85"/>
      <c r="K229" s="85"/>
      <c r="L229" s="85"/>
      <c r="M229" s="86"/>
      <c r="N229" s="80"/>
      <c r="O229" s="81">
        <v>8</v>
      </c>
      <c r="P229" s="82" t="s">
        <v>1416</v>
      </c>
      <c r="Q229" s="87">
        <v>34.200000000000003</v>
      </c>
      <c r="R229" s="81" t="s">
        <v>1403</v>
      </c>
      <c r="S229" s="81" t="s">
        <v>121</v>
      </c>
      <c r="T229" s="81" t="s">
        <v>121</v>
      </c>
      <c r="U229" s="84" t="s">
        <v>121</v>
      </c>
    </row>
    <row r="230" spans="1:21" ht="13.2">
      <c r="A230" s="56" t="s">
        <v>121</v>
      </c>
      <c r="B230" s="80"/>
      <c r="C230" s="81" t="s">
        <v>121</v>
      </c>
      <c r="D230" s="88"/>
      <c r="E230" s="87" t="s">
        <v>121</v>
      </c>
      <c r="F230" s="81"/>
      <c r="G230" s="81" t="s">
        <v>121</v>
      </c>
      <c r="H230" s="81" t="s">
        <v>121</v>
      </c>
      <c r="I230" s="84" t="s">
        <v>121</v>
      </c>
      <c r="J230" s="85"/>
      <c r="K230" s="85"/>
      <c r="L230" s="85"/>
      <c r="M230" s="86"/>
      <c r="N230" s="80"/>
      <c r="O230" s="81">
        <v>9</v>
      </c>
      <c r="P230" s="82" t="s">
        <v>1417</v>
      </c>
      <c r="Q230" s="87">
        <v>33.1</v>
      </c>
      <c r="R230" s="81" t="s">
        <v>1403</v>
      </c>
      <c r="S230" s="81" t="s">
        <v>121</v>
      </c>
      <c r="T230" s="81" t="s">
        <v>121</v>
      </c>
      <c r="U230" s="84" t="s">
        <v>121</v>
      </c>
    </row>
    <row r="231" spans="1:21" ht="13.2">
      <c r="A231" s="56" t="s">
        <v>121</v>
      </c>
      <c r="B231" s="80"/>
      <c r="C231" s="81" t="s">
        <v>121</v>
      </c>
      <c r="D231" s="88"/>
      <c r="E231" s="87" t="s">
        <v>121</v>
      </c>
      <c r="F231" s="81"/>
      <c r="G231" s="81" t="s">
        <v>121</v>
      </c>
      <c r="H231" s="81" t="s">
        <v>121</v>
      </c>
      <c r="I231" s="84" t="s">
        <v>121</v>
      </c>
      <c r="J231" s="85"/>
      <c r="K231" s="85"/>
      <c r="L231" s="85"/>
      <c r="M231" s="86"/>
      <c r="N231" s="80"/>
      <c r="O231" s="81">
        <v>10</v>
      </c>
      <c r="P231" s="82" t="s">
        <v>1418</v>
      </c>
      <c r="Q231" s="87">
        <v>32.950000000000003</v>
      </c>
      <c r="R231" s="81" t="s">
        <v>1403</v>
      </c>
      <c r="S231" s="81" t="s">
        <v>121</v>
      </c>
      <c r="T231" s="81" t="s">
        <v>121</v>
      </c>
      <c r="U231" s="84" t="s">
        <v>121</v>
      </c>
    </row>
    <row r="232" spans="1:21" ht="13.2">
      <c r="A232" s="56" t="s">
        <v>121</v>
      </c>
      <c r="B232" s="80"/>
      <c r="C232" s="81" t="s">
        <v>121</v>
      </c>
      <c r="D232" s="88"/>
      <c r="E232" s="87" t="s">
        <v>121</v>
      </c>
      <c r="F232" s="81"/>
      <c r="G232" s="81" t="s">
        <v>121</v>
      </c>
      <c r="H232" s="81" t="s">
        <v>121</v>
      </c>
      <c r="I232" s="84" t="s">
        <v>121</v>
      </c>
      <c r="J232" s="85"/>
      <c r="K232" s="85"/>
      <c r="L232" s="85"/>
      <c r="M232" s="86"/>
      <c r="N232" s="80"/>
      <c r="O232" s="81">
        <v>11</v>
      </c>
      <c r="P232" s="82" t="s">
        <v>1419</v>
      </c>
      <c r="Q232" s="87">
        <v>21.9</v>
      </c>
      <c r="R232" s="81" t="s">
        <v>1403</v>
      </c>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30" t="s">
        <v>184</v>
      </c>
      <c r="D247" s="227"/>
      <c r="E247" s="227"/>
      <c r="F247" s="227"/>
      <c r="G247" s="90">
        <v>8</v>
      </c>
      <c r="H247" s="90">
        <v>1</v>
      </c>
      <c r="I247" s="84" t="s">
        <v>121</v>
      </c>
      <c r="J247" s="85"/>
      <c r="K247" s="85"/>
      <c r="L247" s="85"/>
      <c r="M247" s="86"/>
      <c r="N247" s="80"/>
      <c r="O247" s="230" t="s">
        <v>185</v>
      </c>
      <c r="P247" s="227"/>
      <c r="Q247" s="227"/>
      <c r="R247" s="227"/>
      <c r="S247" s="90">
        <v>3</v>
      </c>
      <c r="T247" s="90">
        <v>6</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151</v>
      </c>
      <c r="B250" s="92"/>
      <c r="C250" s="93" t="s">
        <v>164</v>
      </c>
      <c r="D250" s="94" t="s">
        <v>152</v>
      </c>
      <c r="E250" s="95" t="s">
        <v>1</v>
      </c>
      <c r="F250" s="95" t="s">
        <v>165</v>
      </c>
      <c r="G250" s="95" t="s">
        <v>145</v>
      </c>
      <c r="H250" s="95" t="s">
        <v>146</v>
      </c>
      <c r="I250" s="96" t="s">
        <v>121</v>
      </c>
      <c r="J250" s="78"/>
      <c r="K250" s="78"/>
      <c r="L250" s="78"/>
      <c r="M250" s="79"/>
      <c r="N250" s="96"/>
      <c r="O250" s="93" t="s">
        <v>164</v>
      </c>
      <c r="P250" s="94" t="s">
        <v>154</v>
      </c>
      <c r="Q250" s="95" t="s">
        <v>1</v>
      </c>
      <c r="R250" s="95" t="s">
        <v>165</v>
      </c>
      <c r="S250" s="95" t="s">
        <v>145</v>
      </c>
      <c r="T250" s="95" t="s">
        <v>146</v>
      </c>
      <c r="U250" s="96" t="s">
        <v>121</v>
      </c>
    </row>
    <row r="251" spans="1:21" ht="13.2">
      <c r="A251" s="56" t="s">
        <v>151</v>
      </c>
      <c r="B251" s="99"/>
      <c r="C251" s="81">
        <v>1</v>
      </c>
      <c r="D251" s="82" t="s">
        <v>1420</v>
      </c>
      <c r="E251" s="83">
        <v>86.15</v>
      </c>
      <c r="F251" s="81" t="s">
        <v>1403</v>
      </c>
      <c r="G251" s="81">
        <v>5</v>
      </c>
      <c r="H251" s="81" t="s">
        <v>121</v>
      </c>
      <c r="I251" s="100" t="s">
        <v>121</v>
      </c>
      <c r="J251" s="85"/>
      <c r="K251" s="85"/>
      <c r="L251" s="85"/>
      <c r="M251" s="86"/>
      <c r="N251" s="99"/>
      <c r="O251" s="81">
        <v>1</v>
      </c>
      <c r="P251" s="82" t="s">
        <v>1421</v>
      </c>
      <c r="Q251" s="83">
        <v>93.6</v>
      </c>
      <c r="R251" s="81" t="s">
        <v>1404</v>
      </c>
      <c r="S251" s="81" t="s">
        <v>121</v>
      </c>
      <c r="T251" s="81">
        <v>5</v>
      </c>
      <c r="U251" s="100" t="s">
        <v>123</v>
      </c>
    </row>
    <row r="252" spans="1:21" ht="13.2">
      <c r="A252" s="56" t="s">
        <v>151</v>
      </c>
      <c r="B252" s="99"/>
      <c r="C252" s="81">
        <v>2</v>
      </c>
      <c r="D252" s="82" t="s">
        <v>1422</v>
      </c>
      <c r="E252" s="87">
        <v>63.55</v>
      </c>
      <c r="F252" s="81" t="s">
        <v>1404</v>
      </c>
      <c r="G252" s="81" t="s">
        <v>121</v>
      </c>
      <c r="H252" s="81">
        <v>3</v>
      </c>
      <c r="I252" s="100" t="s">
        <v>121</v>
      </c>
      <c r="J252" s="85"/>
      <c r="K252" s="85"/>
      <c r="L252" s="85"/>
      <c r="M252" s="86"/>
      <c r="N252" s="99"/>
      <c r="O252" s="81">
        <v>2</v>
      </c>
      <c r="P252" s="82" t="s">
        <v>1423</v>
      </c>
      <c r="Q252" s="87">
        <v>0</v>
      </c>
      <c r="R252" s="81" t="s">
        <v>1404</v>
      </c>
      <c r="S252" s="81" t="s">
        <v>121</v>
      </c>
      <c r="T252" s="81" t="s">
        <v>121</v>
      </c>
      <c r="U252" s="100" t="s">
        <v>121</v>
      </c>
    </row>
    <row r="253" spans="1:21" ht="13.2">
      <c r="A253" s="56" t="s">
        <v>151</v>
      </c>
      <c r="B253" s="99"/>
      <c r="C253" s="81">
        <v>3</v>
      </c>
      <c r="D253" s="82" t="s">
        <v>1424</v>
      </c>
      <c r="E253" s="87">
        <v>62.9</v>
      </c>
      <c r="F253" s="81" t="s">
        <v>1403</v>
      </c>
      <c r="G253" s="81">
        <v>1</v>
      </c>
      <c r="H253" s="81" t="s">
        <v>121</v>
      </c>
      <c r="I253" s="100" t="s">
        <v>121</v>
      </c>
      <c r="J253" s="85"/>
      <c r="K253" s="85"/>
      <c r="L253" s="85"/>
      <c r="M253" s="86"/>
      <c r="N253" s="99"/>
      <c r="O253" s="81" t="s">
        <v>121</v>
      </c>
      <c r="P253" s="82"/>
      <c r="Q253" s="87" t="s">
        <v>121</v>
      </c>
      <c r="R253" s="81"/>
      <c r="S253" s="81" t="s">
        <v>121</v>
      </c>
      <c r="T253" s="81" t="s">
        <v>121</v>
      </c>
      <c r="U253" s="100" t="s">
        <v>121</v>
      </c>
    </row>
    <row r="254" spans="1:21" ht="13.2">
      <c r="A254" s="56" t="s">
        <v>121</v>
      </c>
      <c r="B254" s="99"/>
      <c r="C254" s="81" t="s">
        <v>121</v>
      </c>
      <c r="D254" s="82"/>
      <c r="E254" s="87" t="s">
        <v>121</v>
      </c>
      <c r="F254" s="81"/>
      <c r="G254" s="81" t="s">
        <v>121</v>
      </c>
      <c r="H254" s="81" t="s">
        <v>121</v>
      </c>
      <c r="I254" s="100" t="s">
        <v>121</v>
      </c>
      <c r="J254" s="85"/>
      <c r="K254" s="85"/>
      <c r="L254" s="85"/>
      <c r="M254" s="86"/>
      <c r="N254" s="99"/>
      <c r="O254" s="81" t="s">
        <v>121</v>
      </c>
      <c r="P254" s="82"/>
      <c r="Q254" s="87" t="s">
        <v>121</v>
      </c>
      <c r="R254" s="81"/>
      <c r="S254" s="81" t="s">
        <v>121</v>
      </c>
      <c r="T254" s="81" t="s">
        <v>121</v>
      </c>
      <c r="U254" s="100" t="s">
        <v>121</v>
      </c>
    </row>
    <row r="255" spans="1:21" ht="13.2">
      <c r="A255" s="56" t="s">
        <v>121</v>
      </c>
      <c r="B255" s="99"/>
      <c r="C255" s="81" t="s">
        <v>121</v>
      </c>
      <c r="D255" s="82"/>
      <c r="E255" s="87" t="s">
        <v>121</v>
      </c>
      <c r="F255" s="81"/>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121</v>
      </c>
      <c r="B256" s="99"/>
      <c r="C256" s="81" t="s">
        <v>121</v>
      </c>
      <c r="D256" s="82"/>
      <c r="E256" s="87" t="s">
        <v>121</v>
      </c>
      <c r="F256" s="81"/>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30" t="s">
        <v>199</v>
      </c>
      <c r="D266" s="227"/>
      <c r="E266" s="227"/>
      <c r="F266" s="228"/>
      <c r="G266" s="90">
        <v>6</v>
      </c>
      <c r="H266" s="90">
        <v>3</v>
      </c>
      <c r="I266" s="100" t="s">
        <v>121</v>
      </c>
      <c r="J266" s="85"/>
      <c r="K266" s="85"/>
      <c r="L266" s="85"/>
      <c r="M266" s="86"/>
      <c r="N266" s="99"/>
      <c r="O266" s="230" t="s">
        <v>200</v>
      </c>
      <c r="P266" s="227"/>
      <c r="Q266" s="227"/>
      <c r="R266" s="228"/>
      <c r="S266" s="90">
        <v>0</v>
      </c>
      <c r="T266" s="90">
        <v>5</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155</v>
      </c>
      <c r="B269" s="101"/>
      <c r="C269" s="102" t="s">
        <v>164</v>
      </c>
      <c r="D269" s="103" t="s">
        <v>156</v>
      </c>
      <c r="E269" s="104" t="s">
        <v>1</v>
      </c>
      <c r="F269" s="104" t="s">
        <v>165</v>
      </c>
      <c r="G269" s="104" t="s">
        <v>145</v>
      </c>
      <c r="H269" s="104" t="s">
        <v>146</v>
      </c>
      <c r="I269" s="105" t="s">
        <v>121</v>
      </c>
      <c r="J269" s="78"/>
      <c r="K269" s="78"/>
      <c r="L269" s="78"/>
      <c r="M269" s="79"/>
      <c r="N269" s="105"/>
      <c r="O269" s="102" t="s">
        <v>164</v>
      </c>
      <c r="P269" s="103" t="s">
        <v>158</v>
      </c>
      <c r="Q269" s="104" t="s">
        <v>1</v>
      </c>
      <c r="R269" s="104" t="s">
        <v>165</v>
      </c>
      <c r="S269" s="104" t="s">
        <v>145</v>
      </c>
      <c r="T269" s="104" t="s">
        <v>146</v>
      </c>
      <c r="U269" s="105" t="s">
        <v>121</v>
      </c>
    </row>
    <row r="270" spans="1:21" ht="13.2">
      <c r="A270" s="56" t="s">
        <v>155</v>
      </c>
      <c r="B270" s="80"/>
      <c r="C270" s="81">
        <v>1</v>
      </c>
      <c r="D270" s="82" t="s">
        <v>1425</v>
      </c>
      <c r="E270" s="83">
        <v>147.35</v>
      </c>
      <c r="F270" s="81" t="s">
        <v>1403</v>
      </c>
      <c r="G270" s="81">
        <v>5</v>
      </c>
      <c r="H270" s="81" t="s">
        <v>121</v>
      </c>
      <c r="I270" s="84" t="s">
        <v>121</v>
      </c>
      <c r="J270" s="85"/>
      <c r="K270" s="85"/>
      <c r="L270" s="85"/>
      <c r="M270" s="86"/>
      <c r="N270" s="80"/>
      <c r="O270" s="81">
        <v>1</v>
      </c>
      <c r="P270" s="82" t="s">
        <v>1426</v>
      </c>
      <c r="Q270" s="83">
        <v>131</v>
      </c>
      <c r="R270" s="81" t="s">
        <v>1404</v>
      </c>
      <c r="S270" s="81" t="s">
        <v>121</v>
      </c>
      <c r="T270" s="81">
        <v>5</v>
      </c>
      <c r="U270" s="84" t="s">
        <v>123</v>
      </c>
    </row>
    <row r="271" spans="1:21" ht="13.2">
      <c r="A271" s="56" t="s">
        <v>155</v>
      </c>
      <c r="B271" s="80"/>
      <c r="C271" s="81">
        <v>2</v>
      </c>
      <c r="D271" s="82" t="s">
        <v>1427</v>
      </c>
      <c r="E271" s="87">
        <v>99.9</v>
      </c>
      <c r="F271" s="81" t="s">
        <v>1403</v>
      </c>
      <c r="G271" s="81">
        <v>3</v>
      </c>
      <c r="H271" s="81" t="s">
        <v>121</v>
      </c>
      <c r="I271" s="84" t="s">
        <v>121</v>
      </c>
      <c r="J271" s="85"/>
      <c r="K271" s="85"/>
      <c r="L271" s="85"/>
      <c r="M271" s="86"/>
      <c r="N271" s="80"/>
      <c r="O271" s="81">
        <v>2</v>
      </c>
      <c r="P271" s="82" t="s">
        <v>1428</v>
      </c>
      <c r="Q271" s="87">
        <v>91.9</v>
      </c>
      <c r="R271" s="81" t="s">
        <v>1403</v>
      </c>
      <c r="S271" s="81">
        <v>3</v>
      </c>
      <c r="T271" s="81" t="s">
        <v>121</v>
      </c>
      <c r="U271" s="84" t="s">
        <v>121</v>
      </c>
    </row>
    <row r="272" spans="1:21" ht="13.2">
      <c r="A272" s="56" t="s">
        <v>155</v>
      </c>
      <c r="B272" s="80"/>
      <c r="C272" s="81">
        <v>3</v>
      </c>
      <c r="D272" s="82" t="s">
        <v>1429</v>
      </c>
      <c r="E272" s="87">
        <v>91.65</v>
      </c>
      <c r="F272" s="81" t="s">
        <v>1403</v>
      </c>
      <c r="G272" s="81">
        <v>1</v>
      </c>
      <c r="H272" s="81" t="s">
        <v>121</v>
      </c>
      <c r="I272" s="84" t="s">
        <v>121</v>
      </c>
      <c r="J272" s="85"/>
      <c r="K272" s="85"/>
      <c r="L272" s="85"/>
      <c r="M272" s="86"/>
      <c r="N272" s="80"/>
      <c r="O272" s="81">
        <v>3</v>
      </c>
      <c r="P272" s="82" t="s">
        <v>1430</v>
      </c>
      <c r="Q272" s="87">
        <v>73.650000000000006</v>
      </c>
      <c r="R272" s="81" t="s">
        <v>1404</v>
      </c>
      <c r="S272" s="81" t="s">
        <v>121</v>
      </c>
      <c r="T272" s="81">
        <v>1</v>
      </c>
      <c r="U272" s="84" t="s">
        <v>121</v>
      </c>
    </row>
    <row r="273" spans="1:21" ht="13.2">
      <c r="A273" s="56" t="s">
        <v>155</v>
      </c>
      <c r="B273" s="80"/>
      <c r="C273" s="81">
        <v>4</v>
      </c>
      <c r="D273" s="82" t="s">
        <v>1431</v>
      </c>
      <c r="E273" s="87">
        <v>89.85</v>
      </c>
      <c r="F273" s="81" t="s">
        <v>1403</v>
      </c>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155</v>
      </c>
      <c r="B274" s="80"/>
      <c r="C274" s="81">
        <v>5</v>
      </c>
      <c r="D274" s="82" t="s">
        <v>1432</v>
      </c>
      <c r="E274" s="87">
        <v>0</v>
      </c>
      <c r="F274" s="81" t="s">
        <v>1404</v>
      </c>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30" t="s">
        <v>210</v>
      </c>
      <c r="D280" s="227"/>
      <c r="E280" s="227"/>
      <c r="F280" s="227"/>
      <c r="G280" s="90">
        <v>9</v>
      </c>
      <c r="H280" s="90">
        <v>0</v>
      </c>
      <c r="I280" s="84" t="s">
        <v>121</v>
      </c>
      <c r="J280" s="85"/>
      <c r="K280" s="85"/>
      <c r="L280" s="85"/>
      <c r="M280" s="86"/>
      <c r="N280" s="80"/>
      <c r="O280" s="230" t="s">
        <v>211</v>
      </c>
      <c r="P280" s="227"/>
      <c r="Q280" s="227"/>
      <c r="R280" s="227"/>
      <c r="S280" s="90">
        <v>3</v>
      </c>
      <c r="T280" s="90">
        <v>6</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159</v>
      </c>
      <c r="B283" s="92"/>
      <c r="C283" s="93" t="s">
        <v>164</v>
      </c>
      <c r="D283" s="94" t="s">
        <v>160</v>
      </c>
      <c r="E283" s="95" t="s">
        <v>1</v>
      </c>
      <c r="F283" s="95" t="s">
        <v>165</v>
      </c>
      <c r="G283" s="95" t="s">
        <v>145</v>
      </c>
      <c r="H283" s="95" t="s">
        <v>146</v>
      </c>
      <c r="I283" s="96" t="s">
        <v>121</v>
      </c>
      <c r="J283" s="78"/>
      <c r="K283" s="78"/>
      <c r="L283" s="78"/>
      <c r="M283" s="79"/>
      <c r="N283" s="96"/>
      <c r="O283" s="93" t="s">
        <v>164</v>
      </c>
      <c r="P283" s="94" t="s">
        <v>162</v>
      </c>
      <c r="Q283" s="95" t="s">
        <v>1</v>
      </c>
      <c r="R283" s="95" t="s">
        <v>165</v>
      </c>
      <c r="S283" s="95" t="s">
        <v>145</v>
      </c>
      <c r="T283" s="95" t="s">
        <v>146</v>
      </c>
      <c r="U283" s="96" t="s">
        <v>121</v>
      </c>
    </row>
    <row r="284" spans="1:21" ht="13.2">
      <c r="A284" s="56" t="s">
        <v>159</v>
      </c>
      <c r="B284" s="99"/>
      <c r="C284" s="81">
        <v>1</v>
      </c>
      <c r="D284" s="82" t="s">
        <v>1433</v>
      </c>
      <c r="E284" s="83">
        <v>170.25</v>
      </c>
      <c r="F284" s="81" t="s">
        <v>1404</v>
      </c>
      <c r="G284" s="81" t="s">
        <v>121</v>
      </c>
      <c r="H284" s="81">
        <v>5</v>
      </c>
      <c r="I284" s="100" t="s">
        <v>121</v>
      </c>
      <c r="J284" s="85"/>
      <c r="K284" s="85"/>
      <c r="L284" s="85"/>
      <c r="M284" s="86"/>
      <c r="N284" s="99"/>
      <c r="O284" s="81">
        <v>1</v>
      </c>
      <c r="P284" s="82" t="s">
        <v>1434</v>
      </c>
      <c r="Q284" s="83">
        <v>154.35</v>
      </c>
      <c r="R284" s="81" t="s">
        <v>1404</v>
      </c>
      <c r="S284" s="81" t="s">
        <v>121</v>
      </c>
      <c r="T284" s="81">
        <v>5</v>
      </c>
      <c r="U284" s="100" t="s">
        <v>121</v>
      </c>
    </row>
    <row r="285" spans="1:21" ht="13.2">
      <c r="A285" s="56" t="s">
        <v>159</v>
      </c>
      <c r="B285" s="99"/>
      <c r="C285" s="81">
        <v>2</v>
      </c>
      <c r="D285" s="82" t="s">
        <v>1435</v>
      </c>
      <c r="E285" s="87">
        <v>156.1</v>
      </c>
      <c r="F285" s="81" t="s">
        <v>1404</v>
      </c>
      <c r="G285" s="81" t="s">
        <v>121</v>
      </c>
      <c r="H285" s="81">
        <v>3</v>
      </c>
      <c r="I285" s="100" t="s">
        <v>121</v>
      </c>
      <c r="J285" s="85"/>
      <c r="K285" s="85"/>
      <c r="L285" s="85"/>
      <c r="M285" s="86"/>
      <c r="N285" s="99"/>
      <c r="O285" s="81">
        <v>2</v>
      </c>
      <c r="P285" s="82" t="s">
        <v>1436</v>
      </c>
      <c r="Q285" s="87">
        <v>134.55000000000001</v>
      </c>
      <c r="R285" s="81" t="s">
        <v>1403</v>
      </c>
      <c r="S285" s="81">
        <v>3</v>
      </c>
      <c r="T285" s="81" t="s">
        <v>121</v>
      </c>
      <c r="U285" s="100" t="s">
        <v>121</v>
      </c>
    </row>
    <row r="286" spans="1:21" ht="13.2">
      <c r="A286" s="56" t="s">
        <v>159</v>
      </c>
      <c r="B286" s="99"/>
      <c r="C286" s="81">
        <v>3</v>
      </c>
      <c r="D286" s="82" t="s">
        <v>1437</v>
      </c>
      <c r="E286" s="87">
        <v>143.1</v>
      </c>
      <c r="F286" s="81" t="s">
        <v>1403</v>
      </c>
      <c r="G286" s="81">
        <v>1</v>
      </c>
      <c r="H286" s="81" t="s">
        <v>121</v>
      </c>
      <c r="I286" s="100" t="s">
        <v>121</v>
      </c>
      <c r="J286" s="85"/>
      <c r="K286" s="85"/>
      <c r="L286" s="85"/>
      <c r="M286" s="86"/>
      <c r="N286" s="99"/>
      <c r="O286" s="81">
        <v>3</v>
      </c>
      <c r="P286" s="82" t="s">
        <v>1438</v>
      </c>
      <c r="Q286" s="87">
        <v>125</v>
      </c>
      <c r="R286" s="81" t="s">
        <v>1403</v>
      </c>
      <c r="S286" s="81">
        <v>1</v>
      </c>
      <c r="T286" s="81" t="s">
        <v>121</v>
      </c>
      <c r="U286" s="100" t="s">
        <v>121</v>
      </c>
    </row>
    <row r="287" spans="1:21" ht="13.2">
      <c r="A287" s="56" t="s">
        <v>159</v>
      </c>
      <c r="B287" s="99"/>
      <c r="C287" s="81">
        <v>4</v>
      </c>
      <c r="D287" s="82" t="s">
        <v>1439</v>
      </c>
      <c r="E287" s="87">
        <v>93.6</v>
      </c>
      <c r="F287" s="81" t="s">
        <v>1404</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159</v>
      </c>
      <c r="B288" s="99"/>
      <c r="C288" s="81">
        <v>5</v>
      </c>
      <c r="D288" s="82" t="s">
        <v>1440</v>
      </c>
      <c r="E288" s="87">
        <v>0</v>
      </c>
      <c r="F288" s="81" t="s">
        <v>1404</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30" t="s">
        <v>220</v>
      </c>
      <c r="D294" s="227"/>
      <c r="E294" s="227"/>
      <c r="F294" s="227"/>
      <c r="G294" s="90">
        <v>1</v>
      </c>
      <c r="H294" s="90">
        <v>8</v>
      </c>
      <c r="I294" s="100" t="s">
        <v>121</v>
      </c>
      <c r="J294" s="85"/>
      <c r="K294" s="85"/>
      <c r="L294" s="85"/>
      <c r="M294" s="86"/>
      <c r="N294" s="99"/>
      <c r="O294" s="230" t="s">
        <v>221</v>
      </c>
      <c r="P294" s="227"/>
      <c r="Q294" s="227"/>
      <c r="R294" s="227"/>
      <c r="S294" s="90">
        <v>4</v>
      </c>
      <c r="T294" s="90">
        <v>5</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222</v>
      </c>
      <c r="D296" s="85"/>
      <c r="E296" s="85"/>
      <c r="F296" s="85"/>
      <c r="G296" s="85"/>
      <c r="H296" s="85"/>
      <c r="I296" s="85" t="s">
        <v>121</v>
      </c>
      <c r="J296" s="85"/>
      <c r="K296" s="85"/>
      <c r="L296" s="85"/>
      <c r="M296" s="86"/>
      <c r="N296" s="107"/>
      <c r="O296" s="108" t="s">
        <v>223</v>
      </c>
      <c r="P296" s="107"/>
      <c r="Q296" s="231" t="s">
        <v>1441</v>
      </c>
      <c r="R296" s="227"/>
      <c r="S296" s="227"/>
      <c r="T296" s="228"/>
      <c r="U296" s="4" t="s">
        <v>121</v>
      </c>
    </row>
    <row r="297" spans="1:21" ht="13.2">
      <c r="A297" s="56"/>
      <c r="B297" s="4"/>
      <c r="C297" s="249" t="s">
        <v>1442</v>
      </c>
      <c r="D297" s="235"/>
      <c r="E297" s="235"/>
      <c r="F297" s="235"/>
      <c r="G297" s="235"/>
      <c r="H297" s="236"/>
      <c r="I297" s="85" t="s">
        <v>121</v>
      </c>
      <c r="J297" s="85"/>
      <c r="K297" s="85"/>
      <c r="L297" s="85"/>
      <c r="M297" s="86"/>
      <c r="N297" s="107"/>
      <c r="O297" s="110" t="s">
        <v>226</v>
      </c>
      <c r="P297" s="111"/>
      <c r="Q297" s="231" t="s">
        <v>1443</v>
      </c>
      <c r="R297" s="227"/>
      <c r="S297" s="227"/>
      <c r="T297" s="228"/>
      <c r="U297" s="4" t="s">
        <v>121</v>
      </c>
    </row>
    <row r="298" spans="1:21" ht="13.2">
      <c r="A298" s="56"/>
      <c r="B298" s="4"/>
      <c r="C298" s="239"/>
      <c r="D298" s="240"/>
      <c r="E298" s="240"/>
      <c r="F298" s="240"/>
      <c r="G298" s="240"/>
      <c r="H298" s="241"/>
      <c r="I298" s="85" t="s">
        <v>121</v>
      </c>
      <c r="J298" s="85"/>
      <c r="K298" s="85"/>
      <c r="L298" s="85"/>
      <c r="M298" s="86"/>
      <c r="N298" s="107"/>
      <c r="O298" s="110"/>
      <c r="P298" s="111"/>
      <c r="Q298" s="232"/>
      <c r="R298" s="226"/>
      <c r="S298" s="226"/>
      <c r="T298" s="226"/>
      <c r="U298" s="4" t="s">
        <v>121</v>
      </c>
    </row>
    <row r="299" spans="1:21" ht="13.2">
      <c r="A299" s="56"/>
      <c r="B299" s="4"/>
      <c r="C299" s="112" t="s">
        <v>228</v>
      </c>
      <c r="D299" s="113"/>
      <c r="E299" s="233" t="s">
        <v>1443</v>
      </c>
      <c r="F299" s="227"/>
      <c r="G299" s="227"/>
      <c r="H299" s="228"/>
      <c r="I299" s="85" t="s">
        <v>121</v>
      </c>
      <c r="J299" s="85"/>
      <c r="K299" s="85"/>
      <c r="L299" s="85"/>
      <c r="M299" s="86"/>
      <c r="N299" s="107"/>
      <c r="O299" s="112" t="s">
        <v>229</v>
      </c>
      <c r="P299" s="113"/>
      <c r="Q299" s="233" t="s">
        <v>1444</v>
      </c>
      <c r="R299" s="227"/>
      <c r="S299" s="227"/>
      <c r="T299" s="228"/>
      <c r="U299" s="4" t="s">
        <v>121</v>
      </c>
    </row>
    <row r="300" spans="1:21" ht="13.2">
      <c r="A300" s="56"/>
      <c r="B300" s="4"/>
      <c r="C300" s="112" t="s">
        <v>231</v>
      </c>
      <c r="D300" s="113"/>
      <c r="E300" s="113"/>
      <c r="F300" s="113"/>
      <c r="G300" s="113"/>
      <c r="H300" s="113"/>
      <c r="I300" s="85" t="s">
        <v>121</v>
      </c>
      <c r="J300" s="85"/>
      <c r="K300" s="85"/>
      <c r="L300" s="85"/>
      <c r="M300" s="86"/>
      <c r="N300" s="107"/>
      <c r="O300" s="110" t="s">
        <v>232</v>
      </c>
      <c r="P300" s="111"/>
      <c r="Q300" s="111"/>
      <c r="R300" s="111"/>
      <c r="S300" s="111"/>
      <c r="T300" s="111"/>
      <c r="U300" s="4" t="s">
        <v>121</v>
      </c>
    </row>
    <row r="301" spans="1:21" ht="13.2">
      <c r="B301" s="4"/>
      <c r="C301" s="273" t="s">
        <v>1445</v>
      </c>
      <c r="D301" s="235"/>
      <c r="E301" s="235"/>
      <c r="F301" s="235"/>
      <c r="G301" s="235"/>
      <c r="H301" s="236"/>
      <c r="I301" s="4" t="s">
        <v>121</v>
      </c>
      <c r="J301" s="4"/>
      <c r="K301" s="4"/>
      <c r="L301" s="4"/>
      <c r="M301" s="71"/>
      <c r="N301" s="109"/>
      <c r="O301" s="234"/>
      <c r="P301" s="235"/>
      <c r="Q301" s="235"/>
      <c r="R301" s="235"/>
      <c r="S301" s="235"/>
      <c r="T301" s="236"/>
      <c r="U301" s="4" t="s">
        <v>121</v>
      </c>
    </row>
    <row r="302" spans="1:21" ht="13.2">
      <c r="B302" s="4"/>
      <c r="C302" s="237"/>
      <c r="D302" s="226"/>
      <c r="E302" s="226"/>
      <c r="F302" s="226"/>
      <c r="G302" s="226"/>
      <c r="H302" s="238"/>
      <c r="I302" s="4" t="s">
        <v>121</v>
      </c>
      <c r="J302" s="4"/>
      <c r="K302" s="4"/>
      <c r="L302" s="4"/>
      <c r="M302" s="71"/>
      <c r="N302" s="109"/>
      <c r="O302" s="237"/>
      <c r="P302" s="226"/>
      <c r="Q302" s="226"/>
      <c r="R302" s="226"/>
      <c r="S302" s="226"/>
      <c r="T302" s="238"/>
      <c r="U302" s="4" t="s">
        <v>121</v>
      </c>
    </row>
    <row r="303" spans="1:21" ht="13.2">
      <c r="B303" s="4"/>
      <c r="C303" s="237"/>
      <c r="D303" s="226"/>
      <c r="E303" s="226"/>
      <c r="F303" s="226"/>
      <c r="G303" s="226"/>
      <c r="H303" s="238"/>
      <c r="I303" s="4" t="s">
        <v>121</v>
      </c>
      <c r="J303" s="4"/>
      <c r="K303" s="4"/>
      <c r="L303" s="4"/>
      <c r="M303" s="71"/>
      <c r="N303" s="109"/>
      <c r="O303" s="237"/>
      <c r="P303" s="226"/>
      <c r="Q303" s="226"/>
      <c r="R303" s="226"/>
      <c r="S303" s="226"/>
      <c r="T303" s="238"/>
      <c r="U303" s="4" t="s">
        <v>121</v>
      </c>
    </row>
    <row r="304" spans="1:21" ht="13.2">
      <c r="B304" s="4"/>
      <c r="C304" s="239"/>
      <c r="D304" s="240"/>
      <c r="E304" s="240"/>
      <c r="F304" s="240"/>
      <c r="G304" s="240"/>
      <c r="H304" s="241"/>
      <c r="I304" s="4" t="s">
        <v>121</v>
      </c>
      <c r="J304" s="4"/>
      <c r="K304" s="4"/>
      <c r="L304" s="4"/>
      <c r="M304" s="71"/>
      <c r="N304" s="109"/>
      <c r="O304" s="239"/>
      <c r="P304" s="240"/>
      <c r="Q304" s="240"/>
      <c r="R304" s="240"/>
      <c r="S304" s="240"/>
      <c r="T304" s="241"/>
      <c r="U304" s="4" t="s">
        <v>121</v>
      </c>
    </row>
    <row r="305" spans="2:21" ht="13.2">
      <c r="B305" s="4"/>
      <c r="C305" s="24"/>
      <c r="D305" s="4"/>
      <c r="E305" s="4"/>
      <c r="F305" s="4"/>
      <c r="G305" s="4"/>
      <c r="H305" s="4"/>
      <c r="I305" s="4" t="s">
        <v>121</v>
      </c>
      <c r="J305" s="4"/>
      <c r="K305" s="4"/>
      <c r="L305" s="4"/>
      <c r="M305" s="4"/>
      <c r="N305" s="4"/>
      <c r="O305" s="4"/>
      <c r="P305" s="4"/>
      <c r="Q305" s="4"/>
      <c r="R305" s="4"/>
      <c r="S305" s="4"/>
      <c r="T305" s="4"/>
      <c r="U305" s="4" t="s">
        <v>121</v>
      </c>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95">
    <mergeCell ref="C110:D110"/>
    <mergeCell ref="E110:G110"/>
    <mergeCell ref="C147:F147"/>
    <mergeCell ref="C166:F166"/>
    <mergeCell ref="O209:P209"/>
    <mergeCell ref="C94:F94"/>
    <mergeCell ref="C97:H98"/>
    <mergeCell ref="E99:H99"/>
    <mergeCell ref="C101:H104"/>
    <mergeCell ref="C109:D109"/>
    <mergeCell ref="E109:G109"/>
    <mergeCell ref="O47:R47"/>
    <mergeCell ref="C10:D10"/>
    <mergeCell ref="C47:F47"/>
    <mergeCell ref="C66:F66"/>
    <mergeCell ref="C80:F80"/>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209:D209"/>
    <mergeCell ref="E209:G209"/>
    <mergeCell ref="E299:H299"/>
    <mergeCell ref="C301:H304"/>
    <mergeCell ref="C210:D210"/>
    <mergeCell ref="E210:G210"/>
    <mergeCell ref="C247:F247"/>
    <mergeCell ref="C266:F266"/>
    <mergeCell ref="C280:F280"/>
    <mergeCell ref="C294:F294"/>
    <mergeCell ref="C297:H298"/>
    <mergeCell ref="C180:F180"/>
    <mergeCell ref="C194:F194"/>
    <mergeCell ref="C197:H198"/>
    <mergeCell ref="E199:H199"/>
    <mergeCell ref="C201:H204"/>
    <mergeCell ref="Q297:T297"/>
    <mergeCell ref="Q298:T298"/>
    <mergeCell ref="Q299:T299"/>
    <mergeCell ref="O301:T304"/>
    <mergeCell ref="Q199:T199"/>
    <mergeCell ref="O201:T204"/>
    <mergeCell ref="Q206:T206"/>
    <mergeCell ref="Q207:T207"/>
    <mergeCell ref="O210:P210"/>
    <mergeCell ref="Q210:S210"/>
    <mergeCell ref="O247:R247"/>
    <mergeCell ref="Q209:S209"/>
    <mergeCell ref="Q198:T198"/>
    <mergeCell ref="O266:R266"/>
    <mergeCell ref="O280:R280"/>
    <mergeCell ref="O294:R294"/>
    <mergeCell ref="Q296:T296"/>
    <mergeCell ref="O166:R166"/>
    <mergeCell ref="O180:R180"/>
    <mergeCell ref="O194:R194"/>
    <mergeCell ref="Q196:T196"/>
    <mergeCell ref="Q197:T197"/>
    <mergeCell ref="O109:P109"/>
    <mergeCell ref="Q109:S109"/>
    <mergeCell ref="O110:P110"/>
    <mergeCell ref="Q110:S110"/>
    <mergeCell ref="O147:R147"/>
    <mergeCell ref="Q98:T98"/>
    <mergeCell ref="Q99:T99"/>
    <mergeCell ref="O101:T104"/>
    <mergeCell ref="Q106:T106"/>
    <mergeCell ref="Q107:T107"/>
    <mergeCell ref="O66:R66"/>
    <mergeCell ref="O80:R80"/>
    <mergeCell ref="O94:R94"/>
    <mergeCell ref="Q96:T96"/>
    <mergeCell ref="Q97:T97"/>
  </mergeCells>
  <conditionalFormatting sqref="I3:I5 U3:U5">
    <cfRule type="cellIs" dxfId="6"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tabColor rgb="FFFF0000"/>
    <outlinePr summaryBelow="0" summaryRight="0"/>
  </sheetPr>
  <dimension ref="A1:Q993"/>
  <sheetViews>
    <sheetView workbookViewId="0">
      <pane ySplit="1" topLeftCell="A2" activePane="bottomLeft" state="frozen"/>
      <selection pane="bottomLeft" activeCell="B3" sqref="B3"/>
    </sheetView>
  </sheetViews>
  <sheetFormatPr defaultColWidth="14.44140625" defaultRowHeight="15.75" customHeight="1"/>
  <cols>
    <col min="1" max="2" width="3.109375" customWidth="1"/>
    <col min="3" max="3" width="13.88671875" customWidth="1"/>
    <col min="4" max="4" width="9.5546875" customWidth="1"/>
    <col min="5" max="5" width="23.5546875" customWidth="1"/>
    <col min="6" max="14" width="5.6640625" customWidth="1"/>
    <col min="15" max="15" width="17.44140625" customWidth="1"/>
    <col min="17" max="17" width="111.5546875" customWidth="1"/>
  </cols>
  <sheetData>
    <row r="1" spans="1:17" ht="30" customHeight="1">
      <c r="B1" s="150"/>
      <c r="C1" s="151" t="s">
        <v>61</v>
      </c>
      <c r="D1" s="151" t="s">
        <v>62</v>
      </c>
      <c r="E1" s="152" t="s">
        <v>63</v>
      </c>
      <c r="F1" s="153" t="s">
        <v>64</v>
      </c>
      <c r="G1" s="153" t="s">
        <v>65</v>
      </c>
      <c r="H1" s="153" t="s">
        <v>66</v>
      </c>
      <c r="I1" s="153" t="s">
        <v>67</v>
      </c>
      <c r="J1" s="153" t="s">
        <v>68</v>
      </c>
      <c r="K1" s="153" t="s">
        <v>69</v>
      </c>
      <c r="L1" s="153" t="s">
        <v>70</v>
      </c>
      <c r="M1" s="153" t="s">
        <v>71</v>
      </c>
      <c r="N1" s="153" t="s">
        <v>72</v>
      </c>
      <c r="O1" s="154" t="s">
        <v>73</v>
      </c>
      <c r="Q1" s="155" t="s">
        <v>74</v>
      </c>
    </row>
    <row r="2" spans="1:17" ht="118.8">
      <c r="B2" s="156"/>
      <c r="C2" s="151" t="s">
        <v>75</v>
      </c>
      <c r="D2" s="151">
        <v>1</v>
      </c>
      <c r="E2" s="157" t="s">
        <v>76</v>
      </c>
      <c r="F2" s="158" t="b">
        <v>0</v>
      </c>
      <c r="G2" s="159"/>
      <c r="H2" s="159"/>
      <c r="I2" s="159"/>
      <c r="J2" s="159"/>
      <c r="K2" s="159"/>
      <c r="L2" s="159"/>
      <c r="M2" s="159"/>
      <c r="N2" s="159"/>
      <c r="O2" s="160"/>
      <c r="Q2" s="161" t="s">
        <v>77</v>
      </c>
    </row>
    <row r="3" spans="1:17" ht="39.6">
      <c r="A3" s="3"/>
      <c r="B3" s="156"/>
      <c r="C3" s="151" t="s">
        <v>75</v>
      </c>
      <c r="D3" s="151">
        <v>2</v>
      </c>
      <c r="E3" s="157" t="s">
        <v>78</v>
      </c>
      <c r="F3" s="158" t="b">
        <v>0</v>
      </c>
      <c r="G3" s="160"/>
      <c r="H3" s="160"/>
      <c r="I3" s="160"/>
      <c r="J3" s="160"/>
      <c r="K3" s="160"/>
      <c r="L3" s="160"/>
      <c r="M3" s="160"/>
      <c r="N3" s="160"/>
      <c r="O3" s="160"/>
      <c r="Q3" s="161" t="s">
        <v>79</v>
      </c>
    </row>
    <row r="4" spans="1:17" ht="15.6">
      <c r="B4" s="156"/>
      <c r="C4" s="151"/>
      <c r="D4" s="151"/>
      <c r="E4" s="162"/>
      <c r="F4" s="159"/>
      <c r="G4" s="159"/>
      <c r="H4" s="159"/>
      <c r="I4" s="159"/>
      <c r="J4" s="159"/>
      <c r="K4" s="159"/>
      <c r="L4" s="159"/>
      <c r="M4" s="159"/>
      <c r="N4" s="159"/>
      <c r="O4" s="159"/>
      <c r="Q4" s="163"/>
    </row>
    <row r="5" spans="1:17" ht="26.4">
      <c r="A5" s="3"/>
      <c r="B5" s="156"/>
      <c r="C5" s="151" t="s">
        <v>80</v>
      </c>
      <c r="D5" s="151"/>
      <c r="E5" s="157" t="s">
        <v>81</v>
      </c>
      <c r="F5" s="158" t="b">
        <v>0</v>
      </c>
      <c r="G5" s="160" t="b">
        <v>0</v>
      </c>
      <c r="H5" s="160" t="b">
        <v>0</v>
      </c>
      <c r="I5" s="160" t="b">
        <v>0</v>
      </c>
      <c r="J5" s="160" t="b">
        <v>0</v>
      </c>
      <c r="K5" s="160" t="b">
        <v>0</v>
      </c>
      <c r="L5" s="160" t="b">
        <v>0</v>
      </c>
      <c r="M5" s="160" t="b">
        <v>0</v>
      </c>
      <c r="N5" s="160" t="b">
        <v>0</v>
      </c>
      <c r="O5" s="160"/>
      <c r="Q5" s="161" t="s">
        <v>82</v>
      </c>
    </row>
    <row r="6" spans="1:17" ht="39.6">
      <c r="A6" s="3"/>
      <c r="B6" s="156"/>
      <c r="C6" s="151" t="s">
        <v>80</v>
      </c>
      <c r="D6" s="151"/>
      <c r="E6" s="157" t="s">
        <v>83</v>
      </c>
      <c r="F6" s="158" t="b">
        <v>0</v>
      </c>
      <c r="G6" s="160" t="b">
        <v>0</v>
      </c>
      <c r="H6" s="160" t="b">
        <v>0</v>
      </c>
      <c r="I6" s="160" t="b">
        <v>0</v>
      </c>
      <c r="J6" s="160" t="b">
        <v>0</v>
      </c>
      <c r="K6" s="160" t="b">
        <v>0</v>
      </c>
      <c r="L6" s="160" t="b">
        <v>0</v>
      </c>
      <c r="M6" s="160" t="b">
        <v>0</v>
      </c>
      <c r="N6" s="160" t="b">
        <v>0</v>
      </c>
      <c r="O6" s="160"/>
      <c r="Q6" s="161" t="s">
        <v>84</v>
      </c>
    </row>
    <row r="7" spans="1:17" ht="22.8">
      <c r="A7" s="3"/>
      <c r="B7" s="156"/>
      <c r="C7" s="151"/>
      <c r="D7" s="151"/>
      <c r="E7" s="162"/>
      <c r="F7" s="164"/>
      <c r="G7" s="159"/>
      <c r="H7" s="159"/>
      <c r="I7" s="159"/>
      <c r="J7" s="159"/>
      <c r="K7" s="159"/>
      <c r="L7" s="159"/>
      <c r="M7" s="159"/>
      <c r="N7" s="159"/>
      <c r="O7" s="159"/>
      <c r="Q7" s="163"/>
    </row>
    <row r="8" spans="1:17" ht="26.4">
      <c r="B8" s="156"/>
      <c r="C8" s="151" t="s">
        <v>80</v>
      </c>
      <c r="D8" s="151"/>
      <c r="E8" s="157" t="s">
        <v>85</v>
      </c>
      <c r="F8" s="158" t="b">
        <v>0</v>
      </c>
      <c r="G8" s="160" t="b">
        <v>0</v>
      </c>
      <c r="H8" s="160" t="b">
        <v>0</v>
      </c>
      <c r="I8" s="160" t="b">
        <v>0</v>
      </c>
      <c r="J8" s="160" t="b">
        <v>0</v>
      </c>
      <c r="K8" s="160" t="b">
        <v>0</v>
      </c>
      <c r="L8" s="160" t="b">
        <v>0</v>
      </c>
      <c r="M8" s="160" t="b">
        <v>0</v>
      </c>
      <c r="N8" s="160" t="b">
        <v>0</v>
      </c>
      <c r="O8" s="160"/>
      <c r="Q8" s="161" t="s">
        <v>86</v>
      </c>
    </row>
    <row r="9" spans="1:17" ht="26.4">
      <c r="A9" s="3"/>
      <c r="B9" s="156"/>
      <c r="C9" s="151" t="s">
        <v>75</v>
      </c>
      <c r="D9" s="151">
        <v>3</v>
      </c>
      <c r="E9" s="157" t="s">
        <v>87</v>
      </c>
      <c r="F9" s="158" t="b">
        <v>0</v>
      </c>
      <c r="G9" s="160" t="b">
        <v>0</v>
      </c>
      <c r="H9" s="160" t="b">
        <v>0</v>
      </c>
      <c r="I9" s="160" t="b">
        <v>0</v>
      </c>
      <c r="J9" s="160" t="b">
        <v>0</v>
      </c>
      <c r="K9" s="160" t="b">
        <v>0</v>
      </c>
      <c r="L9" s="160" t="b">
        <v>0</v>
      </c>
      <c r="M9" s="160" t="b">
        <v>0</v>
      </c>
      <c r="N9" s="160" t="b">
        <v>0</v>
      </c>
      <c r="O9" s="160" t="s">
        <v>88</v>
      </c>
      <c r="Q9" s="161" t="s">
        <v>89</v>
      </c>
    </row>
    <row r="10" spans="1:17" ht="26.4">
      <c r="A10" s="3"/>
      <c r="B10" s="156"/>
      <c r="C10" s="151" t="s">
        <v>75</v>
      </c>
      <c r="D10" s="151">
        <v>4</v>
      </c>
      <c r="E10" s="157" t="s">
        <v>90</v>
      </c>
      <c r="F10" s="158" t="b">
        <v>0</v>
      </c>
      <c r="G10" s="160" t="b">
        <v>0</v>
      </c>
      <c r="H10" s="160" t="b">
        <v>0</v>
      </c>
      <c r="I10" s="160" t="b">
        <v>0</v>
      </c>
      <c r="J10" s="160" t="b">
        <v>0</v>
      </c>
      <c r="K10" s="160" t="b">
        <v>0</v>
      </c>
      <c r="L10" s="160" t="b">
        <v>0</v>
      </c>
      <c r="M10" s="160" t="b">
        <v>0</v>
      </c>
      <c r="N10" s="160" t="b">
        <v>0</v>
      </c>
      <c r="O10" s="160"/>
      <c r="Q10" s="161" t="s">
        <v>91</v>
      </c>
    </row>
    <row r="11" spans="1:17" ht="22.8">
      <c r="A11" s="3"/>
      <c r="B11" s="156"/>
      <c r="C11" s="151"/>
      <c r="D11" s="151"/>
      <c r="E11" s="4"/>
      <c r="F11" s="165"/>
      <c r="G11" s="166"/>
      <c r="H11" s="166"/>
      <c r="I11" s="166"/>
      <c r="J11" s="166"/>
      <c r="K11" s="166"/>
      <c r="L11" s="166"/>
      <c r="M11" s="166"/>
      <c r="N11" s="166"/>
      <c r="O11" s="159"/>
      <c r="Q11" s="163"/>
    </row>
    <row r="12" spans="1:17" ht="22.8">
      <c r="B12" s="156"/>
      <c r="C12" s="151" t="s">
        <v>75</v>
      </c>
      <c r="D12" s="151">
        <v>5</v>
      </c>
      <c r="E12" s="72" t="s">
        <v>92</v>
      </c>
      <c r="F12" s="158" t="b">
        <v>0</v>
      </c>
      <c r="G12" s="160" t="b">
        <v>0</v>
      </c>
      <c r="H12" s="160" t="b">
        <v>0</v>
      </c>
      <c r="I12" s="160" t="b">
        <v>0</v>
      </c>
      <c r="J12" s="160" t="b">
        <v>0</v>
      </c>
      <c r="K12" s="160" t="b">
        <v>0</v>
      </c>
      <c r="L12" s="160" t="b">
        <v>0</v>
      </c>
      <c r="M12" s="160" t="b">
        <v>0</v>
      </c>
      <c r="N12" s="160" t="b">
        <v>0</v>
      </c>
      <c r="O12" s="160"/>
      <c r="Q12" s="161" t="s">
        <v>93</v>
      </c>
    </row>
    <row r="13" spans="1:17" ht="26.4">
      <c r="B13" s="156"/>
      <c r="C13" s="151" t="s">
        <v>80</v>
      </c>
      <c r="D13" s="151"/>
      <c r="E13" s="72" t="s">
        <v>94</v>
      </c>
      <c r="F13" s="158" t="b">
        <v>0</v>
      </c>
      <c r="G13" s="160" t="b">
        <v>0</v>
      </c>
      <c r="H13" s="160" t="b">
        <v>0</v>
      </c>
      <c r="I13" s="160" t="b">
        <v>0</v>
      </c>
      <c r="J13" s="160" t="b">
        <v>0</v>
      </c>
      <c r="K13" s="160" t="b">
        <v>0</v>
      </c>
      <c r="L13" s="160" t="b">
        <v>0</v>
      </c>
      <c r="M13" s="160" t="b">
        <v>0</v>
      </c>
      <c r="N13" s="160" t="b">
        <v>0</v>
      </c>
      <c r="O13" s="160"/>
      <c r="Q13" s="161" t="s">
        <v>95</v>
      </c>
    </row>
    <row r="14" spans="1:17" ht="15.6">
      <c r="B14" s="156"/>
      <c r="C14" s="151"/>
      <c r="D14" s="151"/>
      <c r="E14" s="162"/>
      <c r="F14" s="159"/>
      <c r="G14" s="159"/>
      <c r="H14" s="159"/>
      <c r="I14" s="159"/>
      <c r="J14" s="159"/>
      <c r="K14" s="159"/>
      <c r="L14" s="159"/>
      <c r="M14" s="159"/>
      <c r="N14" s="159"/>
      <c r="O14" s="159"/>
      <c r="Q14" s="163"/>
    </row>
    <row r="15" spans="1:17" ht="26.4">
      <c r="B15" s="167"/>
      <c r="C15" s="151" t="s">
        <v>80</v>
      </c>
      <c r="D15" s="151"/>
      <c r="E15" s="72" t="s">
        <v>96</v>
      </c>
      <c r="F15" s="158" t="b">
        <v>0</v>
      </c>
      <c r="G15" s="160" t="b">
        <v>0</v>
      </c>
      <c r="H15" s="160" t="b">
        <v>0</v>
      </c>
      <c r="I15" s="160" t="b">
        <v>0</v>
      </c>
      <c r="J15" s="160" t="b">
        <v>0</v>
      </c>
      <c r="K15" s="160" t="b">
        <v>0</v>
      </c>
      <c r="L15" s="160" t="b">
        <v>0</v>
      </c>
      <c r="M15" s="160" t="b">
        <v>0</v>
      </c>
      <c r="N15" s="160" t="b">
        <v>0</v>
      </c>
      <c r="O15" s="160"/>
      <c r="Q15" s="161" t="s">
        <v>97</v>
      </c>
    </row>
    <row r="16" spans="1:17" ht="26.4">
      <c r="B16" s="156"/>
      <c r="C16" s="151" t="s">
        <v>75</v>
      </c>
      <c r="D16" s="151">
        <v>6</v>
      </c>
      <c r="E16" s="72" t="s">
        <v>98</v>
      </c>
      <c r="F16" s="158" t="b">
        <v>0</v>
      </c>
      <c r="G16" s="160" t="b">
        <v>0</v>
      </c>
      <c r="H16" s="160" t="b">
        <v>0</v>
      </c>
      <c r="I16" s="160" t="b">
        <v>0</v>
      </c>
      <c r="J16" s="160" t="b">
        <v>0</v>
      </c>
      <c r="K16" s="160" t="b">
        <v>0</v>
      </c>
      <c r="L16" s="160" t="b">
        <v>0</v>
      </c>
      <c r="M16" s="160" t="b">
        <v>0</v>
      </c>
      <c r="N16" s="160" t="b">
        <v>0</v>
      </c>
      <c r="O16" s="160"/>
      <c r="Q16" s="161" t="s">
        <v>99</v>
      </c>
    </row>
    <row r="17" spans="2:17" ht="22.8">
      <c r="B17" s="156"/>
      <c r="C17" s="151"/>
      <c r="D17" s="151"/>
      <c r="E17" s="162"/>
      <c r="F17" s="164"/>
      <c r="G17" s="159"/>
      <c r="H17" s="159"/>
      <c r="I17" s="159"/>
      <c r="J17" s="159"/>
      <c r="K17" s="159"/>
      <c r="L17" s="159"/>
      <c r="M17" s="159"/>
      <c r="N17" s="159"/>
      <c r="O17" s="159"/>
      <c r="Q17" s="163"/>
    </row>
    <row r="18" spans="2:17" ht="26.4">
      <c r="B18" s="156"/>
      <c r="C18" s="151" t="s">
        <v>75</v>
      </c>
      <c r="D18" s="151">
        <v>7</v>
      </c>
      <c r="E18" s="157" t="s">
        <v>100</v>
      </c>
      <c r="F18" s="158" t="b">
        <v>0</v>
      </c>
      <c r="G18" s="159"/>
      <c r="H18" s="159"/>
      <c r="I18" s="159"/>
      <c r="J18" s="159"/>
      <c r="K18" s="159"/>
      <c r="L18" s="159"/>
      <c r="M18" s="159"/>
      <c r="N18" s="159"/>
      <c r="O18" s="160"/>
      <c r="Q18" s="161" t="s">
        <v>101</v>
      </c>
    </row>
    <row r="19" spans="2:17" ht="15.6">
      <c r="B19" s="156"/>
      <c r="C19" s="151"/>
      <c r="D19" s="151"/>
      <c r="E19" s="162"/>
      <c r="F19" s="159"/>
      <c r="G19" s="159"/>
      <c r="H19" s="159"/>
      <c r="I19" s="159"/>
      <c r="J19" s="159"/>
      <c r="K19" s="159"/>
      <c r="L19" s="159"/>
      <c r="M19" s="159"/>
      <c r="N19" s="159"/>
      <c r="O19" s="159"/>
      <c r="Q19" s="163"/>
    </row>
    <row r="20" spans="2:17" ht="15.6">
      <c r="B20" s="167"/>
      <c r="C20" s="151"/>
      <c r="D20" s="151"/>
      <c r="E20" s="162"/>
      <c r="F20" s="159"/>
      <c r="G20" s="159"/>
      <c r="H20" s="159"/>
      <c r="I20" s="159"/>
      <c r="J20" s="159"/>
      <c r="K20" s="159"/>
      <c r="L20" s="159"/>
      <c r="M20" s="159"/>
      <c r="N20" s="159"/>
      <c r="O20" s="159"/>
      <c r="Q20" s="163"/>
    </row>
    <row r="21" spans="2:17" ht="15.6">
      <c r="B21" s="156"/>
      <c r="C21" s="157"/>
      <c r="D21" s="151"/>
      <c r="E21" s="162"/>
      <c r="F21" s="159"/>
      <c r="G21" s="159"/>
      <c r="H21" s="159"/>
      <c r="I21" s="159"/>
      <c r="J21" s="159"/>
      <c r="K21" s="159"/>
      <c r="L21" s="159"/>
      <c r="M21" s="159"/>
      <c r="N21" s="159"/>
      <c r="O21" s="159"/>
      <c r="Q21" s="163"/>
    </row>
    <row r="22" spans="2:17" ht="15.6">
      <c r="B22" s="156"/>
      <c r="C22" s="157"/>
      <c r="D22" s="151"/>
      <c r="E22" s="162"/>
      <c r="F22" s="167"/>
      <c r="G22" s="167"/>
      <c r="H22" s="167"/>
      <c r="I22" s="167"/>
      <c r="J22" s="167"/>
      <c r="K22" s="167"/>
      <c r="L22" s="167"/>
      <c r="M22" s="167"/>
      <c r="N22" s="167"/>
      <c r="O22" s="167"/>
      <c r="Q22" s="163"/>
    </row>
    <row r="23" spans="2:17" ht="15.6">
      <c r="B23" s="156"/>
      <c r="C23" s="157"/>
      <c r="D23" s="151"/>
      <c r="E23" s="162"/>
      <c r="F23" s="167"/>
      <c r="G23" s="167"/>
      <c r="H23" s="167"/>
      <c r="I23" s="167"/>
      <c r="J23" s="167"/>
      <c r="K23" s="167"/>
      <c r="L23" s="167"/>
      <c r="M23" s="167"/>
      <c r="N23" s="167"/>
      <c r="O23" s="167"/>
      <c r="Q23" s="163"/>
    </row>
    <row r="24" spans="2:17" ht="15.6">
      <c r="B24" s="156"/>
      <c r="C24" s="157"/>
      <c r="D24" s="151"/>
      <c r="E24" s="162"/>
      <c r="F24" s="167"/>
      <c r="G24" s="167"/>
      <c r="H24" s="167"/>
      <c r="I24" s="167"/>
      <c r="J24" s="167"/>
      <c r="K24" s="167"/>
      <c r="L24" s="167"/>
      <c r="M24" s="167"/>
      <c r="N24" s="167"/>
      <c r="O24" s="167"/>
      <c r="Q24" s="163"/>
    </row>
    <row r="25" spans="2:17" ht="15.6">
      <c r="B25" s="156"/>
      <c r="C25" s="157"/>
      <c r="D25" s="151"/>
      <c r="E25" s="162"/>
      <c r="F25" s="167"/>
      <c r="G25" s="167"/>
      <c r="H25" s="167"/>
      <c r="I25" s="167"/>
      <c r="J25" s="167"/>
      <c r="K25" s="167"/>
      <c r="L25" s="167"/>
      <c r="M25" s="167"/>
      <c r="N25" s="167"/>
      <c r="O25" s="167"/>
      <c r="Q25" s="163"/>
    </row>
    <row r="26" spans="2:17" ht="15.6">
      <c r="B26" s="156"/>
      <c r="C26" s="157"/>
      <c r="D26" s="151"/>
      <c r="E26" s="162"/>
      <c r="F26" s="167"/>
      <c r="G26" s="167"/>
      <c r="H26" s="167"/>
      <c r="I26" s="167"/>
      <c r="J26" s="167"/>
      <c r="K26" s="167"/>
      <c r="L26" s="167"/>
      <c r="M26" s="167"/>
      <c r="N26" s="167"/>
      <c r="O26" s="167"/>
      <c r="Q26" s="163"/>
    </row>
    <row r="27" spans="2:17" ht="15.6">
      <c r="B27" s="156"/>
      <c r="C27" s="157"/>
      <c r="D27" s="151"/>
      <c r="E27" s="162"/>
      <c r="F27" s="167"/>
      <c r="G27" s="167"/>
      <c r="H27" s="167"/>
      <c r="I27" s="167"/>
      <c r="J27" s="167"/>
      <c r="K27" s="167"/>
      <c r="L27" s="167"/>
      <c r="M27" s="167"/>
      <c r="N27" s="167"/>
      <c r="O27" s="167"/>
      <c r="Q27" s="163"/>
    </row>
    <row r="28" spans="2:17" ht="15.6">
      <c r="B28" s="156"/>
      <c r="C28" s="157"/>
      <c r="D28" s="151"/>
      <c r="E28" s="162"/>
      <c r="F28" s="167"/>
      <c r="G28" s="167"/>
      <c r="H28" s="167"/>
      <c r="I28" s="167"/>
      <c r="J28" s="167"/>
      <c r="K28" s="167"/>
      <c r="L28" s="167"/>
      <c r="M28" s="167"/>
      <c r="N28" s="167"/>
      <c r="O28" s="167"/>
      <c r="Q28" s="163"/>
    </row>
    <row r="29" spans="2:17" ht="15.6">
      <c r="B29" s="156"/>
      <c r="C29" s="157"/>
      <c r="D29" s="151"/>
      <c r="E29" s="162"/>
      <c r="F29" s="167"/>
      <c r="G29" s="167"/>
      <c r="H29" s="167"/>
      <c r="I29" s="167"/>
      <c r="J29" s="167"/>
      <c r="K29" s="167"/>
      <c r="L29" s="167"/>
      <c r="M29" s="167"/>
      <c r="N29" s="167"/>
      <c r="O29" s="167"/>
      <c r="Q29" s="163"/>
    </row>
    <row r="30" spans="2:17" ht="15.6">
      <c r="B30" s="167"/>
      <c r="C30" s="162"/>
      <c r="D30" s="151"/>
      <c r="E30" s="162"/>
      <c r="F30" s="167"/>
      <c r="G30" s="167"/>
      <c r="H30" s="167"/>
      <c r="I30" s="167"/>
      <c r="J30" s="167"/>
      <c r="K30" s="167"/>
      <c r="L30" s="167"/>
      <c r="M30" s="167"/>
      <c r="N30" s="167"/>
      <c r="O30" s="167"/>
      <c r="Q30" s="163"/>
    </row>
    <row r="31" spans="2:17" ht="15.6">
      <c r="B31" s="156"/>
      <c r="C31" s="157"/>
      <c r="D31" s="151"/>
      <c r="E31" s="162"/>
      <c r="F31" s="167"/>
      <c r="G31" s="167"/>
      <c r="H31" s="167"/>
      <c r="I31" s="167"/>
      <c r="J31" s="167"/>
      <c r="K31" s="167"/>
      <c r="L31" s="167"/>
      <c r="M31" s="167"/>
      <c r="N31" s="167"/>
      <c r="O31" s="167"/>
      <c r="Q31" s="163"/>
    </row>
    <row r="32" spans="2:17" ht="15.6">
      <c r="B32" s="156"/>
      <c r="C32" s="157"/>
      <c r="D32" s="151"/>
      <c r="E32" s="162"/>
      <c r="F32" s="167"/>
      <c r="G32" s="167"/>
      <c r="H32" s="167"/>
      <c r="I32" s="167"/>
      <c r="J32" s="167"/>
      <c r="K32" s="167"/>
      <c r="L32" s="167"/>
      <c r="M32" s="167"/>
      <c r="N32" s="167"/>
      <c r="O32" s="167"/>
      <c r="Q32" s="163"/>
    </row>
    <row r="33" spans="2:17" ht="15.6">
      <c r="B33" s="156"/>
      <c r="C33" s="157"/>
      <c r="D33" s="151"/>
      <c r="E33" s="162"/>
      <c r="F33" s="167"/>
      <c r="G33" s="167"/>
      <c r="H33" s="167"/>
      <c r="I33" s="167"/>
      <c r="J33" s="167"/>
      <c r="K33" s="167"/>
      <c r="L33" s="167"/>
      <c r="M33" s="167"/>
      <c r="N33" s="167"/>
      <c r="O33" s="167"/>
      <c r="Q33" s="163"/>
    </row>
    <row r="34" spans="2:17" ht="13.2">
      <c r="B34" s="156"/>
      <c r="C34" s="157"/>
      <c r="D34" s="168"/>
      <c r="E34" s="162"/>
      <c r="F34" s="167"/>
      <c r="G34" s="167"/>
      <c r="H34" s="167"/>
      <c r="I34" s="167"/>
      <c r="J34" s="167"/>
      <c r="K34" s="167"/>
      <c r="L34" s="167"/>
      <c r="M34" s="167"/>
      <c r="N34" s="167"/>
      <c r="O34" s="167"/>
      <c r="Q34" s="163"/>
    </row>
    <row r="35" spans="2:17" ht="13.2">
      <c r="B35" s="156"/>
      <c r="C35" s="157"/>
      <c r="D35" s="168"/>
      <c r="E35" s="162"/>
      <c r="F35" s="167"/>
      <c r="G35" s="167"/>
      <c r="H35" s="167"/>
      <c r="I35" s="167"/>
      <c r="J35" s="167"/>
      <c r="K35" s="167"/>
      <c r="L35" s="167"/>
      <c r="M35" s="167"/>
      <c r="N35" s="167"/>
      <c r="O35" s="167"/>
      <c r="Q35" s="163"/>
    </row>
    <row r="36" spans="2:17" ht="13.2">
      <c r="B36" s="156"/>
      <c r="C36" s="157"/>
      <c r="D36" s="168"/>
      <c r="E36" s="162"/>
      <c r="F36" s="167"/>
      <c r="G36" s="167"/>
      <c r="H36" s="167"/>
      <c r="I36" s="167"/>
      <c r="J36" s="167"/>
      <c r="K36" s="167"/>
      <c r="L36" s="167"/>
      <c r="M36" s="167"/>
      <c r="N36" s="167"/>
      <c r="O36" s="167"/>
      <c r="Q36" s="163"/>
    </row>
    <row r="37" spans="2:17" ht="13.2">
      <c r="B37" s="156"/>
      <c r="C37" s="157"/>
      <c r="D37" s="168"/>
      <c r="E37" s="162"/>
      <c r="F37" s="167"/>
      <c r="G37" s="167"/>
      <c r="H37" s="167"/>
      <c r="I37" s="167"/>
      <c r="J37" s="167"/>
      <c r="K37" s="167"/>
      <c r="L37" s="167"/>
      <c r="M37" s="167"/>
      <c r="N37" s="167"/>
      <c r="O37" s="167"/>
      <c r="Q37" s="163"/>
    </row>
    <row r="38" spans="2:17" ht="13.2">
      <c r="B38" s="156"/>
      <c r="C38" s="157"/>
      <c r="D38" s="168"/>
      <c r="E38" s="162"/>
      <c r="F38" s="167"/>
      <c r="G38" s="167"/>
      <c r="H38" s="167"/>
      <c r="I38" s="167"/>
      <c r="J38" s="167"/>
      <c r="K38" s="167"/>
      <c r="L38" s="167"/>
      <c r="M38" s="167"/>
      <c r="N38" s="167"/>
      <c r="O38" s="167"/>
      <c r="Q38" s="163"/>
    </row>
    <row r="39" spans="2:17" ht="13.2">
      <c r="B39" s="156"/>
      <c r="C39" s="157"/>
      <c r="D39" s="168"/>
      <c r="E39" s="162"/>
      <c r="F39" s="167"/>
      <c r="G39" s="167"/>
      <c r="H39" s="167"/>
      <c r="I39" s="167"/>
      <c r="J39" s="167"/>
      <c r="K39" s="167"/>
      <c r="L39" s="167"/>
      <c r="M39" s="167"/>
      <c r="N39" s="167"/>
      <c r="O39" s="167"/>
      <c r="Q39" s="163"/>
    </row>
    <row r="40" spans="2:17" ht="13.2">
      <c r="B40" s="167"/>
      <c r="C40" s="162"/>
      <c r="D40" s="168"/>
      <c r="E40" s="162"/>
      <c r="F40" s="167"/>
      <c r="G40" s="167"/>
      <c r="H40" s="167"/>
      <c r="I40" s="167"/>
      <c r="J40" s="167"/>
      <c r="K40" s="167"/>
      <c r="L40" s="167"/>
      <c r="M40" s="167"/>
      <c r="N40" s="167"/>
      <c r="O40" s="167"/>
      <c r="Q40" s="163"/>
    </row>
    <row r="41" spans="2:17" ht="13.2">
      <c r="B41" s="167"/>
      <c r="C41" s="162"/>
      <c r="D41" s="168"/>
      <c r="E41" s="162"/>
      <c r="F41" s="167"/>
      <c r="G41" s="167"/>
      <c r="H41" s="167"/>
      <c r="I41" s="167"/>
      <c r="J41" s="167"/>
      <c r="K41" s="167"/>
      <c r="L41" s="167"/>
      <c r="M41" s="167"/>
      <c r="N41" s="167"/>
      <c r="O41" s="167"/>
      <c r="Q41" s="163"/>
    </row>
    <row r="42" spans="2:17" ht="13.2">
      <c r="B42" s="167"/>
      <c r="C42" s="162"/>
      <c r="D42" s="168"/>
      <c r="E42" s="162"/>
      <c r="F42" s="167"/>
      <c r="G42" s="167"/>
      <c r="H42" s="167"/>
      <c r="I42" s="167"/>
      <c r="J42" s="167"/>
      <c r="K42" s="167"/>
      <c r="L42" s="167"/>
      <c r="M42" s="167"/>
      <c r="N42" s="167"/>
      <c r="O42" s="167"/>
      <c r="Q42" s="163"/>
    </row>
    <row r="43" spans="2:17" ht="13.2">
      <c r="B43" s="167"/>
      <c r="C43" s="162"/>
      <c r="D43" s="168"/>
      <c r="E43" s="162"/>
      <c r="F43" s="167"/>
      <c r="G43" s="167"/>
      <c r="H43" s="167"/>
      <c r="I43" s="167"/>
      <c r="J43" s="167"/>
      <c r="K43" s="167"/>
      <c r="L43" s="167"/>
      <c r="M43" s="167"/>
      <c r="N43" s="167"/>
      <c r="O43" s="167"/>
      <c r="Q43" s="163"/>
    </row>
    <row r="44" spans="2:17" ht="13.2">
      <c r="B44" s="167"/>
      <c r="C44" s="162"/>
      <c r="D44" s="168"/>
      <c r="E44" s="162"/>
      <c r="F44" s="167"/>
      <c r="G44" s="167"/>
      <c r="H44" s="167"/>
      <c r="I44" s="167"/>
      <c r="J44" s="167"/>
      <c r="K44" s="167"/>
      <c r="L44" s="167"/>
      <c r="M44" s="167"/>
      <c r="N44" s="167"/>
      <c r="O44" s="167"/>
      <c r="Q44" s="163"/>
    </row>
    <row r="45" spans="2:17" ht="13.2">
      <c r="B45" s="167"/>
      <c r="C45" s="162"/>
      <c r="D45" s="168"/>
      <c r="E45" s="162"/>
      <c r="F45" s="167"/>
      <c r="G45" s="167"/>
      <c r="H45" s="167"/>
      <c r="I45" s="167"/>
      <c r="J45" s="167"/>
      <c r="K45" s="167"/>
      <c r="L45" s="167"/>
      <c r="M45" s="167"/>
      <c r="N45" s="167"/>
      <c r="O45" s="167"/>
      <c r="Q45" s="163"/>
    </row>
    <row r="46" spans="2:17" ht="13.2">
      <c r="B46" s="167"/>
      <c r="C46" s="162"/>
      <c r="D46" s="168"/>
      <c r="E46" s="162"/>
      <c r="F46" s="167"/>
      <c r="G46" s="167"/>
      <c r="H46" s="167"/>
      <c r="I46" s="167"/>
      <c r="J46" s="167"/>
      <c r="K46" s="167"/>
      <c r="L46" s="167"/>
      <c r="M46" s="167"/>
      <c r="N46" s="167"/>
      <c r="O46" s="167"/>
      <c r="Q46" s="163"/>
    </row>
    <row r="47" spans="2:17" ht="13.2">
      <c r="B47" s="167"/>
      <c r="C47" s="162"/>
      <c r="D47" s="168"/>
      <c r="E47" s="162"/>
      <c r="F47" s="167"/>
      <c r="G47" s="167"/>
      <c r="H47" s="167"/>
      <c r="I47" s="167"/>
      <c r="J47" s="167"/>
      <c r="K47" s="167"/>
      <c r="L47" s="167"/>
      <c r="M47" s="167"/>
      <c r="N47" s="167"/>
      <c r="O47" s="167"/>
      <c r="Q47" s="163"/>
    </row>
    <row r="48" spans="2:17" ht="13.2">
      <c r="B48" s="167"/>
      <c r="C48" s="162"/>
      <c r="D48" s="168"/>
      <c r="E48" s="162"/>
      <c r="F48" s="167"/>
      <c r="G48" s="167"/>
      <c r="H48" s="167"/>
      <c r="I48" s="167"/>
      <c r="J48" s="167"/>
      <c r="K48" s="167"/>
      <c r="L48" s="167"/>
      <c r="M48" s="167"/>
      <c r="N48" s="167"/>
      <c r="O48" s="167"/>
      <c r="Q48" s="163"/>
    </row>
    <row r="49" spans="2:17" ht="13.2">
      <c r="B49" s="167"/>
      <c r="C49" s="162"/>
      <c r="D49" s="168"/>
      <c r="E49" s="162"/>
      <c r="F49" s="167"/>
      <c r="G49" s="167"/>
      <c r="H49" s="167"/>
      <c r="I49" s="167"/>
      <c r="J49" s="167"/>
      <c r="K49" s="167"/>
      <c r="L49" s="167"/>
      <c r="M49" s="167"/>
      <c r="N49" s="167"/>
      <c r="O49" s="167"/>
      <c r="Q49" s="163"/>
    </row>
    <row r="50" spans="2:17" ht="13.2">
      <c r="B50" s="167"/>
      <c r="C50" s="162"/>
      <c r="D50" s="168"/>
      <c r="E50" s="162"/>
      <c r="F50" s="167"/>
      <c r="G50" s="167"/>
      <c r="H50" s="167"/>
      <c r="I50" s="167"/>
      <c r="J50" s="167"/>
      <c r="K50" s="167"/>
      <c r="L50" s="167"/>
      <c r="M50" s="167"/>
      <c r="N50" s="167"/>
      <c r="O50" s="167"/>
      <c r="Q50" s="163"/>
    </row>
    <row r="51" spans="2:17" ht="13.2">
      <c r="B51" s="167"/>
      <c r="C51" s="162"/>
      <c r="D51" s="168"/>
      <c r="E51" s="162"/>
      <c r="F51" s="167"/>
      <c r="G51" s="167"/>
      <c r="H51" s="167"/>
      <c r="I51" s="167"/>
      <c r="J51" s="167"/>
      <c r="K51" s="167"/>
      <c r="L51" s="167"/>
      <c r="M51" s="167"/>
      <c r="N51" s="167"/>
      <c r="O51" s="167"/>
      <c r="Q51" s="163"/>
    </row>
    <row r="52" spans="2:17" ht="13.2">
      <c r="B52" s="167"/>
      <c r="C52" s="162"/>
      <c r="D52" s="168"/>
      <c r="E52" s="162"/>
      <c r="F52" s="167"/>
      <c r="G52" s="167"/>
      <c r="H52" s="167"/>
      <c r="I52" s="167"/>
      <c r="J52" s="167"/>
      <c r="K52" s="167"/>
      <c r="L52" s="167"/>
      <c r="M52" s="167"/>
      <c r="N52" s="167"/>
      <c r="O52" s="167"/>
      <c r="Q52" s="163"/>
    </row>
    <row r="53" spans="2:17" ht="13.2">
      <c r="B53" s="167"/>
      <c r="C53" s="162"/>
      <c r="D53" s="168"/>
      <c r="E53" s="162"/>
      <c r="F53" s="167"/>
      <c r="G53" s="167"/>
      <c r="H53" s="167"/>
      <c r="I53" s="167"/>
      <c r="J53" s="167"/>
      <c r="K53" s="167"/>
      <c r="L53" s="167"/>
      <c r="M53" s="167"/>
      <c r="N53" s="167"/>
      <c r="O53" s="167"/>
      <c r="Q53" s="163"/>
    </row>
    <row r="54" spans="2:17" ht="13.2">
      <c r="B54" s="167"/>
      <c r="C54" s="162"/>
      <c r="D54" s="168"/>
      <c r="E54" s="162"/>
      <c r="F54" s="167"/>
      <c r="G54" s="167"/>
      <c r="H54" s="167"/>
      <c r="I54" s="167"/>
      <c r="J54" s="167"/>
      <c r="K54" s="167"/>
      <c r="L54" s="167"/>
      <c r="M54" s="167"/>
      <c r="N54" s="167"/>
      <c r="O54" s="167"/>
      <c r="Q54" s="163"/>
    </row>
    <row r="55" spans="2:17" ht="13.2">
      <c r="B55" s="167"/>
      <c r="C55" s="162"/>
      <c r="D55" s="168"/>
      <c r="E55" s="162"/>
      <c r="F55" s="167"/>
      <c r="G55" s="167"/>
      <c r="H55" s="167"/>
      <c r="I55" s="167"/>
      <c r="J55" s="167"/>
      <c r="K55" s="167"/>
      <c r="L55" s="167"/>
      <c r="M55" s="167"/>
      <c r="N55" s="167"/>
      <c r="O55" s="167"/>
      <c r="Q55" s="163"/>
    </row>
    <row r="56" spans="2:17" ht="13.2">
      <c r="B56" s="167"/>
      <c r="C56" s="162"/>
      <c r="D56" s="168"/>
      <c r="E56" s="162"/>
      <c r="F56" s="167"/>
      <c r="G56" s="167"/>
      <c r="H56" s="167"/>
      <c r="I56" s="167"/>
      <c r="J56" s="167"/>
      <c r="K56" s="167"/>
      <c r="L56" s="167"/>
      <c r="M56" s="167"/>
      <c r="N56" s="167"/>
      <c r="O56" s="167"/>
      <c r="Q56" s="163"/>
    </row>
    <row r="57" spans="2:17" ht="13.2">
      <c r="B57" s="167"/>
      <c r="C57" s="162"/>
      <c r="D57" s="168"/>
      <c r="E57" s="162"/>
      <c r="F57" s="167"/>
      <c r="G57" s="167"/>
      <c r="H57" s="167"/>
      <c r="I57" s="167"/>
      <c r="J57" s="167"/>
      <c r="K57" s="167"/>
      <c r="L57" s="167"/>
      <c r="M57" s="167"/>
      <c r="N57" s="167"/>
      <c r="O57" s="167"/>
      <c r="Q57" s="163"/>
    </row>
    <row r="58" spans="2:17" ht="13.2">
      <c r="B58" s="167"/>
      <c r="C58" s="162"/>
      <c r="D58" s="168"/>
      <c r="E58" s="162"/>
      <c r="F58" s="167"/>
      <c r="G58" s="167"/>
      <c r="H58" s="167"/>
      <c r="I58" s="167"/>
      <c r="J58" s="167"/>
      <c r="K58" s="167"/>
      <c r="L58" s="167"/>
      <c r="M58" s="167"/>
      <c r="N58" s="167"/>
      <c r="O58" s="167"/>
      <c r="Q58" s="163"/>
    </row>
    <row r="59" spans="2:17" ht="13.2">
      <c r="B59" s="167"/>
      <c r="C59" s="162"/>
      <c r="D59" s="168"/>
      <c r="E59" s="162"/>
      <c r="F59" s="167"/>
      <c r="G59" s="167"/>
      <c r="H59" s="167"/>
      <c r="I59" s="167"/>
      <c r="J59" s="167"/>
      <c r="K59" s="167"/>
      <c r="L59" s="167"/>
      <c r="M59" s="167"/>
      <c r="N59" s="167"/>
      <c r="O59" s="167"/>
      <c r="Q59" s="163"/>
    </row>
    <row r="60" spans="2:17" ht="13.2">
      <c r="B60" s="167"/>
      <c r="C60" s="162"/>
      <c r="D60" s="168"/>
      <c r="E60" s="162"/>
      <c r="F60" s="167"/>
      <c r="G60" s="167"/>
      <c r="H60" s="167"/>
      <c r="I60" s="167"/>
      <c r="J60" s="167"/>
      <c r="K60" s="167"/>
      <c r="L60" s="167"/>
      <c r="M60" s="167"/>
      <c r="N60" s="167"/>
      <c r="O60" s="167"/>
      <c r="Q60" s="163"/>
    </row>
    <row r="61" spans="2:17" ht="13.2">
      <c r="B61" s="167"/>
      <c r="C61" s="162"/>
      <c r="D61" s="168"/>
      <c r="E61" s="162"/>
      <c r="F61" s="167"/>
      <c r="G61" s="167"/>
      <c r="H61" s="167"/>
      <c r="I61" s="167"/>
      <c r="J61" s="167"/>
      <c r="K61" s="167"/>
      <c r="L61" s="167"/>
      <c r="M61" s="167"/>
      <c r="N61" s="167"/>
      <c r="O61" s="167"/>
      <c r="Q61" s="163"/>
    </row>
    <row r="62" spans="2:17" ht="13.2">
      <c r="B62" s="167"/>
      <c r="C62" s="162"/>
      <c r="D62" s="168"/>
      <c r="E62" s="162"/>
      <c r="F62" s="167"/>
      <c r="G62" s="167"/>
      <c r="H62" s="167"/>
      <c r="I62" s="167"/>
      <c r="J62" s="167"/>
      <c r="K62" s="167"/>
      <c r="L62" s="167"/>
      <c r="M62" s="167"/>
      <c r="N62" s="167"/>
      <c r="O62" s="167"/>
      <c r="Q62" s="163"/>
    </row>
    <row r="63" spans="2:17" ht="13.2">
      <c r="B63" s="167"/>
      <c r="C63" s="162"/>
      <c r="D63" s="168"/>
      <c r="E63" s="162"/>
      <c r="F63" s="167"/>
      <c r="G63" s="167"/>
      <c r="H63" s="167"/>
      <c r="I63" s="167"/>
      <c r="J63" s="167"/>
      <c r="K63" s="167"/>
      <c r="L63" s="167"/>
      <c r="M63" s="167"/>
      <c r="N63" s="167"/>
      <c r="O63" s="167"/>
      <c r="Q63" s="163"/>
    </row>
    <row r="64" spans="2:17" ht="13.2">
      <c r="B64" s="167"/>
      <c r="C64" s="162"/>
      <c r="D64" s="168"/>
      <c r="E64" s="162"/>
      <c r="F64" s="167"/>
      <c r="G64" s="167"/>
      <c r="H64" s="167"/>
      <c r="I64" s="167"/>
      <c r="J64" s="167"/>
      <c r="K64" s="167"/>
      <c r="L64" s="167"/>
      <c r="M64" s="167"/>
      <c r="N64" s="167"/>
      <c r="O64" s="167"/>
      <c r="Q64" s="163"/>
    </row>
    <row r="65" spans="2:17" ht="13.2">
      <c r="B65" s="167"/>
      <c r="C65" s="162"/>
      <c r="D65" s="168"/>
      <c r="E65" s="162"/>
      <c r="F65" s="167"/>
      <c r="G65" s="167"/>
      <c r="H65" s="167"/>
      <c r="I65" s="167"/>
      <c r="J65" s="167"/>
      <c r="K65" s="167"/>
      <c r="L65" s="167"/>
      <c r="M65" s="167"/>
      <c r="N65" s="167"/>
      <c r="O65" s="167"/>
      <c r="Q65" s="163"/>
    </row>
    <row r="66" spans="2:17" ht="13.2">
      <c r="B66" s="167"/>
      <c r="C66" s="162"/>
      <c r="D66" s="168"/>
      <c r="E66" s="162"/>
      <c r="F66" s="167"/>
      <c r="G66" s="167"/>
      <c r="H66" s="167"/>
      <c r="I66" s="167"/>
      <c r="J66" s="167"/>
      <c r="K66" s="167"/>
      <c r="L66" s="167"/>
      <c r="M66" s="167"/>
      <c r="N66" s="167"/>
      <c r="O66" s="167"/>
      <c r="Q66" s="163"/>
    </row>
    <row r="67" spans="2:17" ht="13.2">
      <c r="B67" s="167"/>
      <c r="C67" s="162"/>
      <c r="D67" s="168"/>
      <c r="E67" s="162"/>
      <c r="F67" s="167"/>
      <c r="G67" s="167"/>
      <c r="H67" s="167"/>
      <c r="I67" s="167"/>
      <c r="J67" s="167"/>
      <c r="K67" s="167"/>
      <c r="L67" s="167"/>
      <c r="M67" s="167"/>
      <c r="N67" s="167"/>
      <c r="O67" s="167"/>
      <c r="Q67" s="163"/>
    </row>
    <row r="68" spans="2:17" ht="13.2">
      <c r="B68" s="167"/>
      <c r="C68" s="162"/>
      <c r="D68" s="168"/>
      <c r="E68" s="162"/>
      <c r="F68" s="167"/>
      <c r="G68" s="167"/>
      <c r="H68" s="167"/>
      <c r="I68" s="167"/>
      <c r="J68" s="167"/>
      <c r="K68" s="167"/>
      <c r="L68" s="167"/>
      <c r="M68" s="167"/>
      <c r="N68" s="167"/>
      <c r="O68" s="167"/>
      <c r="Q68" s="163"/>
    </row>
    <row r="69" spans="2:17" ht="13.2">
      <c r="B69" s="167"/>
      <c r="C69" s="162"/>
      <c r="D69" s="168"/>
      <c r="E69" s="162"/>
      <c r="F69" s="167"/>
      <c r="G69" s="167"/>
      <c r="H69" s="167"/>
      <c r="I69" s="167"/>
      <c r="J69" s="167"/>
      <c r="K69" s="167"/>
      <c r="L69" s="167"/>
      <c r="M69" s="167"/>
      <c r="N69" s="167"/>
      <c r="O69" s="167"/>
      <c r="Q69" s="163"/>
    </row>
    <row r="70" spans="2:17" ht="13.2">
      <c r="B70" s="167"/>
      <c r="C70" s="162"/>
      <c r="D70" s="168"/>
      <c r="E70" s="162"/>
      <c r="F70" s="167"/>
      <c r="G70" s="167"/>
      <c r="H70" s="167"/>
      <c r="I70" s="167"/>
      <c r="J70" s="167"/>
      <c r="K70" s="167"/>
      <c r="L70" s="167"/>
      <c r="M70" s="167"/>
      <c r="N70" s="167"/>
      <c r="O70" s="167"/>
      <c r="Q70" s="163"/>
    </row>
    <row r="71" spans="2:17" ht="13.2">
      <c r="B71" s="167"/>
      <c r="C71" s="162"/>
      <c r="D71" s="168"/>
      <c r="E71" s="162"/>
      <c r="F71" s="167"/>
      <c r="G71" s="167"/>
      <c r="H71" s="167"/>
      <c r="I71" s="167"/>
      <c r="J71" s="167"/>
      <c r="K71" s="167"/>
      <c r="L71" s="167"/>
      <c r="M71" s="167"/>
      <c r="N71" s="167"/>
      <c r="O71" s="167"/>
      <c r="Q71" s="163"/>
    </row>
    <row r="72" spans="2:17" ht="13.2">
      <c r="B72" s="167"/>
      <c r="C72" s="162"/>
      <c r="D72" s="168"/>
      <c r="E72" s="162"/>
      <c r="F72" s="167"/>
      <c r="G72" s="167"/>
      <c r="H72" s="167"/>
      <c r="I72" s="167"/>
      <c r="J72" s="167"/>
      <c r="K72" s="167"/>
      <c r="L72" s="167"/>
      <c r="M72" s="167"/>
      <c r="N72" s="167"/>
      <c r="O72" s="167"/>
      <c r="Q72" s="163"/>
    </row>
    <row r="73" spans="2:17" ht="13.2">
      <c r="B73" s="167"/>
      <c r="C73" s="162"/>
      <c r="D73" s="168"/>
      <c r="E73" s="162"/>
      <c r="F73" s="167"/>
      <c r="G73" s="167"/>
      <c r="H73" s="167"/>
      <c r="I73" s="167"/>
      <c r="J73" s="167"/>
      <c r="K73" s="167"/>
      <c r="L73" s="167"/>
      <c r="M73" s="167"/>
      <c r="N73" s="167"/>
      <c r="O73" s="167"/>
      <c r="Q73" s="163"/>
    </row>
    <row r="74" spans="2:17" ht="13.2">
      <c r="B74" s="167"/>
      <c r="C74" s="162"/>
      <c r="D74" s="168"/>
      <c r="E74" s="162"/>
      <c r="F74" s="167"/>
      <c r="G74" s="167"/>
      <c r="H74" s="167"/>
      <c r="I74" s="167"/>
      <c r="J74" s="167"/>
      <c r="K74" s="167"/>
      <c r="L74" s="167"/>
      <c r="M74" s="167"/>
      <c r="N74" s="167"/>
      <c r="O74" s="167"/>
      <c r="Q74" s="163"/>
    </row>
    <row r="75" spans="2:17" ht="13.2">
      <c r="B75" s="167"/>
      <c r="C75" s="162"/>
      <c r="D75" s="168"/>
      <c r="E75" s="162"/>
      <c r="F75" s="167"/>
      <c r="G75" s="167"/>
      <c r="H75" s="167"/>
      <c r="I75" s="167"/>
      <c r="J75" s="167"/>
      <c r="K75" s="167"/>
      <c r="L75" s="167"/>
      <c r="M75" s="167"/>
      <c r="N75" s="167"/>
      <c r="O75" s="167"/>
      <c r="Q75" s="163"/>
    </row>
    <row r="76" spans="2:17" ht="13.2">
      <c r="B76" s="167"/>
      <c r="C76" s="162"/>
      <c r="D76" s="168"/>
      <c r="E76" s="162"/>
      <c r="F76" s="167"/>
      <c r="G76" s="167"/>
      <c r="H76" s="167"/>
      <c r="I76" s="167"/>
      <c r="J76" s="167"/>
      <c r="K76" s="167"/>
      <c r="L76" s="167"/>
      <c r="M76" s="167"/>
      <c r="N76" s="167"/>
      <c r="O76" s="167"/>
      <c r="Q76" s="163"/>
    </row>
    <row r="77" spans="2:17" ht="13.2">
      <c r="B77" s="167"/>
      <c r="C77" s="162"/>
      <c r="D77" s="168"/>
      <c r="E77" s="162"/>
      <c r="F77" s="167"/>
      <c r="G77" s="167"/>
      <c r="H77" s="167"/>
      <c r="I77" s="167"/>
      <c r="J77" s="167"/>
      <c r="K77" s="167"/>
      <c r="L77" s="167"/>
      <c r="M77" s="167"/>
      <c r="N77" s="167"/>
      <c r="O77" s="167"/>
      <c r="Q77" s="163"/>
    </row>
    <row r="78" spans="2:17" ht="13.2">
      <c r="B78" s="167"/>
      <c r="C78" s="162"/>
      <c r="D78" s="168"/>
      <c r="E78" s="162"/>
      <c r="F78" s="167"/>
      <c r="G78" s="167"/>
      <c r="H78" s="167"/>
      <c r="I78" s="167"/>
      <c r="J78" s="167"/>
      <c r="K78" s="167"/>
      <c r="L78" s="167"/>
      <c r="M78" s="167"/>
      <c r="N78" s="167"/>
      <c r="O78" s="167"/>
      <c r="Q78" s="163"/>
    </row>
    <row r="79" spans="2:17" ht="13.2">
      <c r="B79" s="167"/>
      <c r="C79" s="162"/>
      <c r="D79" s="168"/>
      <c r="E79" s="162"/>
      <c r="F79" s="167"/>
      <c r="G79" s="167"/>
      <c r="H79" s="167"/>
      <c r="I79" s="167"/>
      <c r="J79" s="167"/>
      <c r="K79" s="167"/>
      <c r="L79" s="167"/>
      <c r="M79" s="167"/>
      <c r="N79" s="167"/>
      <c r="O79" s="167"/>
      <c r="Q79" s="163"/>
    </row>
    <row r="80" spans="2:17" ht="13.2">
      <c r="B80" s="167"/>
      <c r="C80" s="162"/>
      <c r="D80" s="168"/>
      <c r="E80" s="162"/>
      <c r="F80" s="167"/>
      <c r="G80" s="167"/>
      <c r="H80" s="167"/>
      <c r="I80" s="167"/>
      <c r="J80" s="167"/>
      <c r="K80" s="167"/>
      <c r="L80" s="167"/>
      <c r="M80" s="167"/>
      <c r="N80" s="167"/>
      <c r="O80" s="167"/>
      <c r="Q80" s="163"/>
    </row>
    <row r="81" spans="2:17" ht="13.2">
      <c r="B81" s="167"/>
      <c r="C81" s="162"/>
      <c r="D81" s="168"/>
      <c r="E81" s="162"/>
      <c r="F81" s="167"/>
      <c r="G81" s="167"/>
      <c r="H81" s="167"/>
      <c r="I81" s="167"/>
      <c r="J81" s="167"/>
      <c r="K81" s="167"/>
      <c r="L81" s="167"/>
      <c r="M81" s="167"/>
      <c r="N81" s="167"/>
      <c r="O81" s="167"/>
      <c r="Q81" s="163"/>
    </row>
    <row r="82" spans="2:17" ht="13.2">
      <c r="B82" s="167"/>
      <c r="C82" s="162"/>
      <c r="D82" s="168"/>
      <c r="E82" s="162"/>
      <c r="F82" s="167"/>
      <c r="G82" s="167"/>
      <c r="H82" s="167"/>
      <c r="I82" s="167"/>
      <c r="J82" s="167"/>
      <c r="K82" s="167"/>
      <c r="L82" s="167"/>
      <c r="M82" s="167"/>
      <c r="N82" s="167"/>
      <c r="O82" s="167"/>
      <c r="Q82" s="163"/>
    </row>
    <row r="83" spans="2:17" ht="13.2">
      <c r="B83" s="167"/>
      <c r="C83" s="162"/>
      <c r="D83" s="168"/>
      <c r="E83" s="162"/>
      <c r="F83" s="167"/>
      <c r="G83" s="167"/>
      <c r="H83" s="167"/>
      <c r="I83" s="167"/>
      <c r="J83" s="167"/>
      <c r="K83" s="167"/>
      <c r="L83" s="167"/>
      <c r="M83" s="167"/>
      <c r="N83" s="167"/>
      <c r="O83" s="167"/>
      <c r="Q83" s="163"/>
    </row>
    <row r="84" spans="2:17" ht="13.2">
      <c r="B84" s="167"/>
      <c r="C84" s="162"/>
      <c r="D84" s="168"/>
      <c r="E84" s="162"/>
      <c r="F84" s="167"/>
      <c r="G84" s="167"/>
      <c r="H84" s="167"/>
      <c r="I84" s="167"/>
      <c r="J84" s="167"/>
      <c r="K84" s="167"/>
      <c r="L84" s="167"/>
      <c r="M84" s="167"/>
      <c r="N84" s="167"/>
      <c r="O84" s="167"/>
      <c r="Q84" s="163"/>
    </row>
    <row r="85" spans="2:17" ht="13.2">
      <c r="B85" s="167"/>
      <c r="C85" s="162"/>
      <c r="D85" s="168"/>
      <c r="E85" s="162"/>
      <c r="F85" s="167"/>
      <c r="G85" s="167"/>
      <c r="H85" s="167"/>
      <c r="I85" s="167"/>
      <c r="J85" s="167"/>
      <c r="K85" s="167"/>
      <c r="L85" s="167"/>
      <c r="M85" s="167"/>
      <c r="N85" s="167"/>
      <c r="O85" s="167"/>
      <c r="Q85" s="163"/>
    </row>
    <row r="86" spans="2:17" ht="13.2">
      <c r="B86" s="167"/>
      <c r="C86" s="162"/>
      <c r="D86" s="168"/>
      <c r="E86" s="162"/>
      <c r="F86" s="167"/>
      <c r="G86" s="167"/>
      <c r="H86" s="167"/>
      <c r="I86" s="167"/>
      <c r="J86" s="167"/>
      <c r="K86" s="167"/>
      <c r="L86" s="167"/>
      <c r="M86" s="167"/>
      <c r="N86" s="167"/>
      <c r="O86" s="167"/>
      <c r="Q86" s="163"/>
    </row>
    <row r="87" spans="2:17" ht="13.2">
      <c r="B87" s="167"/>
      <c r="C87" s="162"/>
      <c r="D87" s="168"/>
      <c r="E87" s="162"/>
      <c r="F87" s="167"/>
      <c r="G87" s="167"/>
      <c r="H87" s="167"/>
      <c r="I87" s="167"/>
      <c r="J87" s="167"/>
      <c r="K87" s="167"/>
      <c r="L87" s="167"/>
      <c r="M87" s="167"/>
      <c r="N87" s="167"/>
      <c r="O87" s="167"/>
      <c r="Q87" s="163"/>
    </row>
    <row r="88" spans="2:17" ht="13.2">
      <c r="B88" s="167"/>
      <c r="C88" s="162"/>
      <c r="D88" s="168"/>
      <c r="E88" s="162"/>
      <c r="F88" s="167"/>
      <c r="G88" s="167"/>
      <c r="H88" s="167"/>
      <c r="I88" s="167"/>
      <c r="J88" s="167"/>
      <c r="K88" s="167"/>
      <c r="L88" s="167"/>
      <c r="M88" s="167"/>
      <c r="N88" s="167"/>
      <c r="O88" s="167"/>
      <c r="Q88" s="163"/>
    </row>
    <row r="89" spans="2:17" ht="13.2">
      <c r="B89" s="167"/>
      <c r="C89" s="162"/>
      <c r="D89" s="168"/>
      <c r="E89" s="162"/>
      <c r="F89" s="167"/>
      <c r="G89" s="167"/>
      <c r="H89" s="167"/>
      <c r="I89" s="167"/>
      <c r="J89" s="167"/>
      <c r="K89" s="167"/>
      <c r="L89" s="167"/>
      <c r="M89" s="167"/>
      <c r="N89" s="167"/>
      <c r="O89" s="167"/>
      <c r="Q89" s="163"/>
    </row>
    <row r="90" spans="2:17" ht="13.2">
      <c r="B90" s="167"/>
      <c r="C90" s="162"/>
      <c r="D90" s="168"/>
      <c r="E90" s="162"/>
      <c r="F90" s="167"/>
      <c r="G90" s="167"/>
      <c r="H90" s="167"/>
      <c r="I90" s="167"/>
      <c r="J90" s="167"/>
      <c r="K90" s="167"/>
      <c r="L90" s="167"/>
      <c r="M90" s="167"/>
      <c r="N90" s="167"/>
      <c r="O90" s="167"/>
      <c r="Q90" s="163"/>
    </row>
    <row r="91" spans="2:17" ht="13.2">
      <c r="B91" s="167"/>
      <c r="C91" s="162"/>
      <c r="D91" s="168"/>
      <c r="E91" s="162"/>
      <c r="F91" s="167"/>
      <c r="G91" s="167"/>
      <c r="H91" s="167"/>
      <c r="I91" s="167"/>
      <c r="J91" s="167"/>
      <c r="K91" s="167"/>
      <c r="L91" s="167"/>
      <c r="M91" s="167"/>
      <c r="N91" s="167"/>
      <c r="O91" s="167"/>
      <c r="Q91" s="163"/>
    </row>
    <row r="92" spans="2:17" ht="13.2">
      <c r="B92" s="167"/>
      <c r="C92" s="162"/>
      <c r="D92" s="168"/>
      <c r="E92" s="162"/>
      <c r="F92" s="167"/>
      <c r="G92" s="167"/>
      <c r="H92" s="167"/>
      <c r="I92" s="167"/>
      <c r="J92" s="167"/>
      <c r="K92" s="167"/>
      <c r="L92" s="167"/>
      <c r="M92" s="167"/>
      <c r="N92" s="167"/>
      <c r="O92" s="167"/>
      <c r="Q92" s="163"/>
    </row>
    <row r="93" spans="2:17" ht="13.2">
      <c r="B93" s="167"/>
      <c r="C93" s="162"/>
      <c r="D93" s="168"/>
      <c r="E93" s="162"/>
      <c r="F93" s="167"/>
      <c r="G93" s="167"/>
      <c r="H93" s="167"/>
      <c r="I93" s="167"/>
      <c r="J93" s="167"/>
      <c r="K93" s="167"/>
      <c r="L93" s="167"/>
      <c r="M93" s="167"/>
      <c r="N93" s="167"/>
      <c r="O93" s="167"/>
      <c r="Q93" s="163"/>
    </row>
    <row r="94" spans="2:17" ht="13.2">
      <c r="B94" s="167"/>
      <c r="C94" s="162"/>
      <c r="D94" s="168"/>
      <c r="E94" s="162"/>
      <c r="F94" s="167"/>
      <c r="G94" s="167"/>
      <c r="H94" s="167"/>
      <c r="I94" s="167"/>
      <c r="J94" s="167"/>
      <c r="K94" s="167"/>
      <c r="L94" s="167"/>
      <c r="M94" s="167"/>
      <c r="N94" s="167"/>
      <c r="O94" s="167"/>
      <c r="Q94" s="163"/>
    </row>
    <row r="95" spans="2:17" ht="13.2">
      <c r="B95" s="167"/>
      <c r="C95" s="162"/>
      <c r="D95" s="168"/>
      <c r="E95" s="162"/>
      <c r="F95" s="167"/>
      <c r="G95" s="167"/>
      <c r="H95" s="167"/>
      <c r="I95" s="167"/>
      <c r="J95" s="167"/>
      <c r="K95" s="167"/>
      <c r="L95" s="167"/>
      <c r="M95" s="167"/>
      <c r="N95" s="167"/>
      <c r="O95" s="167"/>
      <c r="Q95" s="163"/>
    </row>
    <row r="96" spans="2:17" ht="13.2">
      <c r="B96" s="167"/>
      <c r="C96" s="162"/>
      <c r="D96" s="168"/>
      <c r="E96" s="162"/>
      <c r="F96" s="167"/>
      <c r="G96" s="167"/>
      <c r="H96" s="167"/>
      <c r="I96" s="167"/>
      <c r="J96" s="167"/>
      <c r="K96" s="167"/>
      <c r="L96" s="167"/>
      <c r="M96" s="167"/>
      <c r="N96" s="167"/>
      <c r="O96" s="167"/>
      <c r="Q96" s="163"/>
    </row>
    <row r="97" spans="2:17" ht="13.2">
      <c r="B97" s="167"/>
      <c r="C97" s="162"/>
      <c r="D97" s="168"/>
      <c r="E97" s="162"/>
      <c r="F97" s="167"/>
      <c r="G97" s="167"/>
      <c r="H97" s="167"/>
      <c r="I97" s="167"/>
      <c r="J97" s="167"/>
      <c r="K97" s="167"/>
      <c r="L97" s="167"/>
      <c r="M97" s="167"/>
      <c r="N97" s="167"/>
      <c r="O97" s="167"/>
      <c r="Q97" s="163"/>
    </row>
    <row r="98" spans="2:17" ht="13.2">
      <c r="B98" s="167"/>
      <c r="C98" s="162"/>
      <c r="D98" s="168"/>
      <c r="E98" s="162"/>
      <c r="F98" s="167"/>
      <c r="G98" s="167"/>
      <c r="H98" s="167"/>
      <c r="I98" s="167"/>
      <c r="J98" s="167"/>
      <c r="K98" s="167"/>
      <c r="L98" s="167"/>
      <c r="M98" s="167"/>
      <c r="N98" s="167"/>
      <c r="O98" s="167"/>
      <c r="Q98" s="163"/>
    </row>
    <row r="99" spans="2:17" ht="13.2">
      <c r="B99" s="167"/>
      <c r="C99" s="162"/>
      <c r="D99" s="168"/>
      <c r="E99" s="162"/>
      <c r="F99" s="167"/>
      <c r="G99" s="167"/>
      <c r="H99" s="167"/>
      <c r="I99" s="167"/>
      <c r="J99" s="167"/>
      <c r="K99" s="167"/>
      <c r="L99" s="167"/>
      <c r="M99" s="167"/>
      <c r="N99" s="167"/>
      <c r="O99" s="167"/>
      <c r="Q99" s="163"/>
    </row>
    <row r="100" spans="2:17" ht="13.2">
      <c r="B100" s="167"/>
      <c r="C100" s="162"/>
      <c r="D100" s="168"/>
      <c r="E100" s="162"/>
      <c r="F100" s="167"/>
      <c r="G100" s="167"/>
      <c r="H100" s="167"/>
      <c r="I100" s="167"/>
      <c r="J100" s="167"/>
      <c r="K100" s="167"/>
      <c r="L100" s="167"/>
      <c r="M100" s="167"/>
      <c r="N100" s="167"/>
      <c r="O100" s="167"/>
      <c r="Q100" s="163"/>
    </row>
    <row r="101" spans="2:17" ht="13.2">
      <c r="B101" s="167"/>
      <c r="C101" s="162"/>
      <c r="D101" s="168"/>
      <c r="E101" s="162"/>
      <c r="F101" s="167"/>
      <c r="G101" s="167"/>
      <c r="H101" s="167"/>
      <c r="I101" s="167"/>
      <c r="J101" s="167"/>
      <c r="K101" s="167"/>
      <c r="L101" s="167"/>
      <c r="M101" s="167"/>
      <c r="N101" s="167"/>
      <c r="O101" s="167"/>
      <c r="Q101" s="163"/>
    </row>
    <row r="102" spans="2:17" ht="13.2">
      <c r="B102" s="167"/>
      <c r="C102" s="162"/>
      <c r="D102" s="168"/>
      <c r="E102" s="162"/>
      <c r="F102" s="167"/>
      <c r="G102" s="167"/>
      <c r="H102" s="167"/>
      <c r="I102" s="167"/>
      <c r="J102" s="167"/>
      <c r="K102" s="167"/>
      <c r="L102" s="167"/>
      <c r="M102" s="167"/>
      <c r="N102" s="167"/>
      <c r="O102" s="167"/>
      <c r="Q102" s="163"/>
    </row>
    <row r="103" spans="2:17" ht="13.2">
      <c r="B103" s="167"/>
      <c r="C103" s="162"/>
      <c r="D103" s="168"/>
      <c r="E103" s="162"/>
      <c r="F103" s="167"/>
      <c r="G103" s="167"/>
      <c r="H103" s="167"/>
      <c r="I103" s="167"/>
      <c r="J103" s="167"/>
      <c r="K103" s="167"/>
      <c r="L103" s="167"/>
      <c r="M103" s="167"/>
      <c r="N103" s="167"/>
      <c r="O103" s="167"/>
      <c r="Q103" s="163"/>
    </row>
    <row r="104" spans="2:17" ht="13.2">
      <c r="B104" s="167"/>
      <c r="C104" s="162"/>
      <c r="D104" s="168"/>
      <c r="E104" s="162"/>
      <c r="F104" s="167"/>
      <c r="G104" s="167"/>
      <c r="H104" s="167"/>
      <c r="I104" s="167"/>
      <c r="J104" s="167"/>
      <c r="K104" s="167"/>
      <c r="L104" s="167"/>
      <c r="M104" s="167"/>
      <c r="N104" s="167"/>
      <c r="O104" s="167"/>
      <c r="Q104" s="163"/>
    </row>
    <row r="105" spans="2:17" ht="13.2">
      <c r="B105" s="167"/>
      <c r="C105" s="162"/>
      <c r="D105" s="168"/>
      <c r="E105" s="162"/>
      <c r="F105" s="167"/>
      <c r="G105" s="167"/>
      <c r="H105" s="167"/>
      <c r="I105" s="167"/>
      <c r="J105" s="167"/>
      <c r="K105" s="167"/>
      <c r="L105" s="167"/>
      <c r="M105" s="167"/>
      <c r="N105" s="167"/>
      <c r="O105" s="167"/>
      <c r="Q105" s="163"/>
    </row>
    <row r="106" spans="2:17" ht="13.2">
      <c r="B106" s="167"/>
      <c r="C106" s="162"/>
      <c r="D106" s="168"/>
      <c r="E106" s="162"/>
      <c r="F106" s="167"/>
      <c r="G106" s="167"/>
      <c r="H106" s="167"/>
      <c r="I106" s="167"/>
      <c r="J106" s="167"/>
      <c r="K106" s="167"/>
      <c r="L106" s="167"/>
      <c r="M106" s="167"/>
      <c r="N106" s="167"/>
      <c r="O106" s="167"/>
      <c r="Q106" s="163"/>
    </row>
    <row r="107" spans="2:17" ht="13.2">
      <c r="B107" s="167"/>
      <c r="C107" s="162"/>
      <c r="D107" s="168"/>
      <c r="E107" s="162"/>
      <c r="F107" s="167"/>
      <c r="G107" s="167"/>
      <c r="H107" s="167"/>
      <c r="I107" s="167"/>
      <c r="J107" s="167"/>
      <c r="K107" s="167"/>
      <c r="L107" s="167"/>
      <c r="M107" s="167"/>
      <c r="N107" s="167"/>
      <c r="O107" s="167"/>
      <c r="Q107" s="163"/>
    </row>
    <row r="108" spans="2:17" ht="13.2">
      <c r="B108" s="167"/>
      <c r="C108" s="162"/>
      <c r="D108" s="168"/>
      <c r="E108" s="162"/>
      <c r="F108" s="167"/>
      <c r="G108" s="167"/>
      <c r="H108" s="167"/>
      <c r="I108" s="167"/>
      <c r="J108" s="167"/>
      <c r="K108" s="167"/>
      <c r="L108" s="167"/>
      <c r="M108" s="167"/>
      <c r="N108" s="167"/>
      <c r="O108" s="167"/>
      <c r="Q108" s="163"/>
    </row>
    <row r="109" spans="2:17" ht="13.2">
      <c r="B109" s="167"/>
      <c r="C109" s="162"/>
      <c r="D109" s="168"/>
      <c r="E109" s="162"/>
      <c r="F109" s="167"/>
      <c r="G109" s="167"/>
      <c r="H109" s="167"/>
      <c r="I109" s="167"/>
      <c r="J109" s="167"/>
      <c r="K109" s="167"/>
      <c r="L109" s="167"/>
      <c r="M109" s="167"/>
      <c r="N109" s="167"/>
      <c r="O109" s="167"/>
      <c r="Q109" s="163"/>
    </row>
    <row r="110" spans="2:17" ht="13.2">
      <c r="B110" s="167"/>
      <c r="C110" s="162"/>
      <c r="D110" s="168"/>
      <c r="E110" s="162"/>
      <c r="F110" s="167"/>
      <c r="G110" s="167"/>
      <c r="H110" s="167"/>
      <c r="I110" s="167"/>
      <c r="J110" s="167"/>
      <c r="K110" s="167"/>
      <c r="L110" s="167"/>
      <c r="M110" s="167"/>
      <c r="N110" s="167"/>
      <c r="O110" s="167"/>
      <c r="Q110" s="163"/>
    </row>
    <row r="111" spans="2:17" ht="13.2">
      <c r="B111" s="167"/>
      <c r="C111" s="162"/>
      <c r="D111" s="168"/>
      <c r="E111" s="162"/>
      <c r="F111" s="167"/>
      <c r="G111" s="167"/>
      <c r="H111" s="167"/>
      <c r="I111" s="167"/>
      <c r="J111" s="167"/>
      <c r="K111" s="167"/>
      <c r="L111" s="167"/>
      <c r="M111" s="167"/>
      <c r="N111" s="167"/>
      <c r="O111" s="167"/>
      <c r="Q111" s="163"/>
    </row>
    <row r="112" spans="2:17" ht="13.2">
      <c r="B112" s="167"/>
      <c r="C112" s="162"/>
      <c r="D112" s="168"/>
      <c r="E112" s="162"/>
      <c r="F112" s="167"/>
      <c r="G112" s="167"/>
      <c r="H112" s="167"/>
      <c r="I112" s="167"/>
      <c r="J112" s="167"/>
      <c r="K112" s="167"/>
      <c r="L112" s="167"/>
      <c r="M112" s="167"/>
      <c r="N112" s="167"/>
      <c r="O112" s="167"/>
      <c r="Q112" s="163"/>
    </row>
    <row r="113" spans="2:17" ht="13.2">
      <c r="B113" s="167"/>
      <c r="C113" s="162"/>
      <c r="D113" s="168"/>
      <c r="E113" s="162"/>
      <c r="F113" s="167"/>
      <c r="G113" s="167"/>
      <c r="H113" s="167"/>
      <c r="I113" s="167"/>
      <c r="J113" s="167"/>
      <c r="K113" s="167"/>
      <c r="L113" s="167"/>
      <c r="M113" s="167"/>
      <c r="N113" s="167"/>
      <c r="O113" s="167"/>
      <c r="Q113" s="163"/>
    </row>
    <row r="114" spans="2:17" ht="13.2">
      <c r="B114" s="167"/>
      <c r="C114" s="162"/>
      <c r="D114" s="168"/>
      <c r="E114" s="162"/>
      <c r="F114" s="167"/>
      <c r="G114" s="167"/>
      <c r="H114" s="167"/>
      <c r="I114" s="167"/>
      <c r="J114" s="167"/>
      <c r="K114" s="167"/>
      <c r="L114" s="167"/>
      <c r="M114" s="167"/>
      <c r="N114" s="167"/>
      <c r="O114" s="167"/>
      <c r="Q114" s="163"/>
    </row>
    <row r="115" spans="2:17" ht="13.2">
      <c r="B115" s="167"/>
      <c r="C115" s="162"/>
      <c r="D115" s="168"/>
      <c r="E115" s="162"/>
      <c r="F115" s="167"/>
      <c r="G115" s="167"/>
      <c r="H115" s="167"/>
      <c r="I115" s="167"/>
      <c r="J115" s="167"/>
      <c r="K115" s="167"/>
      <c r="L115" s="167"/>
      <c r="M115" s="167"/>
      <c r="N115" s="167"/>
      <c r="O115" s="167"/>
      <c r="Q115" s="163"/>
    </row>
    <row r="116" spans="2:17" ht="13.2">
      <c r="B116" s="167"/>
      <c r="C116" s="162"/>
      <c r="D116" s="168"/>
      <c r="E116" s="162"/>
      <c r="F116" s="167"/>
      <c r="G116" s="167"/>
      <c r="H116" s="167"/>
      <c r="I116" s="167"/>
      <c r="J116" s="167"/>
      <c r="K116" s="167"/>
      <c r="L116" s="167"/>
      <c r="M116" s="167"/>
      <c r="N116" s="167"/>
      <c r="O116" s="167"/>
      <c r="Q116" s="163"/>
    </row>
    <row r="117" spans="2:17" ht="13.2">
      <c r="B117" s="167"/>
      <c r="C117" s="162"/>
      <c r="D117" s="168"/>
      <c r="E117" s="162"/>
      <c r="F117" s="167"/>
      <c r="G117" s="167"/>
      <c r="H117" s="167"/>
      <c r="I117" s="167"/>
      <c r="J117" s="167"/>
      <c r="K117" s="167"/>
      <c r="L117" s="167"/>
      <c r="M117" s="167"/>
      <c r="N117" s="167"/>
      <c r="O117" s="167"/>
      <c r="Q117" s="163"/>
    </row>
    <row r="118" spans="2:17" ht="13.2">
      <c r="B118" s="167"/>
      <c r="C118" s="162"/>
      <c r="D118" s="168"/>
      <c r="E118" s="162"/>
      <c r="F118" s="167"/>
      <c r="G118" s="167"/>
      <c r="H118" s="167"/>
      <c r="I118" s="167"/>
      <c r="J118" s="167"/>
      <c r="K118" s="167"/>
      <c r="L118" s="167"/>
      <c r="M118" s="167"/>
      <c r="N118" s="167"/>
      <c r="O118" s="167"/>
      <c r="Q118" s="163"/>
    </row>
    <row r="119" spans="2:17" ht="13.2">
      <c r="B119" s="167"/>
      <c r="C119" s="162"/>
      <c r="D119" s="168"/>
      <c r="E119" s="162"/>
      <c r="F119" s="167"/>
      <c r="G119" s="167"/>
      <c r="H119" s="167"/>
      <c r="I119" s="167"/>
      <c r="J119" s="167"/>
      <c r="K119" s="167"/>
      <c r="L119" s="167"/>
      <c r="M119" s="167"/>
      <c r="N119" s="167"/>
      <c r="O119" s="167"/>
      <c r="Q119" s="163"/>
    </row>
    <row r="120" spans="2:17" ht="13.2">
      <c r="B120" s="167"/>
      <c r="C120" s="162"/>
      <c r="D120" s="168"/>
      <c r="E120" s="162"/>
      <c r="F120" s="167"/>
      <c r="G120" s="167"/>
      <c r="H120" s="167"/>
      <c r="I120" s="167"/>
      <c r="J120" s="167"/>
      <c r="K120" s="167"/>
      <c r="L120" s="167"/>
      <c r="M120" s="167"/>
      <c r="N120" s="167"/>
      <c r="O120" s="167"/>
      <c r="Q120" s="163"/>
    </row>
    <row r="121" spans="2:17" ht="13.2">
      <c r="B121" s="167"/>
      <c r="C121" s="162"/>
      <c r="D121" s="168"/>
      <c r="E121" s="162"/>
      <c r="F121" s="167"/>
      <c r="G121" s="167"/>
      <c r="H121" s="167"/>
      <c r="I121" s="167"/>
      <c r="J121" s="167"/>
      <c r="K121" s="167"/>
      <c r="L121" s="167"/>
      <c r="M121" s="167"/>
      <c r="N121" s="167"/>
      <c r="O121" s="167"/>
      <c r="Q121" s="163"/>
    </row>
    <row r="122" spans="2:17" ht="13.2">
      <c r="B122" s="167"/>
      <c r="C122" s="162"/>
      <c r="D122" s="168"/>
      <c r="E122" s="162"/>
      <c r="F122" s="167"/>
      <c r="G122" s="167"/>
      <c r="H122" s="167"/>
      <c r="I122" s="167"/>
      <c r="J122" s="167"/>
      <c r="K122" s="167"/>
      <c r="L122" s="167"/>
      <c r="M122" s="167"/>
      <c r="N122" s="167"/>
      <c r="O122" s="167"/>
      <c r="Q122" s="163"/>
    </row>
    <row r="123" spans="2:17" ht="13.2">
      <c r="B123" s="167"/>
      <c r="C123" s="162"/>
      <c r="D123" s="168"/>
      <c r="E123" s="162"/>
      <c r="F123" s="167"/>
      <c r="G123" s="167"/>
      <c r="H123" s="167"/>
      <c r="I123" s="167"/>
      <c r="J123" s="167"/>
      <c r="K123" s="167"/>
      <c r="L123" s="167"/>
      <c r="M123" s="167"/>
      <c r="N123" s="167"/>
      <c r="O123" s="167"/>
      <c r="Q123" s="163"/>
    </row>
    <row r="124" spans="2:17" ht="13.2">
      <c r="B124" s="167"/>
      <c r="C124" s="162"/>
      <c r="D124" s="168"/>
      <c r="E124" s="162"/>
      <c r="F124" s="167"/>
      <c r="G124" s="167"/>
      <c r="H124" s="167"/>
      <c r="I124" s="167"/>
      <c r="J124" s="167"/>
      <c r="K124" s="167"/>
      <c r="L124" s="167"/>
      <c r="M124" s="167"/>
      <c r="N124" s="167"/>
      <c r="O124" s="167"/>
      <c r="Q124" s="163"/>
    </row>
    <row r="125" spans="2:17" ht="13.2">
      <c r="B125" s="167"/>
      <c r="C125" s="162"/>
      <c r="D125" s="168"/>
      <c r="E125" s="162"/>
      <c r="F125" s="167"/>
      <c r="G125" s="167"/>
      <c r="H125" s="167"/>
      <c r="I125" s="167"/>
      <c r="J125" s="167"/>
      <c r="K125" s="167"/>
      <c r="L125" s="167"/>
      <c r="M125" s="167"/>
      <c r="N125" s="167"/>
      <c r="O125" s="167"/>
      <c r="Q125" s="163"/>
    </row>
    <row r="126" spans="2:17" ht="13.2">
      <c r="B126" s="167"/>
      <c r="C126" s="162"/>
      <c r="D126" s="168"/>
      <c r="E126" s="162"/>
      <c r="F126" s="167"/>
      <c r="G126" s="167"/>
      <c r="H126" s="167"/>
      <c r="I126" s="167"/>
      <c r="J126" s="167"/>
      <c r="K126" s="167"/>
      <c r="L126" s="167"/>
      <c r="M126" s="167"/>
      <c r="N126" s="167"/>
      <c r="O126" s="167"/>
      <c r="Q126" s="163"/>
    </row>
    <row r="127" spans="2:17" ht="13.2">
      <c r="B127" s="167"/>
      <c r="C127" s="162"/>
      <c r="D127" s="168"/>
      <c r="E127" s="162"/>
      <c r="F127" s="167"/>
      <c r="G127" s="167"/>
      <c r="H127" s="167"/>
      <c r="I127" s="167"/>
      <c r="J127" s="167"/>
      <c r="K127" s="167"/>
      <c r="L127" s="167"/>
      <c r="M127" s="167"/>
      <c r="N127" s="167"/>
      <c r="O127" s="167"/>
      <c r="Q127" s="163"/>
    </row>
    <row r="128" spans="2:17" ht="13.2">
      <c r="B128" s="167"/>
      <c r="C128" s="162"/>
      <c r="D128" s="168"/>
      <c r="E128" s="162"/>
      <c r="F128" s="167"/>
      <c r="G128" s="167"/>
      <c r="H128" s="167"/>
      <c r="I128" s="167"/>
      <c r="J128" s="167"/>
      <c r="K128" s="167"/>
      <c r="L128" s="167"/>
      <c r="M128" s="167"/>
      <c r="N128" s="167"/>
      <c r="O128" s="167"/>
      <c r="Q128" s="163"/>
    </row>
    <row r="129" spans="2:17" ht="13.2">
      <c r="B129" s="167"/>
      <c r="C129" s="162"/>
      <c r="D129" s="168"/>
      <c r="E129" s="162"/>
      <c r="F129" s="167"/>
      <c r="G129" s="167"/>
      <c r="H129" s="167"/>
      <c r="I129" s="167"/>
      <c r="J129" s="167"/>
      <c r="K129" s="167"/>
      <c r="L129" s="167"/>
      <c r="M129" s="167"/>
      <c r="N129" s="167"/>
      <c r="O129" s="167"/>
      <c r="Q129" s="163"/>
    </row>
    <row r="130" spans="2:17" ht="13.2">
      <c r="B130" s="167"/>
      <c r="C130" s="162"/>
      <c r="D130" s="168"/>
      <c r="E130" s="162"/>
      <c r="F130" s="167"/>
      <c r="G130" s="167"/>
      <c r="H130" s="167"/>
      <c r="I130" s="167"/>
      <c r="J130" s="167"/>
      <c r="K130" s="167"/>
      <c r="L130" s="167"/>
      <c r="M130" s="167"/>
      <c r="N130" s="167"/>
      <c r="O130" s="167"/>
      <c r="Q130" s="163"/>
    </row>
    <row r="131" spans="2:17" ht="13.2">
      <c r="B131" s="167"/>
      <c r="C131" s="162"/>
      <c r="D131" s="168"/>
      <c r="E131" s="162"/>
      <c r="F131" s="167"/>
      <c r="G131" s="167"/>
      <c r="H131" s="167"/>
      <c r="I131" s="167"/>
      <c r="J131" s="167"/>
      <c r="K131" s="167"/>
      <c r="L131" s="167"/>
      <c r="M131" s="167"/>
      <c r="N131" s="167"/>
      <c r="O131" s="167"/>
      <c r="Q131" s="163"/>
    </row>
    <row r="132" spans="2:17" ht="13.2">
      <c r="B132" s="167"/>
      <c r="C132" s="162"/>
      <c r="D132" s="168"/>
      <c r="E132" s="162"/>
      <c r="F132" s="167"/>
      <c r="G132" s="167"/>
      <c r="H132" s="167"/>
      <c r="I132" s="167"/>
      <c r="J132" s="167"/>
      <c r="K132" s="167"/>
      <c r="L132" s="167"/>
      <c r="M132" s="167"/>
      <c r="N132" s="167"/>
      <c r="O132" s="167"/>
      <c r="Q132" s="163"/>
    </row>
    <row r="133" spans="2:17" ht="13.2">
      <c r="B133" s="167"/>
      <c r="C133" s="162"/>
      <c r="D133" s="168"/>
      <c r="E133" s="162"/>
      <c r="F133" s="167"/>
      <c r="G133" s="167"/>
      <c r="H133" s="167"/>
      <c r="I133" s="167"/>
      <c r="J133" s="167"/>
      <c r="K133" s="167"/>
      <c r="L133" s="167"/>
      <c r="M133" s="167"/>
      <c r="N133" s="167"/>
      <c r="O133" s="167"/>
      <c r="Q133" s="163"/>
    </row>
    <row r="134" spans="2:17" ht="13.2">
      <c r="B134" s="167"/>
      <c r="C134" s="162"/>
      <c r="D134" s="168"/>
      <c r="E134" s="162"/>
      <c r="F134" s="167"/>
      <c r="G134" s="167"/>
      <c r="H134" s="167"/>
      <c r="I134" s="167"/>
      <c r="J134" s="167"/>
      <c r="K134" s="167"/>
      <c r="L134" s="167"/>
      <c r="M134" s="167"/>
      <c r="N134" s="167"/>
      <c r="O134" s="167"/>
      <c r="Q134" s="163"/>
    </row>
    <row r="135" spans="2:17" ht="13.2">
      <c r="B135" s="167"/>
      <c r="C135" s="162"/>
      <c r="D135" s="168"/>
      <c r="E135" s="162"/>
      <c r="F135" s="167"/>
      <c r="G135" s="167"/>
      <c r="H135" s="167"/>
      <c r="I135" s="167"/>
      <c r="J135" s="167"/>
      <c r="K135" s="167"/>
      <c r="L135" s="167"/>
      <c r="M135" s="167"/>
      <c r="N135" s="167"/>
      <c r="O135" s="167"/>
      <c r="Q135" s="163"/>
    </row>
    <row r="136" spans="2:17" ht="13.2">
      <c r="B136" s="167"/>
      <c r="C136" s="162"/>
      <c r="D136" s="168"/>
      <c r="E136" s="162"/>
      <c r="F136" s="167"/>
      <c r="G136" s="167"/>
      <c r="H136" s="167"/>
      <c r="I136" s="167"/>
      <c r="J136" s="167"/>
      <c r="K136" s="167"/>
      <c r="L136" s="167"/>
      <c r="M136" s="167"/>
      <c r="N136" s="167"/>
      <c r="O136" s="167"/>
      <c r="Q136" s="163"/>
    </row>
    <row r="137" spans="2:17" ht="13.2">
      <c r="B137" s="167"/>
      <c r="C137" s="162"/>
      <c r="D137" s="168"/>
      <c r="E137" s="162"/>
      <c r="F137" s="167"/>
      <c r="G137" s="167"/>
      <c r="H137" s="167"/>
      <c r="I137" s="167"/>
      <c r="J137" s="167"/>
      <c r="K137" s="167"/>
      <c r="L137" s="167"/>
      <c r="M137" s="167"/>
      <c r="N137" s="167"/>
      <c r="O137" s="167"/>
      <c r="Q137" s="163"/>
    </row>
    <row r="138" spans="2:17" ht="13.2">
      <c r="B138" s="167"/>
      <c r="C138" s="162"/>
      <c r="D138" s="168"/>
      <c r="E138" s="162"/>
      <c r="F138" s="167"/>
      <c r="G138" s="167"/>
      <c r="H138" s="167"/>
      <c r="I138" s="167"/>
      <c r="J138" s="167"/>
      <c r="K138" s="167"/>
      <c r="L138" s="167"/>
      <c r="M138" s="167"/>
      <c r="N138" s="167"/>
      <c r="O138" s="167"/>
      <c r="Q138" s="163"/>
    </row>
    <row r="139" spans="2:17" ht="13.2">
      <c r="B139" s="167"/>
      <c r="C139" s="162"/>
      <c r="D139" s="168"/>
      <c r="E139" s="162"/>
      <c r="F139" s="167"/>
      <c r="G139" s="167"/>
      <c r="H139" s="167"/>
      <c r="I139" s="167"/>
      <c r="J139" s="167"/>
      <c r="K139" s="167"/>
      <c r="L139" s="167"/>
      <c r="M139" s="167"/>
      <c r="N139" s="167"/>
      <c r="O139" s="167"/>
      <c r="Q139" s="163"/>
    </row>
    <row r="140" spans="2:17" ht="13.2">
      <c r="B140" s="167"/>
      <c r="C140" s="162"/>
      <c r="D140" s="168"/>
      <c r="E140" s="162"/>
      <c r="F140" s="167"/>
      <c r="G140" s="167"/>
      <c r="H140" s="167"/>
      <c r="I140" s="167"/>
      <c r="J140" s="167"/>
      <c r="K140" s="167"/>
      <c r="L140" s="167"/>
      <c r="M140" s="167"/>
      <c r="N140" s="167"/>
      <c r="O140" s="167"/>
      <c r="Q140" s="163"/>
    </row>
    <row r="141" spans="2:17" ht="13.2">
      <c r="B141" s="167"/>
      <c r="C141" s="162"/>
      <c r="D141" s="168"/>
      <c r="E141" s="162"/>
      <c r="F141" s="167"/>
      <c r="G141" s="167"/>
      <c r="H141" s="167"/>
      <c r="I141" s="167"/>
      <c r="J141" s="167"/>
      <c r="K141" s="167"/>
      <c r="L141" s="167"/>
      <c r="M141" s="167"/>
      <c r="N141" s="167"/>
      <c r="O141" s="167"/>
      <c r="Q141" s="163"/>
    </row>
    <row r="142" spans="2:17" ht="13.2">
      <c r="B142" s="167"/>
      <c r="C142" s="162"/>
      <c r="D142" s="168"/>
      <c r="E142" s="162"/>
      <c r="F142" s="167"/>
      <c r="G142" s="167"/>
      <c r="H142" s="167"/>
      <c r="I142" s="167"/>
      <c r="J142" s="167"/>
      <c r="K142" s="167"/>
      <c r="L142" s="167"/>
      <c r="M142" s="167"/>
      <c r="N142" s="167"/>
      <c r="O142" s="167"/>
      <c r="Q142" s="163"/>
    </row>
    <row r="143" spans="2:17" ht="13.2">
      <c r="B143" s="167"/>
      <c r="C143" s="162"/>
      <c r="D143" s="168"/>
      <c r="E143" s="162"/>
      <c r="F143" s="167"/>
      <c r="G143" s="167"/>
      <c r="H143" s="167"/>
      <c r="I143" s="167"/>
      <c r="J143" s="167"/>
      <c r="K143" s="167"/>
      <c r="L143" s="167"/>
      <c r="M143" s="167"/>
      <c r="N143" s="167"/>
      <c r="O143" s="167"/>
      <c r="Q143" s="163"/>
    </row>
    <row r="144" spans="2:17" ht="13.2">
      <c r="B144" s="167"/>
      <c r="C144" s="162"/>
      <c r="D144" s="168"/>
      <c r="E144" s="162"/>
      <c r="F144" s="167"/>
      <c r="G144" s="167"/>
      <c r="H144" s="167"/>
      <c r="I144" s="167"/>
      <c r="J144" s="167"/>
      <c r="K144" s="167"/>
      <c r="L144" s="167"/>
      <c r="M144" s="167"/>
      <c r="N144" s="167"/>
      <c r="O144" s="167"/>
      <c r="Q144" s="163"/>
    </row>
    <row r="145" spans="2:17" ht="13.2">
      <c r="B145" s="167"/>
      <c r="C145" s="162"/>
      <c r="D145" s="168"/>
      <c r="E145" s="162"/>
      <c r="F145" s="167"/>
      <c r="G145" s="167"/>
      <c r="H145" s="167"/>
      <c r="I145" s="167"/>
      <c r="J145" s="167"/>
      <c r="K145" s="167"/>
      <c r="L145" s="167"/>
      <c r="M145" s="167"/>
      <c r="N145" s="167"/>
      <c r="O145" s="167"/>
      <c r="Q145" s="163"/>
    </row>
    <row r="146" spans="2:17" ht="13.2">
      <c r="B146" s="167"/>
      <c r="C146" s="162"/>
      <c r="D146" s="168"/>
      <c r="E146" s="162"/>
      <c r="F146" s="167"/>
      <c r="G146" s="167"/>
      <c r="H146" s="167"/>
      <c r="I146" s="167"/>
      <c r="J146" s="167"/>
      <c r="K146" s="167"/>
      <c r="L146" s="167"/>
      <c r="M146" s="167"/>
      <c r="N146" s="167"/>
      <c r="O146" s="167"/>
      <c r="Q146" s="163"/>
    </row>
    <row r="147" spans="2:17" ht="13.2">
      <c r="B147" s="167"/>
      <c r="C147" s="162"/>
      <c r="D147" s="168"/>
      <c r="E147" s="162"/>
      <c r="F147" s="167"/>
      <c r="G147" s="167"/>
      <c r="H147" s="167"/>
      <c r="I147" s="167"/>
      <c r="J147" s="167"/>
      <c r="K147" s="167"/>
      <c r="L147" s="167"/>
      <c r="M147" s="167"/>
      <c r="N147" s="167"/>
      <c r="O147" s="167"/>
      <c r="Q147" s="163"/>
    </row>
    <row r="148" spans="2:17" ht="13.2">
      <c r="B148" s="167"/>
      <c r="C148" s="162"/>
      <c r="D148" s="168"/>
      <c r="E148" s="162"/>
      <c r="F148" s="167"/>
      <c r="G148" s="167"/>
      <c r="H148" s="167"/>
      <c r="I148" s="167"/>
      <c r="J148" s="167"/>
      <c r="K148" s="167"/>
      <c r="L148" s="167"/>
      <c r="M148" s="167"/>
      <c r="N148" s="167"/>
      <c r="O148" s="167"/>
      <c r="Q148" s="163"/>
    </row>
    <row r="149" spans="2:17" ht="13.2">
      <c r="B149" s="167"/>
      <c r="C149" s="162"/>
      <c r="D149" s="168"/>
      <c r="E149" s="162"/>
      <c r="F149" s="167"/>
      <c r="G149" s="167"/>
      <c r="H149" s="167"/>
      <c r="I149" s="167"/>
      <c r="J149" s="167"/>
      <c r="K149" s="167"/>
      <c r="L149" s="167"/>
      <c r="M149" s="167"/>
      <c r="N149" s="167"/>
      <c r="O149" s="167"/>
      <c r="Q149" s="163"/>
    </row>
    <row r="150" spans="2:17" ht="13.2">
      <c r="B150" s="167"/>
      <c r="C150" s="162"/>
      <c r="D150" s="168"/>
      <c r="E150" s="162"/>
      <c r="F150" s="167"/>
      <c r="G150" s="167"/>
      <c r="H150" s="167"/>
      <c r="I150" s="167"/>
      <c r="J150" s="167"/>
      <c r="K150" s="167"/>
      <c r="L150" s="167"/>
      <c r="M150" s="167"/>
      <c r="N150" s="167"/>
      <c r="O150" s="167"/>
      <c r="Q150" s="163"/>
    </row>
    <row r="151" spans="2:17" ht="13.2">
      <c r="B151" s="167"/>
      <c r="C151" s="162"/>
      <c r="D151" s="168"/>
      <c r="E151" s="162"/>
      <c r="F151" s="167"/>
      <c r="G151" s="167"/>
      <c r="H151" s="167"/>
      <c r="I151" s="167"/>
      <c r="J151" s="167"/>
      <c r="K151" s="167"/>
      <c r="L151" s="167"/>
      <c r="M151" s="167"/>
      <c r="N151" s="167"/>
      <c r="O151" s="167"/>
      <c r="Q151" s="163"/>
    </row>
    <row r="152" spans="2:17" ht="13.2">
      <c r="B152" s="167"/>
      <c r="C152" s="162"/>
      <c r="D152" s="168"/>
      <c r="E152" s="162"/>
      <c r="F152" s="167"/>
      <c r="G152" s="167"/>
      <c r="H152" s="167"/>
      <c r="I152" s="167"/>
      <c r="J152" s="167"/>
      <c r="K152" s="167"/>
      <c r="L152" s="167"/>
      <c r="M152" s="167"/>
      <c r="N152" s="167"/>
      <c r="O152" s="167"/>
      <c r="Q152" s="163"/>
    </row>
    <row r="153" spans="2:17" ht="13.2">
      <c r="B153" s="167"/>
      <c r="C153" s="162"/>
      <c r="D153" s="168"/>
      <c r="E153" s="162"/>
      <c r="F153" s="167"/>
      <c r="G153" s="167"/>
      <c r="H153" s="167"/>
      <c r="I153" s="167"/>
      <c r="J153" s="167"/>
      <c r="K153" s="167"/>
      <c r="L153" s="167"/>
      <c r="M153" s="167"/>
      <c r="N153" s="167"/>
      <c r="O153" s="167"/>
      <c r="Q153" s="163"/>
    </row>
    <row r="154" spans="2:17" ht="13.2">
      <c r="B154" s="167"/>
      <c r="C154" s="162"/>
      <c r="D154" s="168"/>
      <c r="E154" s="162"/>
      <c r="F154" s="167"/>
      <c r="G154" s="167"/>
      <c r="H154" s="167"/>
      <c r="I154" s="167"/>
      <c r="J154" s="167"/>
      <c r="K154" s="167"/>
      <c r="L154" s="167"/>
      <c r="M154" s="167"/>
      <c r="N154" s="167"/>
      <c r="O154" s="167"/>
      <c r="Q154" s="163"/>
    </row>
    <row r="155" spans="2:17" ht="13.2">
      <c r="B155" s="167"/>
      <c r="C155" s="162"/>
      <c r="D155" s="168"/>
      <c r="E155" s="162"/>
      <c r="F155" s="167"/>
      <c r="G155" s="167"/>
      <c r="H155" s="167"/>
      <c r="I155" s="167"/>
      <c r="J155" s="167"/>
      <c r="K155" s="167"/>
      <c r="L155" s="167"/>
      <c r="M155" s="167"/>
      <c r="N155" s="167"/>
      <c r="O155" s="167"/>
      <c r="Q155" s="163"/>
    </row>
    <row r="156" spans="2:17" ht="13.2">
      <c r="B156" s="167"/>
      <c r="C156" s="162"/>
      <c r="D156" s="168"/>
      <c r="E156" s="162"/>
      <c r="F156" s="167"/>
      <c r="G156" s="167"/>
      <c r="H156" s="167"/>
      <c r="I156" s="167"/>
      <c r="J156" s="167"/>
      <c r="K156" s="167"/>
      <c r="L156" s="167"/>
      <c r="M156" s="167"/>
      <c r="N156" s="167"/>
      <c r="O156" s="167"/>
      <c r="Q156" s="163"/>
    </row>
    <row r="157" spans="2:17" ht="13.2">
      <c r="B157" s="167"/>
      <c r="C157" s="162"/>
      <c r="D157" s="168"/>
      <c r="E157" s="162"/>
      <c r="F157" s="167"/>
      <c r="G157" s="167"/>
      <c r="H157" s="167"/>
      <c r="I157" s="167"/>
      <c r="J157" s="167"/>
      <c r="K157" s="167"/>
      <c r="L157" s="167"/>
      <c r="M157" s="167"/>
      <c r="N157" s="167"/>
      <c r="O157" s="167"/>
      <c r="Q157" s="163"/>
    </row>
    <row r="158" spans="2:17" ht="13.2">
      <c r="B158" s="167"/>
      <c r="C158" s="162"/>
      <c r="D158" s="168"/>
      <c r="E158" s="162"/>
      <c r="F158" s="167"/>
      <c r="G158" s="167"/>
      <c r="H158" s="167"/>
      <c r="I158" s="167"/>
      <c r="J158" s="167"/>
      <c r="K158" s="167"/>
      <c r="L158" s="167"/>
      <c r="M158" s="167"/>
      <c r="N158" s="167"/>
      <c r="O158" s="167"/>
      <c r="Q158" s="163"/>
    </row>
    <row r="159" spans="2:17" ht="13.2">
      <c r="B159" s="167"/>
      <c r="C159" s="162"/>
      <c r="D159" s="168"/>
      <c r="E159" s="162"/>
      <c r="F159" s="167"/>
      <c r="G159" s="167"/>
      <c r="H159" s="167"/>
      <c r="I159" s="167"/>
      <c r="J159" s="167"/>
      <c r="K159" s="167"/>
      <c r="L159" s="167"/>
      <c r="M159" s="167"/>
      <c r="N159" s="167"/>
      <c r="O159" s="167"/>
      <c r="Q159" s="163"/>
    </row>
    <row r="160" spans="2:17" ht="13.2">
      <c r="B160" s="167"/>
      <c r="C160" s="162"/>
      <c r="D160" s="168"/>
      <c r="E160" s="162"/>
      <c r="F160" s="167"/>
      <c r="G160" s="167"/>
      <c r="H160" s="167"/>
      <c r="I160" s="167"/>
      <c r="J160" s="167"/>
      <c r="K160" s="167"/>
      <c r="L160" s="167"/>
      <c r="M160" s="167"/>
      <c r="N160" s="167"/>
      <c r="O160" s="167"/>
      <c r="Q160" s="163"/>
    </row>
    <row r="161" spans="2:17" ht="13.2">
      <c r="B161" s="167"/>
      <c r="C161" s="162"/>
      <c r="D161" s="168"/>
      <c r="E161" s="162"/>
      <c r="F161" s="167"/>
      <c r="G161" s="167"/>
      <c r="H161" s="167"/>
      <c r="I161" s="167"/>
      <c r="J161" s="167"/>
      <c r="K161" s="167"/>
      <c r="L161" s="167"/>
      <c r="M161" s="167"/>
      <c r="N161" s="167"/>
      <c r="O161" s="167"/>
      <c r="Q161" s="163"/>
    </row>
    <row r="162" spans="2:17" ht="13.2">
      <c r="B162" s="167"/>
      <c r="C162" s="162"/>
      <c r="D162" s="168"/>
      <c r="E162" s="162"/>
      <c r="F162" s="167"/>
      <c r="G162" s="167"/>
      <c r="H162" s="167"/>
      <c r="I162" s="167"/>
      <c r="J162" s="167"/>
      <c r="K162" s="167"/>
      <c r="L162" s="167"/>
      <c r="M162" s="167"/>
      <c r="N162" s="167"/>
      <c r="O162" s="167"/>
      <c r="Q162" s="163"/>
    </row>
    <row r="163" spans="2:17" ht="13.2">
      <c r="B163" s="167"/>
      <c r="C163" s="162"/>
      <c r="D163" s="168"/>
      <c r="E163" s="162"/>
      <c r="F163" s="167"/>
      <c r="G163" s="167"/>
      <c r="H163" s="167"/>
      <c r="I163" s="167"/>
      <c r="J163" s="167"/>
      <c r="K163" s="167"/>
      <c r="L163" s="167"/>
      <c r="M163" s="167"/>
      <c r="N163" s="167"/>
      <c r="O163" s="167"/>
      <c r="Q163" s="163"/>
    </row>
    <row r="164" spans="2:17" ht="13.2">
      <c r="B164" s="167"/>
      <c r="C164" s="162"/>
      <c r="D164" s="168"/>
      <c r="E164" s="162"/>
      <c r="F164" s="167"/>
      <c r="G164" s="167"/>
      <c r="H164" s="167"/>
      <c r="I164" s="167"/>
      <c r="J164" s="167"/>
      <c r="K164" s="167"/>
      <c r="L164" s="167"/>
      <c r="M164" s="167"/>
      <c r="N164" s="167"/>
      <c r="O164" s="167"/>
      <c r="Q164" s="163"/>
    </row>
    <row r="165" spans="2:17" ht="13.2">
      <c r="B165" s="167"/>
      <c r="C165" s="162"/>
      <c r="D165" s="168"/>
      <c r="E165" s="162"/>
      <c r="F165" s="167"/>
      <c r="G165" s="167"/>
      <c r="H165" s="167"/>
      <c r="I165" s="167"/>
      <c r="J165" s="167"/>
      <c r="K165" s="167"/>
      <c r="L165" s="167"/>
      <c r="M165" s="167"/>
      <c r="N165" s="167"/>
      <c r="O165" s="167"/>
      <c r="Q165" s="163"/>
    </row>
    <row r="166" spans="2:17" ht="13.2">
      <c r="B166" s="167"/>
      <c r="C166" s="162"/>
      <c r="D166" s="168"/>
      <c r="E166" s="162"/>
      <c r="F166" s="167"/>
      <c r="G166" s="167"/>
      <c r="H166" s="167"/>
      <c r="I166" s="167"/>
      <c r="J166" s="167"/>
      <c r="K166" s="167"/>
      <c r="L166" s="167"/>
      <c r="M166" s="167"/>
      <c r="N166" s="167"/>
      <c r="O166" s="167"/>
      <c r="Q166" s="163"/>
    </row>
    <row r="167" spans="2:17" ht="13.2">
      <c r="B167" s="167"/>
      <c r="C167" s="162"/>
      <c r="D167" s="168"/>
      <c r="E167" s="162"/>
      <c r="F167" s="167"/>
      <c r="G167" s="167"/>
      <c r="H167" s="167"/>
      <c r="I167" s="167"/>
      <c r="J167" s="167"/>
      <c r="K167" s="167"/>
      <c r="L167" s="167"/>
      <c r="M167" s="167"/>
      <c r="N167" s="167"/>
      <c r="O167" s="167"/>
      <c r="Q167" s="163"/>
    </row>
    <row r="168" spans="2:17" ht="13.2">
      <c r="B168" s="167"/>
      <c r="C168" s="162"/>
      <c r="D168" s="168"/>
      <c r="E168" s="162"/>
      <c r="F168" s="167"/>
      <c r="G168" s="167"/>
      <c r="H168" s="167"/>
      <c r="I168" s="167"/>
      <c r="J168" s="167"/>
      <c r="K168" s="167"/>
      <c r="L168" s="167"/>
      <c r="M168" s="167"/>
      <c r="N168" s="167"/>
      <c r="O168" s="167"/>
      <c r="Q168" s="163"/>
    </row>
    <row r="169" spans="2:17" ht="13.2">
      <c r="B169" s="167"/>
      <c r="C169" s="162"/>
      <c r="D169" s="168"/>
      <c r="E169" s="162"/>
      <c r="F169" s="167"/>
      <c r="G169" s="167"/>
      <c r="H169" s="167"/>
      <c r="I169" s="167"/>
      <c r="J169" s="167"/>
      <c r="K169" s="167"/>
      <c r="L169" s="167"/>
      <c r="M169" s="167"/>
      <c r="N169" s="167"/>
      <c r="O169" s="167"/>
      <c r="Q169" s="163"/>
    </row>
    <row r="170" spans="2:17" ht="13.2">
      <c r="B170" s="167"/>
      <c r="C170" s="162"/>
      <c r="D170" s="168"/>
      <c r="E170" s="162"/>
      <c r="F170" s="167"/>
      <c r="G170" s="167"/>
      <c r="H170" s="167"/>
      <c r="I170" s="167"/>
      <c r="J170" s="167"/>
      <c r="K170" s="167"/>
      <c r="L170" s="167"/>
      <c r="M170" s="167"/>
      <c r="N170" s="167"/>
      <c r="O170" s="167"/>
      <c r="Q170" s="163"/>
    </row>
    <row r="171" spans="2:17" ht="13.2">
      <c r="B171" s="167"/>
      <c r="C171" s="162"/>
      <c r="D171" s="168"/>
      <c r="E171" s="162"/>
      <c r="F171" s="167"/>
      <c r="G171" s="167"/>
      <c r="H171" s="167"/>
      <c r="I171" s="167"/>
      <c r="J171" s="167"/>
      <c r="K171" s="167"/>
      <c r="L171" s="167"/>
      <c r="M171" s="167"/>
      <c r="N171" s="167"/>
      <c r="O171" s="167"/>
      <c r="Q171" s="163"/>
    </row>
    <row r="172" spans="2:17" ht="13.2">
      <c r="B172" s="167"/>
      <c r="C172" s="162"/>
      <c r="D172" s="168"/>
      <c r="E172" s="162"/>
      <c r="F172" s="167"/>
      <c r="G172" s="167"/>
      <c r="H172" s="167"/>
      <c r="I172" s="167"/>
      <c r="J172" s="167"/>
      <c r="K172" s="167"/>
      <c r="L172" s="167"/>
      <c r="M172" s="167"/>
      <c r="N172" s="167"/>
      <c r="O172" s="167"/>
      <c r="Q172" s="163"/>
    </row>
    <row r="173" spans="2:17" ht="13.2">
      <c r="B173" s="167"/>
      <c r="C173" s="162"/>
      <c r="D173" s="168"/>
      <c r="E173" s="162"/>
      <c r="F173" s="167"/>
      <c r="G173" s="167"/>
      <c r="H173" s="167"/>
      <c r="I173" s="167"/>
      <c r="J173" s="167"/>
      <c r="K173" s="167"/>
      <c r="L173" s="167"/>
      <c r="M173" s="167"/>
      <c r="N173" s="167"/>
      <c r="O173" s="167"/>
      <c r="Q173" s="163"/>
    </row>
    <row r="174" spans="2:17" ht="13.2">
      <c r="B174" s="167"/>
      <c r="C174" s="162"/>
      <c r="D174" s="168"/>
      <c r="E174" s="162"/>
      <c r="F174" s="167"/>
      <c r="G174" s="167"/>
      <c r="H174" s="167"/>
      <c r="I174" s="167"/>
      <c r="J174" s="167"/>
      <c r="K174" s="167"/>
      <c r="L174" s="167"/>
      <c r="M174" s="167"/>
      <c r="N174" s="167"/>
      <c r="O174" s="167"/>
      <c r="Q174" s="163"/>
    </row>
    <row r="175" spans="2:17" ht="13.2">
      <c r="B175" s="167"/>
      <c r="C175" s="162"/>
      <c r="D175" s="168"/>
      <c r="E175" s="162"/>
      <c r="F175" s="167"/>
      <c r="G175" s="167"/>
      <c r="H175" s="167"/>
      <c r="I175" s="167"/>
      <c r="J175" s="167"/>
      <c r="K175" s="167"/>
      <c r="L175" s="167"/>
      <c r="M175" s="167"/>
      <c r="N175" s="167"/>
      <c r="O175" s="167"/>
      <c r="Q175" s="163"/>
    </row>
    <row r="176" spans="2:17" ht="13.2">
      <c r="B176" s="167"/>
      <c r="C176" s="162"/>
      <c r="D176" s="168"/>
      <c r="E176" s="162"/>
      <c r="F176" s="167"/>
      <c r="G176" s="167"/>
      <c r="H176" s="167"/>
      <c r="I176" s="167"/>
      <c r="J176" s="167"/>
      <c r="K176" s="167"/>
      <c r="L176" s="167"/>
      <c r="M176" s="167"/>
      <c r="N176" s="167"/>
      <c r="O176" s="167"/>
      <c r="Q176" s="163"/>
    </row>
    <row r="177" spans="2:17" ht="13.2">
      <c r="B177" s="167"/>
      <c r="C177" s="162"/>
      <c r="D177" s="168"/>
      <c r="E177" s="162"/>
      <c r="F177" s="167"/>
      <c r="G177" s="167"/>
      <c r="H177" s="167"/>
      <c r="I177" s="167"/>
      <c r="J177" s="167"/>
      <c r="K177" s="167"/>
      <c r="L177" s="167"/>
      <c r="M177" s="167"/>
      <c r="N177" s="167"/>
      <c r="O177" s="167"/>
      <c r="Q177" s="163"/>
    </row>
    <row r="178" spans="2:17" ht="13.2">
      <c r="B178" s="167"/>
      <c r="C178" s="162"/>
      <c r="D178" s="168"/>
      <c r="E178" s="162"/>
      <c r="F178" s="167"/>
      <c r="G178" s="167"/>
      <c r="H178" s="167"/>
      <c r="I178" s="167"/>
      <c r="J178" s="167"/>
      <c r="K178" s="167"/>
      <c r="L178" s="167"/>
      <c r="M178" s="167"/>
      <c r="N178" s="167"/>
      <c r="O178" s="167"/>
      <c r="Q178" s="163"/>
    </row>
    <row r="179" spans="2:17" ht="13.2">
      <c r="B179" s="167"/>
      <c r="C179" s="162"/>
      <c r="D179" s="168"/>
      <c r="E179" s="162"/>
      <c r="F179" s="167"/>
      <c r="G179" s="167"/>
      <c r="H179" s="167"/>
      <c r="I179" s="167"/>
      <c r="J179" s="167"/>
      <c r="K179" s="167"/>
      <c r="L179" s="167"/>
      <c r="M179" s="167"/>
      <c r="N179" s="167"/>
      <c r="O179" s="167"/>
      <c r="Q179" s="163"/>
    </row>
    <row r="180" spans="2:17" ht="13.2">
      <c r="B180" s="167"/>
      <c r="C180" s="162"/>
      <c r="D180" s="168"/>
      <c r="E180" s="162"/>
      <c r="F180" s="167"/>
      <c r="G180" s="167"/>
      <c r="H180" s="167"/>
      <c r="I180" s="167"/>
      <c r="J180" s="167"/>
      <c r="K180" s="167"/>
      <c r="L180" s="167"/>
      <c r="M180" s="167"/>
      <c r="N180" s="167"/>
      <c r="O180" s="167"/>
      <c r="Q180" s="163"/>
    </row>
    <row r="181" spans="2:17" ht="13.2">
      <c r="B181" s="167"/>
      <c r="C181" s="162"/>
      <c r="D181" s="168"/>
      <c r="E181" s="162"/>
      <c r="F181" s="167"/>
      <c r="G181" s="167"/>
      <c r="H181" s="167"/>
      <c r="I181" s="167"/>
      <c r="J181" s="167"/>
      <c r="K181" s="167"/>
      <c r="L181" s="167"/>
      <c r="M181" s="167"/>
      <c r="N181" s="167"/>
      <c r="O181" s="167"/>
      <c r="Q181" s="163"/>
    </row>
    <row r="182" spans="2:17" ht="13.2">
      <c r="B182" s="167"/>
      <c r="C182" s="162"/>
      <c r="D182" s="168"/>
      <c r="E182" s="162"/>
      <c r="F182" s="167"/>
      <c r="G182" s="167"/>
      <c r="H182" s="167"/>
      <c r="I182" s="167"/>
      <c r="J182" s="167"/>
      <c r="K182" s="167"/>
      <c r="L182" s="167"/>
      <c r="M182" s="167"/>
      <c r="N182" s="167"/>
      <c r="O182" s="167"/>
      <c r="Q182" s="163"/>
    </row>
    <row r="183" spans="2:17" ht="13.2">
      <c r="B183" s="167"/>
      <c r="C183" s="162"/>
      <c r="D183" s="168"/>
      <c r="E183" s="162"/>
      <c r="F183" s="167"/>
      <c r="G183" s="167"/>
      <c r="H183" s="167"/>
      <c r="I183" s="167"/>
      <c r="J183" s="167"/>
      <c r="K183" s="167"/>
      <c r="L183" s="167"/>
      <c r="M183" s="167"/>
      <c r="N183" s="167"/>
      <c r="O183" s="167"/>
      <c r="Q183" s="163"/>
    </row>
    <row r="184" spans="2:17" ht="13.2">
      <c r="B184" s="167"/>
      <c r="C184" s="162"/>
      <c r="D184" s="168"/>
      <c r="E184" s="162"/>
      <c r="F184" s="167"/>
      <c r="G184" s="167"/>
      <c r="H184" s="167"/>
      <c r="I184" s="167"/>
      <c r="J184" s="167"/>
      <c r="K184" s="167"/>
      <c r="L184" s="167"/>
      <c r="M184" s="167"/>
      <c r="N184" s="167"/>
      <c r="O184" s="167"/>
      <c r="Q184" s="163"/>
    </row>
    <row r="185" spans="2:17" ht="13.2">
      <c r="B185" s="167"/>
      <c r="C185" s="162"/>
      <c r="D185" s="168"/>
      <c r="E185" s="162"/>
      <c r="F185" s="167"/>
      <c r="G185" s="167"/>
      <c r="H185" s="167"/>
      <c r="I185" s="167"/>
      <c r="J185" s="167"/>
      <c r="K185" s="167"/>
      <c r="L185" s="167"/>
      <c r="M185" s="167"/>
      <c r="N185" s="167"/>
      <c r="O185" s="167"/>
      <c r="Q185" s="163"/>
    </row>
    <row r="186" spans="2:17" ht="13.2">
      <c r="B186" s="167"/>
      <c r="C186" s="162"/>
      <c r="D186" s="168"/>
      <c r="E186" s="162"/>
      <c r="F186" s="167"/>
      <c r="G186" s="167"/>
      <c r="H186" s="167"/>
      <c r="I186" s="167"/>
      <c r="J186" s="167"/>
      <c r="K186" s="167"/>
      <c r="L186" s="167"/>
      <c r="M186" s="167"/>
      <c r="N186" s="167"/>
      <c r="O186" s="167"/>
      <c r="Q186" s="163"/>
    </row>
    <row r="187" spans="2:17" ht="13.2">
      <c r="B187" s="167"/>
      <c r="C187" s="162"/>
      <c r="D187" s="168"/>
      <c r="E187" s="162"/>
      <c r="F187" s="167"/>
      <c r="G187" s="167"/>
      <c r="H187" s="167"/>
      <c r="I187" s="167"/>
      <c r="J187" s="167"/>
      <c r="K187" s="167"/>
      <c r="L187" s="167"/>
      <c r="M187" s="167"/>
      <c r="N187" s="167"/>
      <c r="O187" s="167"/>
      <c r="Q187" s="163"/>
    </row>
    <row r="188" spans="2:17" ht="13.2">
      <c r="B188" s="167"/>
      <c r="C188" s="162"/>
      <c r="D188" s="168"/>
      <c r="E188" s="162"/>
      <c r="F188" s="167"/>
      <c r="G188" s="167"/>
      <c r="H188" s="167"/>
      <c r="I188" s="167"/>
      <c r="J188" s="167"/>
      <c r="K188" s="167"/>
      <c r="L188" s="167"/>
      <c r="M188" s="167"/>
      <c r="N188" s="167"/>
      <c r="O188" s="167"/>
      <c r="Q188" s="163"/>
    </row>
    <row r="189" spans="2:17" ht="13.2">
      <c r="B189" s="167"/>
      <c r="C189" s="162"/>
      <c r="D189" s="168"/>
      <c r="E189" s="162"/>
      <c r="F189" s="167"/>
      <c r="G189" s="167"/>
      <c r="H189" s="167"/>
      <c r="I189" s="167"/>
      <c r="J189" s="167"/>
      <c r="K189" s="167"/>
      <c r="L189" s="167"/>
      <c r="M189" s="167"/>
      <c r="N189" s="167"/>
      <c r="O189" s="167"/>
      <c r="Q189" s="163"/>
    </row>
    <row r="190" spans="2:17" ht="13.2">
      <c r="B190" s="167"/>
      <c r="C190" s="162"/>
      <c r="D190" s="168"/>
      <c r="E190" s="162"/>
      <c r="F190" s="167"/>
      <c r="G190" s="167"/>
      <c r="H190" s="167"/>
      <c r="I190" s="167"/>
      <c r="J190" s="167"/>
      <c r="K190" s="167"/>
      <c r="L190" s="167"/>
      <c r="M190" s="167"/>
      <c r="N190" s="167"/>
      <c r="O190" s="167"/>
      <c r="Q190" s="163"/>
    </row>
    <row r="191" spans="2:17" ht="13.2">
      <c r="B191" s="167"/>
      <c r="C191" s="162"/>
      <c r="D191" s="168"/>
      <c r="E191" s="162"/>
      <c r="F191" s="167"/>
      <c r="G191" s="167"/>
      <c r="H191" s="167"/>
      <c r="I191" s="167"/>
      <c r="J191" s="167"/>
      <c r="K191" s="167"/>
      <c r="L191" s="167"/>
      <c r="M191" s="167"/>
      <c r="N191" s="167"/>
      <c r="O191" s="167"/>
      <c r="Q191" s="163"/>
    </row>
    <row r="192" spans="2:17" ht="13.2">
      <c r="B192" s="167"/>
      <c r="C192" s="162"/>
      <c r="D192" s="168"/>
      <c r="E192" s="162"/>
      <c r="F192" s="167"/>
      <c r="G192" s="167"/>
      <c r="H192" s="167"/>
      <c r="I192" s="167"/>
      <c r="J192" s="167"/>
      <c r="K192" s="167"/>
      <c r="L192" s="167"/>
      <c r="M192" s="167"/>
      <c r="N192" s="167"/>
      <c r="O192" s="167"/>
      <c r="Q192" s="163"/>
    </row>
    <row r="193" spans="2:17" ht="13.2">
      <c r="B193" s="167"/>
      <c r="C193" s="162"/>
      <c r="D193" s="168"/>
      <c r="E193" s="162"/>
      <c r="F193" s="167"/>
      <c r="G193" s="167"/>
      <c r="H193" s="167"/>
      <c r="I193" s="167"/>
      <c r="J193" s="167"/>
      <c r="K193" s="167"/>
      <c r="L193" s="167"/>
      <c r="M193" s="167"/>
      <c r="N193" s="167"/>
      <c r="O193" s="167"/>
      <c r="Q193" s="163"/>
    </row>
    <row r="194" spans="2:17" ht="13.2">
      <c r="B194" s="167"/>
      <c r="C194" s="162"/>
      <c r="D194" s="168"/>
      <c r="E194" s="162"/>
      <c r="F194" s="167"/>
      <c r="G194" s="167"/>
      <c r="H194" s="167"/>
      <c r="I194" s="167"/>
      <c r="J194" s="167"/>
      <c r="K194" s="167"/>
      <c r="L194" s="167"/>
      <c r="M194" s="167"/>
      <c r="N194" s="167"/>
      <c r="O194" s="167"/>
      <c r="Q194" s="163"/>
    </row>
    <row r="195" spans="2:17" ht="13.2">
      <c r="B195" s="167"/>
      <c r="C195" s="162"/>
      <c r="D195" s="168"/>
      <c r="E195" s="162"/>
      <c r="F195" s="167"/>
      <c r="G195" s="167"/>
      <c r="H195" s="167"/>
      <c r="I195" s="167"/>
      <c r="J195" s="167"/>
      <c r="K195" s="167"/>
      <c r="L195" s="167"/>
      <c r="M195" s="167"/>
      <c r="N195" s="167"/>
      <c r="O195" s="167"/>
      <c r="Q195" s="163"/>
    </row>
    <row r="196" spans="2:17" ht="13.2">
      <c r="B196" s="167"/>
      <c r="C196" s="162"/>
      <c r="D196" s="168"/>
      <c r="E196" s="162"/>
      <c r="F196" s="167"/>
      <c r="G196" s="167"/>
      <c r="H196" s="167"/>
      <c r="I196" s="167"/>
      <c r="J196" s="167"/>
      <c r="K196" s="167"/>
      <c r="L196" s="167"/>
      <c r="M196" s="167"/>
      <c r="N196" s="167"/>
      <c r="O196" s="167"/>
      <c r="Q196" s="163"/>
    </row>
    <row r="197" spans="2:17" ht="13.2">
      <c r="B197" s="167"/>
      <c r="C197" s="162"/>
      <c r="D197" s="168"/>
      <c r="E197" s="162"/>
      <c r="F197" s="167"/>
      <c r="G197" s="167"/>
      <c r="H197" s="167"/>
      <c r="I197" s="167"/>
      <c r="J197" s="167"/>
      <c r="K197" s="167"/>
      <c r="L197" s="167"/>
      <c r="M197" s="167"/>
      <c r="N197" s="167"/>
      <c r="O197" s="167"/>
      <c r="Q197" s="163"/>
    </row>
    <row r="198" spans="2:17" ht="13.2">
      <c r="B198" s="167"/>
      <c r="C198" s="162"/>
      <c r="D198" s="168"/>
      <c r="E198" s="162"/>
      <c r="F198" s="167"/>
      <c r="G198" s="167"/>
      <c r="H198" s="167"/>
      <c r="I198" s="167"/>
      <c r="J198" s="167"/>
      <c r="K198" s="167"/>
      <c r="L198" s="167"/>
      <c r="M198" s="167"/>
      <c r="N198" s="167"/>
      <c r="O198" s="167"/>
      <c r="Q198" s="163"/>
    </row>
    <row r="199" spans="2:17" ht="13.2">
      <c r="B199" s="167"/>
      <c r="C199" s="162"/>
      <c r="D199" s="168"/>
      <c r="E199" s="162"/>
      <c r="F199" s="167"/>
      <c r="G199" s="167"/>
      <c r="H199" s="167"/>
      <c r="I199" s="167"/>
      <c r="J199" s="167"/>
      <c r="K199" s="167"/>
      <c r="L199" s="167"/>
      <c r="M199" s="167"/>
      <c r="N199" s="167"/>
      <c r="O199" s="167"/>
      <c r="Q199" s="163"/>
    </row>
    <row r="200" spans="2:17" ht="13.2">
      <c r="B200" s="167"/>
      <c r="C200" s="162"/>
      <c r="D200" s="168"/>
      <c r="E200" s="162"/>
      <c r="F200" s="167"/>
      <c r="G200" s="167"/>
      <c r="H200" s="167"/>
      <c r="I200" s="167"/>
      <c r="J200" s="167"/>
      <c r="K200" s="167"/>
      <c r="L200" s="167"/>
      <c r="M200" s="167"/>
      <c r="N200" s="167"/>
      <c r="O200" s="167"/>
      <c r="Q200" s="163"/>
    </row>
    <row r="201" spans="2:17" ht="13.2">
      <c r="B201" s="167"/>
      <c r="C201" s="162"/>
      <c r="D201" s="168"/>
      <c r="E201" s="162"/>
      <c r="F201" s="167"/>
      <c r="G201" s="167"/>
      <c r="H201" s="167"/>
      <c r="I201" s="167"/>
      <c r="J201" s="167"/>
      <c r="K201" s="167"/>
      <c r="L201" s="167"/>
      <c r="M201" s="167"/>
      <c r="N201" s="167"/>
      <c r="O201" s="167"/>
      <c r="Q201" s="163"/>
    </row>
    <row r="202" spans="2:17" ht="13.2">
      <c r="B202" s="167"/>
      <c r="C202" s="162"/>
      <c r="D202" s="168"/>
      <c r="E202" s="162"/>
      <c r="F202" s="167"/>
      <c r="G202" s="167"/>
      <c r="H202" s="167"/>
      <c r="I202" s="167"/>
      <c r="J202" s="167"/>
      <c r="K202" s="167"/>
      <c r="L202" s="167"/>
      <c r="M202" s="167"/>
      <c r="N202" s="167"/>
      <c r="O202" s="167"/>
      <c r="Q202" s="163"/>
    </row>
    <row r="203" spans="2:17" ht="13.2">
      <c r="B203" s="167"/>
      <c r="C203" s="162"/>
      <c r="D203" s="168"/>
      <c r="E203" s="162"/>
      <c r="F203" s="167"/>
      <c r="G203" s="167"/>
      <c r="H203" s="167"/>
      <c r="I203" s="167"/>
      <c r="J203" s="167"/>
      <c r="K203" s="167"/>
      <c r="L203" s="167"/>
      <c r="M203" s="167"/>
      <c r="N203" s="167"/>
      <c r="O203" s="167"/>
      <c r="Q203" s="163"/>
    </row>
    <row r="204" spans="2:17" ht="13.2">
      <c r="B204" s="167"/>
      <c r="C204" s="162"/>
      <c r="D204" s="168"/>
      <c r="E204" s="162"/>
      <c r="F204" s="167"/>
      <c r="G204" s="167"/>
      <c r="H204" s="167"/>
      <c r="I204" s="167"/>
      <c r="J204" s="167"/>
      <c r="K204" s="167"/>
      <c r="L204" s="167"/>
      <c r="M204" s="167"/>
      <c r="N204" s="167"/>
      <c r="O204" s="167"/>
      <c r="Q204" s="163"/>
    </row>
    <row r="205" spans="2:17" ht="13.2">
      <c r="B205" s="167"/>
      <c r="C205" s="162"/>
      <c r="D205" s="168"/>
      <c r="E205" s="162"/>
      <c r="F205" s="167"/>
      <c r="G205" s="167"/>
      <c r="H205" s="167"/>
      <c r="I205" s="167"/>
      <c r="J205" s="167"/>
      <c r="K205" s="167"/>
      <c r="L205" s="167"/>
      <c r="M205" s="167"/>
      <c r="N205" s="167"/>
      <c r="O205" s="167"/>
      <c r="Q205" s="163"/>
    </row>
    <row r="206" spans="2:17" ht="13.2">
      <c r="B206" s="167"/>
      <c r="C206" s="162"/>
      <c r="D206" s="168"/>
      <c r="E206" s="162"/>
      <c r="F206" s="167"/>
      <c r="G206" s="167"/>
      <c r="H206" s="167"/>
      <c r="I206" s="167"/>
      <c r="J206" s="167"/>
      <c r="K206" s="167"/>
      <c r="L206" s="167"/>
      <c r="M206" s="167"/>
      <c r="N206" s="167"/>
      <c r="O206" s="167"/>
      <c r="Q206" s="163"/>
    </row>
    <row r="207" spans="2:17" ht="13.2">
      <c r="B207" s="167"/>
      <c r="C207" s="162"/>
      <c r="D207" s="168"/>
      <c r="E207" s="162"/>
      <c r="F207" s="167"/>
      <c r="G207" s="167"/>
      <c r="H207" s="167"/>
      <c r="I207" s="167"/>
      <c r="J207" s="167"/>
      <c r="K207" s="167"/>
      <c r="L207" s="167"/>
      <c r="M207" s="167"/>
      <c r="N207" s="167"/>
      <c r="O207" s="167"/>
      <c r="Q207" s="163"/>
    </row>
    <row r="208" spans="2:17" ht="13.2">
      <c r="B208" s="167"/>
      <c r="C208" s="162"/>
      <c r="D208" s="168"/>
      <c r="E208" s="162"/>
      <c r="F208" s="167"/>
      <c r="G208" s="167"/>
      <c r="H208" s="167"/>
      <c r="I208" s="167"/>
      <c r="J208" s="167"/>
      <c r="K208" s="167"/>
      <c r="L208" s="167"/>
      <c r="M208" s="167"/>
      <c r="N208" s="167"/>
      <c r="O208" s="167"/>
      <c r="Q208" s="163"/>
    </row>
    <row r="209" spans="2:17" ht="13.2">
      <c r="B209" s="167"/>
      <c r="C209" s="162"/>
      <c r="D209" s="168"/>
      <c r="E209" s="162"/>
      <c r="F209" s="167"/>
      <c r="G209" s="167"/>
      <c r="H209" s="167"/>
      <c r="I209" s="167"/>
      <c r="J209" s="167"/>
      <c r="K209" s="167"/>
      <c r="L209" s="167"/>
      <c r="M209" s="167"/>
      <c r="N209" s="167"/>
      <c r="O209" s="167"/>
      <c r="Q209" s="163"/>
    </row>
    <row r="210" spans="2:17" ht="13.2">
      <c r="B210" s="167"/>
      <c r="C210" s="162"/>
      <c r="D210" s="168"/>
      <c r="E210" s="162"/>
      <c r="F210" s="167"/>
      <c r="G210" s="167"/>
      <c r="H210" s="167"/>
      <c r="I210" s="167"/>
      <c r="J210" s="167"/>
      <c r="K210" s="167"/>
      <c r="L210" s="167"/>
      <c r="M210" s="167"/>
      <c r="N210" s="167"/>
      <c r="O210" s="167"/>
      <c r="Q210" s="163"/>
    </row>
    <row r="211" spans="2:17" ht="13.2">
      <c r="B211" s="167"/>
      <c r="C211" s="162"/>
      <c r="D211" s="168"/>
      <c r="E211" s="162"/>
      <c r="F211" s="167"/>
      <c r="G211" s="167"/>
      <c r="H211" s="167"/>
      <c r="I211" s="167"/>
      <c r="J211" s="167"/>
      <c r="K211" s="167"/>
      <c r="L211" s="167"/>
      <c r="M211" s="167"/>
      <c r="N211" s="167"/>
      <c r="O211" s="167"/>
      <c r="Q211" s="163"/>
    </row>
    <row r="212" spans="2:17" ht="13.2">
      <c r="B212" s="167"/>
      <c r="C212" s="162"/>
      <c r="D212" s="168"/>
      <c r="E212" s="162"/>
      <c r="F212" s="167"/>
      <c r="G212" s="167"/>
      <c r="H212" s="167"/>
      <c r="I212" s="167"/>
      <c r="J212" s="167"/>
      <c r="K212" s="167"/>
      <c r="L212" s="167"/>
      <c r="M212" s="167"/>
      <c r="N212" s="167"/>
      <c r="O212" s="167"/>
      <c r="Q212" s="163"/>
    </row>
    <row r="213" spans="2:17" ht="13.2">
      <c r="B213" s="167"/>
      <c r="C213" s="162"/>
      <c r="D213" s="168"/>
      <c r="E213" s="162"/>
      <c r="F213" s="167"/>
      <c r="G213" s="167"/>
      <c r="H213" s="167"/>
      <c r="I213" s="167"/>
      <c r="J213" s="167"/>
      <c r="K213" s="167"/>
      <c r="L213" s="167"/>
      <c r="M213" s="167"/>
      <c r="N213" s="167"/>
      <c r="O213" s="167"/>
      <c r="Q213" s="163"/>
    </row>
    <row r="214" spans="2:17" ht="13.2">
      <c r="B214" s="167"/>
      <c r="C214" s="162"/>
      <c r="D214" s="168"/>
      <c r="E214" s="162"/>
      <c r="F214" s="167"/>
      <c r="G214" s="167"/>
      <c r="H214" s="167"/>
      <c r="I214" s="167"/>
      <c r="J214" s="167"/>
      <c r="K214" s="167"/>
      <c r="L214" s="167"/>
      <c r="M214" s="167"/>
      <c r="N214" s="167"/>
      <c r="O214" s="167"/>
      <c r="Q214" s="163"/>
    </row>
    <row r="215" spans="2:17" ht="13.2">
      <c r="B215" s="167"/>
      <c r="C215" s="162"/>
      <c r="D215" s="168"/>
      <c r="E215" s="162"/>
      <c r="F215" s="167"/>
      <c r="G215" s="167"/>
      <c r="H215" s="167"/>
      <c r="I215" s="167"/>
      <c r="J215" s="167"/>
      <c r="K215" s="167"/>
      <c r="L215" s="167"/>
      <c r="M215" s="167"/>
      <c r="N215" s="167"/>
      <c r="O215" s="167"/>
      <c r="Q215" s="163"/>
    </row>
    <row r="216" spans="2:17" ht="13.2">
      <c r="B216" s="167"/>
      <c r="C216" s="162"/>
      <c r="D216" s="168"/>
      <c r="E216" s="162"/>
      <c r="F216" s="167"/>
      <c r="G216" s="167"/>
      <c r="H216" s="167"/>
      <c r="I216" s="167"/>
      <c r="J216" s="167"/>
      <c r="K216" s="167"/>
      <c r="L216" s="167"/>
      <c r="M216" s="167"/>
      <c r="N216" s="167"/>
      <c r="O216" s="167"/>
      <c r="Q216" s="163"/>
    </row>
    <row r="217" spans="2:17" ht="13.2">
      <c r="B217" s="167"/>
      <c r="C217" s="162"/>
      <c r="D217" s="168"/>
      <c r="E217" s="162"/>
      <c r="F217" s="167"/>
      <c r="G217" s="167"/>
      <c r="H217" s="167"/>
      <c r="I217" s="167"/>
      <c r="J217" s="167"/>
      <c r="K217" s="167"/>
      <c r="L217" s="167"/>
      <c r="M217" s="167"/>
      <c r="N217" s="167"/>
      <c r="O217" s="167"/>
      <c r="Q217" s="163"/>
    </row>
    <row r="218" spans="2:17" ht="13.2">
      <c r="B218" s="167"/>
      <c r="C218" s="162"/>
      <c r="D218" s="168"/>
      <c r="E218" s="162"/>
      <c r="F218" s="167"/>
      <c r="G218" s="167"/>
      <c r="H218" s="167"/>
      <c r="I218" s="167"/>
      <c r="J218" s="167"/>
      <c r="K218" s="167"/>
      <c r="L218" s="167"/>
      <c r="M218" s="167"/>
      <c r="N218" s="167"/>
      <c r="O218" s="167"/>
      <c r="Q218" s="163"/>
    </row>
    <row r="219" spans="2:17" ht="13.2">
      <c r="B219" s="167"/>
      <c r="C219" s="162"/>
      <c r="D219" s="168"/>
      <c r="E219" s="162"/>
      <c r="F219" s="167"/>
      <c r="G219" s="167"/>
      <c r="H219" s="167"/>
      <c r="I219" s="167"/>
      <c r="J219" s="167"/>
      <c r="K219" s="167"/>
      <c r="L219" s="167"/>
      <c r="M219" s="167"/>
      <c r="N219" s="167"/>
      <c r="O219" s="167"/>
      <c r="Q219" s="163"/>
    </row>
    <row r="220" spans="2:17" ht="13.2">
      <c r="B220" s="167"/>
      <c r="C220" s="162"/>
      <c r="D220" s="168"/>
      <c r="E220" s="162"/>
      <c r="F220" s="167"/>
      <c r="G220" s="167"/>
      <c r="H220" s="167"/>
      <c r="I220" s="167"/>
      <c r="J220" s="167"/>
      <c r="K220" s="167"/>
      <c r="L220" s="167"/>
      <c r="M220" s="167"/>
      <c r="N220" s="167"/>
      <c r="O220" s="167"/>
      <c r="Q220" s="163"/>
    </row>
    <row r="221" spans="2:17" ht="13.2">
      <c r="B221" s="167"/>
      <c r="C221" s="162"/>
      <c r="D221" s="168"/>
      <c r="E221" s="162"/>
      <c r="F221" s="167"/>
      <c r="G221" s="167"/>
      <c r="H221" s="167"/>
      <c r="I221" s="167"/>
      <c r="J221" s="167"/>
      <c r="K221" s="167"/>
      <c r="L221" s="167"/>
      <c r="M221" s="167"/>
      <c r="N221" s="167"/>
      <c r="O221" s="167"/>
      <c r="Q221" s="163"/>
    </row>
    <row r="222" spans="2:17" ht="13.2">
      <c r="B222" s="167"/>
      <c r="C222" s="162"/>
      <c r="D222" s="168"/>
      <c r="E222" s="162"/>
      <c r="F222" s="167"/>
      <c r="G222" s="167"/>
      <c r="H222" s="167"/>
      <c r="I222" s="167"/>
      <c r="J222" s="167"/>
      <c r="K222" s="167"/>
      <c r="L222" s="167"/>
      <c r="M222" s="167"/>
      <c r="N222" s="167"/>
      <c r="O222" s="167"/>
      <c r="Q222" s="163"/>
    </row>
    <row r="223" spans="2:17" ht="13.2">
      <c r="B223" s="167"/>
      <c r="C223" s="162"/>
      <c r="D223" s="168"/>
      <c r="E223" s="162"/>
      <c r="F223" s="167"/>
      <c r="G223" s="167"/>
      <c r="H223" s="167"/>
      <c r="I223" s="167"/>
      <c r="J223" s="167"/>
      <c r="K223" s="167"/>
      <c r="L223" s="167"/>
      <c r="M223" s="167"/>
      <c r="N223" s="167"/>
      <c r="O223" s="167"/>
      <c r="Q223" s="163"/>
    </row>
    <row r="224" spans="2:17" ht="13.2">
      <c r="B224" s="167"/>
      <c r="C224" s="162"/>
      <c r="D224" s="168"/>
      <c r="E224" s="162"/>
      <c r="F224" s="167"/>
      <c r="G224" s="167"/>
      <c r="H224" s="167"/>
      <c r="I224" s="167"/>
      <c r="J224" s="167"/>
      <c r="K224" s="167"/>
      <c r="L224" s="167"/>
      <c r="M224" s="167"/>
      <c r="N224" s="167"/>
      <c r="O224" s="167"/>
      <c r="Q224" s="163"/>
    </row>
    <row r="225" spans="2:17" ht="13.2">
      <c r="B225" s="167"/>
      <c r="C225" s="162"/>
      <c r="D225" s="168"/>
      <c r="E225" s="162"/>
      <c r="F225" s="167"/>
      <c r="G225" s="167"/>
      <c r="H225" s="167"/>
      <c r="I225" s="167"/>
      <c r="J225" s="167"/>
      <c r="K225" s="167"/>
      <c r="L225" s="167"/>
      <c r="M225" s="167"/>
      <c r="N225" s="167"/>
      <c r="O225" s="167"/>
      <c r="Q225" s="163"/>
    </row>
    <row r="226" spans="2:17" ht="13.2">
      <c r="B226" s="167"/>
      <c r="C226" s="162"/>
      <c r="D226" s="168"/>
      <c r="E226" s="162"/>
      <c r="F226" s="167"/>
      <c r="G226" s="167"/>
      <c r="H226" s="167"/>
      <c r="I226" s="167"/>
      <c r="J226" s="167"/>
      <c r="K226" s="167"/>
      <c r="L226" s="167"/>
      <c r="M226" s="167"/>
      <c r="N226" s="167"/>
      <c r="O226" s="167"/>
      <c r="Q226" s="163"/>
    </row>
    <row r="227" spans="2:17" ht="13.2">
      <c r="B227" s="167"/>
      <c r="C227" s="162"/>
      <c r="D227" s="168"/>
      <c r="E227" s="162"/>
      <c r="F227" s="167"/>
      <c r="G227" s="167"/>
      <c r="H227" s="167"/>
      <c r="I227" s="167"/>
      <c r="J227" s="167"/>
      <c r="K227" s="167"/>
      <c r="L227" s="167"/>
      <c r="M227" s="167"/>
      <c r="N227" s="167"/>
      <c r="O227" s="167"/>
      <c r="Q227" s="163"/>
    </row>
    <row r="228" spans="2:17" ht="13.2">
      <c r="B228" s="167"/>
      <c r="C228" s="162"/>
      <c r="D228" s="168"/>
      <c r="E228" s="162"/>
      <c r="F228" s="167"/>
      <c r="G228" s="167"/>
      <c r="H228" s="167"/>
      <c r="I228" s="167"/>
      <c r="J228" s="167"/>
      <c r="K228" s="167"/>
      <c r="L228" s="167"/>
      <c r="M228" s="167"/>
      <c r="N228" s="167"/>
      <c r="O228" s="167"/>
      <c r="Q228" s="163"/>
    </row>
    <row r="229" spans="2:17" ht="13.2">
      <c r="B229" s="167"/>
      <c r="C229" s="162"/>
      <c r="D229" s="168"/>
      <c r="E229" s="162"/>
      <c r="F229" s="167"/>
      <c r="G229" s="167"/>
      <c r="H229" s="167"/>
      <c r="I229" s="167"/>
      <c r="J229" s="167"/>
      <c r="K229" s="167"/>
      <c r="L229" s="167"/>
      <c r="M229" s="167"/>
      <c r="N229" s="167"/>
      <c r="O229" s="167"/>
      <c r="Q229" s="163"/>
    </row>
    <row r="230" spans="2:17" ht="13.2">
      <c r="B230" s="167"/>
      <c r="C230" s="162"/>
      <c r="D230" s="168"/>
      <c r="E230" s="162"/>
      <c r="F230" s="167"/>
      <c r="G230" s="167"/>
      <c r="H230" s="167"/>
      <c r="I230" s="167"/>
      <c r="J230" s="167"/>
      <c r="K230" s="167"/>
      <c r="L230" s="167"/>
      <c r="M230" s="167"/>
      <c r="N230" s="167"/>
      <c r="O230" s="167"/>
      <c r="Q230" s="163"/>
    </row>
    <row r="231" spans="2:17" ht="13.2">
      <c r="B231" s="167"/>
      <c r="C231" s="162"/>
      <c r="D231" s="168"/>
      <c r="E231" s="162"/>
      <c r="F231" s="167"/>
      <c r="G231" s="167"/>
      <c r="H231" s="167"/>
      <c r="I231" s="167"/>
      <c r="J231" s="167"/>
      <c r="K231" s="167"/>
      <c r="L231" s="167"/>
      <c r="M231" s="167"/>
      <c r="N231" s="167"/>
      <c r="O231" s="167"/>
      <c r="Q231" s="163"/>
    </row>
    <row r="232" spans="2:17" ht="13.2">
      <c r="B232" s="167"/>
      <c r="C232" s="162"/>
      <c r="D232" s="168"/>
      <c r="E232" s="162"/>
      <c r="F232" s="167"/>
      <c r="G232" s="167"/>
      <c r="H232" s="167"/>
      <c r="I232" s="167"/>
      <c r="J232" s="167"/>
      <c r="K232" s="167"/>
      <c r="L232" s="167"/>
      <c r="M232" s="167"/>
      <c r="N232" s="167"/>
      <c r="O232" s="167"/>
      <c r="Q232" s="163"/>
    </row>
    <row r="233" spans="2:17" ht="13.2">
      <c r="B233" s="167"/>
      <c r="C233" s="162"/>
      <c r="D233" s="168"/>
      <c r="E233" s="162"/>
      <c r="F233" s="167"/>
      <c r="G233" s="167"/>
      <c r="H233" s="167"/>
      <c r="I233" s="167"/>
      <c r="J233" s="167"/>
      <c r="K233" s="167"/>
      <c r="L233" s="167"/>
      <c r="M233" s="167"/>
      <c r="N233" s="167"/>
      <c r="O233" s="167"/>
      <c r="Q233" s="163"/>
    </row>
    <row r="234" spans="2:17" ht="13.2">
      <c r="B234" s="167"/>
      <c r="C234" s="162"/>
      <c r="D234" s="168"/>
      <c r="E234" s="162"/>
      <c r="F234" s="167"/>
      <c r="G234" s="167"/>
      <c r="H234" s="167"/>
      <c r="I234" s="167"/>
      <c r="J234" s="167"/>
      <c r="K234" s="167"/>
      <c r="L234" s="167"/>
      <c r="M234" s="167"/>
      <c r="N234" s="167"/>
      <c r="O234" s="167"/>
      <c r="Q234" s="163"/>
    </row>
    <row r="235" spans="2:17" ht="13.2">
      <c r="B235" s="167"/>
      <c r="C235" s="162"/>
      <c r="D235" s="168"/>
      <c r="E235" s="162"/>
      <c r="F235" s="167"/>
      <c r="G235" s="167"/>
      <c r="H235" s="167"/>
      <c r="I235" s="167"/>
      <c r="J235" s="167"/>
      <c r="K235" s="167"/>
      <c r="L235" s="167"/>
      <c r="M235" s="167"/>
      <c r="N235" s="167"/>
      <c r="O235" s="167"/>
      <c r="Q235" s="163"/>
    </row>
    <row r="236" spans="2:17" ht="13.2">
      <c r="B236" s="167"/>
      <c r="C236" s="162"/>
      <c r="D236" s="168"/>
      <c r="E236" s="162"/>
      <c r="F236" s="167"/>
      <c r="G236" s="167"/>
      <c r="H236" s="167"/>
      <c r="I236" s="167"/>
      <c r="J236" s="167"/>
      <c r="K236" s="167"/>
      <c r="L236" s="167"/>
      <c r="M236" s="167"/>
      <c r="N236" s="167"/>
      <c r="O236" s="167"/>
      <c r="Q236" s="163"/>
    </row>
    <row r="237" spans="2:17" ht="13.2">
      <c r="B237" s="167"/>
      <c r="C237" s="162"/>
      <c r="D237" s="168"/>
      <c r="E237" s="162"/>
      <c r="F237" s="167"/>
      <c r="G237" s="167"/>
      <c r="H237" s="167"/>
      <c r="I237" s="167"/>
      <c r="J237" s="167"/>
      <c r="K237" s="167"/>
      <c r="L237" s="167"/>
      <c r="M237" s="167"/>
      <c r="N237" s="167"/>
      <c r="O237" s="167"/>
      <c r="Q237" s="163"/>
    </row>
    <row r="238" spans="2:17" ht="13.2">
      <c r="B238" s="167"/>
      <c r="C238" s="162"/>
      <c r="D238" s="168"/>
      <c r="E238" s="162"/>
      <c r="F238" s="167"/>
      <c r="G238" s="167"/>
      <c r="H238" s="167"/>
      <c r="I238" s="167"/>
      <c r="J238" s="167"/>
      <c r="K238" s="167"/>
      <c r="L238" s="167"/>
      <c r="M238" s="167"/>
      <c r="N238" s="167"/>
      <c r="O238" s="167"/>
      <c r="Q238" s="163"/>
    </row>
    <row r="239" spans="2:17" ht="13.2">
      <c r="B239" s="167"/>
      <c r="C239" s="162"/>
      <c r="D239" s="168"/>
      <c r="E239" s="162"/>
      <c r="F239" s="167"/>
      <c r="G239" s="167"/>
      <c r="H239" s="167"/>
      <c r="I239" s="167"/>
      <c r="J239" s="167"/>
      <c r="K239" s="167"/>
      <c r="L239" s="167"/>
      <c r="M239" s="167"/>
      <c r="N239" s="167"/>
      <c r="O239" s="167"/>
      <c r="Q239" s="163"/>
    </row>
    <row r="240" spans="2:17" ht="13.2">
      <c r="B240" s="167"/>
      <c r="C240" s="162"/>
      <c r="D240" s="168"/>
      <c r="E240" s="162"/>
      <c r="F240" s="167"/>
      <c r="G240" s="167"/>
      <c r="H240" s="167"/>
      <c r="I240" s="167"/>
      <c r="J240" s="167"/>
      <c r="K240" s="167"/>
      <c r="L240" s="167"/>
      <c r="M240" s="167"/>
      <c r="N240" s="167"/>
      <c r="O240" s="167"/>
      <c r="Q240" s="163"/>
    </row>
    <row r="241" spans="2:17" ht="13.2">
      <c r="B241" s="167"/>
      <c r="C241" s="162"/>
      <c r="D241" s="168"/>
      <c r="E241" s="162"/>
      <c r="F241" s="167"/>
      <c r="G241" s="167"/>
      <c r="H241" s="167"/>
      <c r="I241" s="167"/>
      <c r="J241" s="167"/>
      <c r="K241" s="167"/>
      <c r="L241" s="167"/>
      <c r="M241" s="167"/>
      <c r="N241" s="167"/>
      <c r="O241" s="167"/>
      <c r="Q241" s="163"/>
    </row>
    <row r="242" spans="2:17" ht="13.2">
      <c r="B242" s="167"/>
      <c r="C242" s="162"/>
      <c r="D242" s="168"/>
      <c r="E242" s="162"/>
      <c r="F242" s="167"/>
      <c r="G242" s="167"/>
      <c r="H242" s="167"/>
      <c r="I242" s="167"/>
      <c r="J242" s="167"/>
      <c r="K242" s="167"/>
      <c r="L242" s="167"/>
      <c r="M242" s="167"/>
      <c r="N242" s="167"/>
      <c r="O242" s="167"/>
      <c r="Q242" s="163"/>
    </row>
    <row r="243" spans="2:17" ht="13.2">
      <c r="B243" s="167"/>
      <c r="C243" s="162"/>
      <c r="D243" s="168"/>
      <c r="E243" s="162"/>
      <c r="F243" s="167"/>
      <c r="G243" s="167"/>
      <c r="H243" s="167"/>
      <c r="I243" s="167"/>
      <c r="J243" s="167"/>
      <c r="K243" s="167"/>
      <c r="L243" s="167"/>
      <c r="M243" s="167"/>
      <c r="N243" s="167"/>
      <c r="O243" s="167"/>
      <c r="Q243" s="163"/>
    </row>
    <row r="244" spans="2:17" ht="13.2">
      <c r="B244" s="167"/>
      <c r="C244" s="162"/>
      <c r="D244" s="168"/>
      <c r="E244" s="162"/>
      <c r="F244" s="167"/>
      <c r="G244" s="167"/>
      <c r="H244" s="167"/>
      <c r="I244" s="167"/>
      <c r="J244" s="167"/>
      <c r="K244" s="167"/>
      <c r="L244" s="167"/>
      <c r="M244" s="167"/>
      <c r="N244" s="167"/>
      <c r="O244" s="167"/>
      <c r="Q244" s="163"/>
    </row>
    <row r="245" spans="2:17" ht="13.2">
      <c r="B245" s="167"/>
      <c r="C245" s="162"/>
      <c r="D245" s="168"/>
      <c r="E245" s="162"/>
      <c r="F245" s="167"/>
      <c r="G245" s="167"/>
      <c r="H245" s="167"/>
      <c r="I245" s="167"/>
      <c r="J245" s="167"/>
      <c r="K245" s="167"/>
      <c r="L245" s="167"/>
      <c r="M245" s="167"/>
      <c r="N245" s="167"/>
      <c r="O245" s="167"/>
      <c r="Q245" s="163"/>
    </row>
    <row r="246" spans="2:17" ht="13.2">
      <c r="B246" s="167"/>
      <c r="C246" s="162"/>
      <c r="D246" s="168"/>
      <c r="E246" s="162"/>
      <c r="F246" s="167"/>
      <c r="G246" s="167"/>
      <c r="H246" s="167"/>
      <c r="I246" s="167"/>
      <c r="J246" s="167"/>
      <c r="K246" s="167"/>
      <c r="L246" s="167"/>
      <c r="M246" s="167"/>
      <c r="N246" s="167"/>
      <c r="O246" s="167"/>
      <c r="Q246" s="163"/>
    </row>
    <row r="247" spans="2:17" ht="13.2">
      <c r="B247" s="167"/>
      <c r="C247" s="162"/>
      <c r="D247" s="168"/>
      <c r="E247" s="162"/>
      <c r="F247" s="167"/>
      <c r="G247" s="167"/>
      <c r="H247" s="167"/>
      <c r="I247" s="167"/>
      <c r="J247" s="167"/>
      <c r="K247" s="167"/>
      <c r="L247" s="167"/>
      <c r="M247" s="167"/>
      <c r="N247" s="167"/>
      <c r="O247" s="167"/>
      <c r="Q247" s="163"/>
    </row>
    <row r="248" spans="2:17" ht="13.2">
      <c r="B248" s="167"/>
      <c r="C248" s="162"/>
      <c r="D248" s="168"/>
      <c r="E248" s="162"/>
      <c r="F248" s="167"/>
      <c r="G248" s="167"/>
      <c r="H248" s="167"/>
      <c r="I248" s="167"/>
      <c r="J248" s="167"/>
      <c r="K248" s="167"/>
      <c r="L248" s="167"/>
      <c r="M248" s="167"/>
      <c r="N248" s="167"/>
      <c r="O248" s="167"/>
      <c r="Q248" s="163"/>
    </row>
    <row r="249" spans="2:17" ht="13.2">
      <c r="B249" s="167"/>
      <c r="C249" s="162"/>
      <c r="D249" s="168"/>
      <c r="E249" s="162"/>
      <c r="F249" s="167"/>
      <c r="G249" s="167"/>
      <c r="H249" s="167"/>
      <c r="I249" s="167"/>
      <c r="J249" s="167"/>
      <c r="K249" s="167"/>
      <c r="L249" s="167"/>
      <c r="M249" s="167"/>
      <c r="N249" s="167"/>
      <c r="O249" s="167"/>
      <c r="Q249" s="163"/>
    </row>
    <row r="250" spans="2:17" ht="13.2">
      <c r="B250" s="167"/>
      <c r="C250" s="162"/>
      <c r="D250" s="168"/>
      <c r="E250" s="162"/>
      <c r="F250" s="167"/>
      <c r="G250" s="167"/>
      <c r="H250" s="167"/>
      <c r="I250" s="167"/>
      <c r="J250" s="167"/>
      <c r="K250" s="167"/>
      <c r="L250" s="167"/>
      <c r="M250" s="167"/>
      <c r="N250" s="167"/>
      <c r="O250" s="167"/>
      <c r="Q250" s="163"/>
    </row>
    <row r="251" spans="2:17" ht="13.2">
      <c r="B251" s="167"/>
      <c r="C251" s="162"/>
      <c r="D251" s="168"/>
      <c r="E251" s="162"/>
      <c r="F251" s="167"/>
      <c r="G251" s="167"/>
      <c r="H251" s="167"/>
      <c r="I251" s="167"/>
      <c r="J251" s="167"/>
      <c r="K251" s="167"/>
      <c r="L251" s="167"/>
      <c r="M251" s="167"/>
      <c r="N251" s="167"/>
      <c r="O251" s="167"/>
      <c r="Q251" s="163"/>
    </row>
    <row r="252" spans="2:17" ht="13.2">
      <c r="B252" s="167"/>
      <c r="C252" s="162"/>
      <c r="D252" s="168"/>
      <c r="E252" s="162"/>
      <c r="F252" s="167"/>
      <c r="G252" s="167"/>
      <c r="H252" s="167"/>
      <c r="I252" s="167"/>
      <c r="J252" s="167"/>
      <c r="K252" s="167"/>
      <c r="L252" s="167"/>
      <c r="M252" s="167"/>
      <c r="N252" s="167"/>
      <c r="O252" s="167"/>
      <c r="Q252" s="163"/>
    </row>
    <row r="253" spans="2:17" ht="13.2">
      <c r="B253" s="167"/>
      <c r="C253" s="162"/>
      <c r="D253" s="168"/>
      <c r="E253" s="162"/>
      <c r="F253" s="167"/>
      <c r="G253" s="167"/>
      <c r="H253" s="167"/>
      <c r="I253" s="167"/>
      <c r="J253" s="167"/>
      <c r="K253" s="167"/>
      <c r="L253" s="167"/>
      <c r="M253" s="167"/>
      <c r="N253" s="167"/>
      <c r="O253" s="167"/>
      <c r="Q253" s="163"/>
    </row>
    <row r="254" spans="2:17" ht="13.2">
      <c r="B254" s="167"/>
      <c r="C254" s="162"/>
      <c r="D254" s="168"/>
      <c r="E254" s="162"/>
      <c r="F254" s="167"/>
      <c r="G254" s="167"/>
      <c r="H254" s="167"/>
      <c r="I254" s="167"/>
      <c r="J254" s="167"/>
      <c r="K254" s="167"/>
      <c r="L254" s="167"/>
      <c r="M254" s="167"/>
      <c r="N254" s="167"/>
      <c r="O254" s="167"/>
      <c r="Q254" s="163"/>
    </row>
    <row r="255" spans="2:17" ht="13.2">
      <c r="B255" s="167"/>
      <c r="C255" s="162"/>
      <c r="D255" s="168"/>
      <c r="E255" s="162"/>
      <c r="F255" s="167"/>
      <c r="G255" s="167"/>
      <c r="H255" s="167"/>
      <c r="I255" s="167"/>
      <c r="J255" s="167"/>
      <c r="K255" s="167"/>
      <c r="L255" s="167"/>
      <c r="M255" s="167"/>
      <c r="N255" s="167"/>
      <c r="O255" s="167"/>
      <c r="Q255" s="163"/>
    </row>
    <row r="256" spans="2:17" ht="13.2">
      <c r="B256" s="167"/>
      <c r="C256" s="162"/>
      <c r="D256" s="168"/>
      <c r="E256" s="162"/>
      <c r="F256" s="167"/>
      <c r="G256" s="167"/>
      <c r="H256" s="167"/>
      <c r="I256" s="167"/>
      <c r="J256" s="167"/>
      <c r="K256" s="167"/>
      <c r="L256" s="167"/>
      <c r="M256" s="167"/>
      <c r="N256" s="167"/>
      <c r="O256" s="167"/>
      <c r="Q256" s="163"/>
    </row>
    <row r="257" spans="2:17" ht="13.2">
      <c r="B257" s="167"/>
      <c r="C257" s="162"/>
      <c r="D257" s="168"/>
      <c r="E257" s="162"/>
      <c r="F257" s="167"/>
      <c r="G257" s="167"/>
      <c r="H257" s="167"/>
      <c r="I257" s="167"/>
      <c r="J257" s="167"/>
      <c r="K257" s="167"/>
      <c r="L257" s="167"/>
      <c r="M257" s="167"/>
      <c r="N257" s="167"/>
      <c r="O257" s="167"/>
      <c r="Q257" s="163"/>
    </row>
    <row r="258" spans="2:17" ht="13.2">
      <c r="B258" s="167"/>
      <c r="C258" s="162"/>
      <c r="D258" s="168"/>
      <c r="E258" s="162"/>
      <c r="F258" s="167"/>
      <c r="G258" s="167"/>
      <c r="H258" s="167"/>
      <c r="I258" s="167"/>
      <c r="J258" s="167"/>
      <c r="K258" s="167"/>
      <c r="L258" s="167"/>
      <c r="M258" s="167"/>
      <c r="N258" s="167"/>
      <c r="O258" s="167"/>
      <c r="Q258" s="163"/>
    </row>
    <row r="259" spans="2:17" ht="13.2">
      <c r="B259" s="167"/>
      <c r="C259" s="162"/>
      <c r="D259" s="168"/>
      <c r="E259" s="162"/>
      <c r="F259" s="167"/>
      <c r="G259" s="167"/>
      <c r="H259" s="167"/>
      <c r="I259" s="167"/>
      <c r="J259" s="167"/>
      <c r="K259" s="167"/>
      <c r="L259" s="167"/>
      <c r="M259" s="167"/>
      <c r="N259" s="167"/>
      <c r="O259" s="167"/>
      <c r="Q259" s="163"/>
    </row>
    <row r="260" spans="2:17" ht="13.2">
      <c r="B260" s="167"/>
      <c r="C260" s="162"/>
      <c r="D260" s="168"/>
      <c r="E260" s="162"/>
      <c r="F260" s="167"/>
      <c r="G260" s="167"/>
      <c r="H260" s="167"/>
      <c r="I260" s="167"/>
      <c r="J260" s="167"/>
      <c r="K260" s="167"/>
      <c r="L260" s="167"/>
      <c r="M260" s="167"/>
      <c r="N260" s="167"/>
      <c r="O260" s="167"/>
      <c r="Q260" s="163"/>
    </row>
    <row r="261" spans="2:17" ht="13.2">
      <c r="B261" s="167"/>
      <c r="C261" s="162"/>
      <c r="D261" s="168"/>
      <c r="E261" s="162"/>
      <c r="F261" s="167"/>
      <c r="G261" s="167"/>
      <c r="H261" s="167"/>
      <c r="I261" s="167"/>
      <c r="J261" s="167"/>
      <c r="K261" s="167"/>
      <c r="L261" s="167"/>
      <c r="M261" s="167"/>
      <c r="N261" s="167"/>
      <c r="O261" s="167"/>
      <c r="Q261" s="163"/>
    </row>
    <row r="262" spans="2:17" ht="13.2">
      <c r="B262" s="167"/>
      <c r="C262" s="162"/>
      <c r="D262" s="168"/>
      <c r="E262" s="162"/>
      <c r="F262" s="167"/>
      <c r="G262" s="167"/>
      <c r="H262" s="167"/>
      <c r="I262" s="167"/>
      <c r="J262" s="167"/>
      <c r="K262" s="167"/>
      <c r="L262" s="167"/>
      <c r="M262" s="167"/>
      <c r="N262" s="167"/>
      <c r="O262" s="167"/>
      <c r="Q262" s="163"/>
    </row>
    <row r="263" spans="2:17" ht="13.2">
      <c r="B263" s="167"/>
      <c r="C263" s="162"/>
      <c r="D263" s="168"/>
      <c r="E263" s="162"/>
      <c r="F263" s="167"/>
      <c r="G263" s="167"/>
      <c r="H263" s="167"/>
      <c r="I263" s="167"/>
      <c r="J263" s="167"/>
      <c r="K263" s="167"/>
      <c r="L263" s="167"/>
      <c r="M263" s="167"/>
      <c r="N263" s="167"/>
      <c r="O263" s="167"/>
      <c r="Q263" s="163"/>
    </row>
    <row r="264" spans="2:17" ht="13.2">
      <c r="B264" s="167"/>
      <c r="C264" s="162"/>
      <c r="D264" s="168"/>
      <c r="E264" s="162"/>
      <c r="F264" s="167"/>
      <c r="G264" s="167"/>
      <c r="H264" s="167"/>
      <c r="I264" s="167"/>
      <c r="J264" s="167"/>
      <c r="K264" s="167"/>
      <c r="L264" s="167"/>
      <c r="M264" s="167"/>
      <c r="N264" s="167"/>
      <c r="O264" s="167"/>
      <c r="Q264" s="163"/>
    </row>
    <row r="265" spans="2:17" ht="13.2">
      <c r="B265" s="167"/>
      <c r="C265" s="162"/>
      <c r="D265" s="168"/>
      <c r="E265" s="162"/>
      <c r="F265" s="167"/>
      <c r="G265" s="167"/>
      <c r="H265" s="167"/>
      <c r="I265" s="167"/>
      <c r="J265" s="167"/>
      <c r="K265" s="167"/>
      <c r="L265" s="167"/>
      <c r="M265" s="167"/>
      <c r="N265" s="167"/>
      <c r="O265" s="167"/>
      <c r="Q265" s="163"/>
    </row>
    <row r="266" spans="2:17" ht="13.2">
      <c r="B266" s="167"/>
      <c r="C266" s="162"/>
      <c r="D266" s="168"/>
      <c r="E266" s="162"/>
      <c r="F266" s="167"/>
      <c r="G266" s="167"/>
      <c r="H266" s="167"/>
      <c r="I266" s="167"/>
      <c r="J266" s="167"/>
      <c r="K266" s="167"/>
      <c r="L266" s="167"/>
      <c r="M266" s="167"/>
      <c r="N266" s="167"/>
      <c r="O266" s="167"/>
      <c r="Q266" s="163"/>
    </row>
    <row r="267" spans="2:17" ht="13.2">
      <c r="B267" s="167"/>
      <c r="C267" s="162"/>
      <c r="D267" s="168"/>
      <c r="E267" s="162"/>
      <c r="F267" s="167"/>
      <c r="G267" s="167"/>
      <c r="H267" s="167"/>
      <c r="I267" s="167"/>
      <c r="J267" s="167"/>
      <c r="K267" s="167"/>
      <c r="L267" s="167"/>
      <c r="M267" s="167"/>
      <c r="N267" s="167"/>
      <c r="O267" s="167"/>
      <c r="Q267" s="163"/>
    </row>
    <row r="268" spans="2:17" ht="13.2">
      <c r="B268" s="167"/>
      <c r="C268" s="162"/>
      <c r="D268" s="168"/>
      <c r="E268" s="162"/>
      <c r="F268" s="167"/>
      <c r="G268" s="167"/>
      <c r="H268" s="167"/>
      <c r="I268" s="167"/>
      <c r="J268" s="167"/>
      <c r="K268" s="167"/>
      <c r="L268" s="167"/>
      <c r="M268" s="167"/>
      <c r="N268" s="167"/>
      <c r="O268" s="167"/>
      <c r="Q268" s="163"/>
    </row>
    <row r="269" spans="2:17" ht="13.2">
      <c r="B269" s="167"/>
      <c r="C269" s="162"/>
      <c r="D269" s="168"/>
      <c r="E269" s="162"/>
      <c r="F269" s="167"/>
      <c r="G269" s="167"/>
      <c r="H269" s="167"/>
      <c r="I269" s="167"/>
      <c r="J269" s="167"/>
      <c r="K269" s="167"/>
      <c r="L269" s="167"/>
      <c r="M269" s="167"/>
      <c r="N269" s="167"/>
      <c r="O269" s="167"/>
      <c r="Q269" s="163"/>
    </row>
    <row r="270" spans="2:17" ht="13.2">
      <c r="B270" s="167"/>
      <c r="C270" s="162"/>
      <c r="D270" s="168"/>
      <c r="E270" s="162"/>
      <c r="F270" s="167"/>
      <c r="G270" s="167"/>
      <c r="H270" s="167"/>
      <c r="I270" s="167"/>
      <c r="J270" s="167"/>
      <c r="K270" s="167"/>
      <c r="L270" s="167"/>
      <c r="M270" s="167"/>
      <c r="N270" s="167"/>
      <c r="O270" s="167"/>
      <c r="Q270" s="163"/>
    </row>
    <row r="271" spans="2:17" ht="13.2">
      <c r="B271" s="167"/>
      <c r="C271" s="162"/>
      <c r="D271" s="168"/>
      <c r="E271" s="162"/>
      <c r="F271" s="167"/>
      <c r="G271" s="167"/>
      <c r="H271" s="167"/>
      <c r="I271" s="167"/>
      <c r="J271" s="167"/>
      <c r="K271" s="167"/>
      <c r="L271" s="167"/>
      <c r="M271" s="167"/>
      <c r="N271" s="167"/>
      <c r="O271" s="167"/>
      <c r="Q271" s="163"/>
    </row>
    <row r="272" spans="2:17" ht="13.2">
      <c r="B272" s="167"/>
      <c r="C272" s="162"/>
      <c r="D272" s="168"/>
      <c r="E272" s="162"/>
      <c r="F272" s="167"/>
      <c r="G272" s="167"/>
      <c r="H272" s="167"/>
      <c r="I272" s="167"/>
      <c r="J272" s="167"/>
      <c r="K272" s="167"/>
      <c r="L272" s="167"/>
      <c r="M272" s="167"/>
      <c r="N272" s="167"/>
      <c r="O272" s="167"/>
      <c r="Q272" s="163"/>
    </row>
    <row r="273" spans="2:17" ht="13.2">
      <c r="B273" s="167"/>
      <c r="C273" s="162"/>
      <c r="D273" s="168"/>
      <c r="E273" s="162"/>
      <c r="F273" s="167"/>
      <c r="G273" s="167"/>
      <c r="H273" s="167"/>
      <c r="I273" s="167"/>
      <c r="J273" s="167"/>
      <c r="K273" s="167"/>
      <c r="L273" s="167"/>
      <c r="M273" s="167"/>
      <c r="N273" s="167"/>
      <c r="O273" s="167"/>
      <c r="Q273" s="163"/>
    </row>
    <row r="274" spans="2:17" ht="13.2">
      <c r="B274" s="167"/>
      <c r="C274" s="162"/>
      <c r="D274" s="168"/>
      <c r="E274" s="162"/>
      <c r="F274" s="167"/>
      <c r="G274" s="167"/>
      <c r="H274" s="167"/>
      <c r="I274" s="167"/>
      <c r="J274" s="167"/>
      <c r="K274" s="167"/>
      <c r="L274" s="167"/>
      <c r="M274" s="167"/>
      <c r="N274" s="167"/>
      <c r="O274" s="167"/>
      <c r="Q274" s="163"/>
    </row>
    <row r="275" spans="2:17" ht="13.2">
      <c r="B275" s="167"/>
      <c r="C275" s="162"/>
      <c r="D275" s="168"/>
      <c r="E275" s="162"/>
      <c r="F275" s="167"/>
      <c r="G275" s="167"/>
      <c r="H275" s="167"/>
      <c r="I275" s="167"/>
      <c r="J275" s="167"/>
      <c r="K275" s="167"/>
      <c r="L275" s="167"/>
      <c r="M275" s="167"/>
      <c r="N275" s="167"/>
      <c r="O275" s="167"/>
      <c r="Q275" s="163"/>
    </row>
    <row r="276" spans="2:17" ht="13.2">
      <c r="B276" s="167"/>
      <c r="C276" s="162"/>
      <c r="D276" s="168"/>
      <c r="E276" s="162"/>
      <c r="F276" s="167"/>
      <c r="G276" s="167"/>
      <c r="H276" s="167"/>
      <c r="I276" s="167"/>
      <c r="J276" s="167"/>
      <c r="K276" s="167"/>
      <c r="L276" s="167"/>
      <c r="M276" s="167"/>
      <c r="N276" s="167"/>
      <c r="O276" s="167"/>
      <c r="Q276" s="163"/>
    </row>
    <row r="277" spans="2:17" ht="13.2">
      <c r="B277" s="167"/>
      <c r="C277" s="162"/>
      <c r="D277" s="168"/>
      <c r="E277" s="162"/>
      <c r="F277" s="167"/>
      <c r="G277" s="167"/>
      <c r="H277" s="167"/>
      <c r="I277" s="167"/>
      <c r="J277" s="167"/>
      <c r="K277" s="167"/>
      <c r="L277" s="167"/>
      <c r="M277" s="167"/>
      <c r="N277" s="167"/>
      <c r="O277" s="167"/>
      <c r="Q277" s="163"/>
    </row>
    <row r="278" spans="2:17" ht="13.2">
      <c r="B278" s="167"/>
      <c r="C278" s="162"/>
      <c r="D278" s="168"/>
      <c r="E278" s="162"/>
      <c r="F278" s="167"/>
      <c r="G278" s="167"/>
      <c r="H278" s="167"/>
      <c r="I278" s="167"/>
      <c r="J278" s="167"/>
      <c r="K278" s="167"/>
      <c r="L278" s="167"/>
      <c r="M278" s="167"/>
      <c r="N278" s="167"/>
      <c r="O278" s="167"/>
      <c r="Q278" s="163"/>
    </row>
    <row r="279" spans="2:17" ht="13.2">
      <c r="B279" s="167"/>
      <c r="C279" s="162"/>
      <c r="D279" s="168"/>
      <c r="E279" s="162"/>
      <c r="F279" s="167"/>
      <c r="G279" s="167"/>
      <c r="H279" s="167"/>
      <c r="I279" s="167"/>
      <c r="J279" s="167"/>
      <c r="K279" s="167"/>
      <c r="L279" s="167"/>
      <c r="M279" s="167"/>
      <c r="N279" s="167"/>
      <c r="O279" s="167"/>
      <c r="Q279" s="163"/>
    </row>
    <row r="280" spans="2:17" ht="13.2">
      <c r="B280" s="167"/>
      <c r="C280" s="162"/>
      <c r="D280" s="168"/>
      <c r="E280" s="162"/>
      <c r="F280" s="167"/>
      <c r="G280" s="167"/>
      <c r="H280" s="167"/>
      <c r="I280" s="167"/>
      <c r="J280" s="167"/>
      <c r="K280" s="167"/>
      <c r="L280" s="167"/>
      <c r="M280" s="167"/>
      <c r="N280" s="167"/>
      <c r="O280" s="167"/>
      <c r="Q280" s="163"/>
    </row>
    <row r="281" spans="2:17" ht="13.2">
      <c r="B281" s="167"/>
      <c r="C281" s="162"/>
      <c r="D281" s="168"/>
      <c r="E281" s="162"/>
      <c r="F281" s="167"/>
      <c r="G281" s="167"/>
      <c r="H281" s="167"/>
      <c r="I281" s="167"/>
      <c r="J281" s="167"/>
      <c r="K281" s="167"/>
      <c r="L281" s="167"/>
      <c r="M281" s="167"/>
      <c r="N281" s="167"/>
      <c r="O281" s="167"/>
      <c r="Q281" s="163"/>
    </row>
    <row r="282" spans="2:17" ht="13.2">
      <c r="B282" s="167"/>
      <c r="C282" s="162"/>
      <c r="D282" s="168"/>
      <c r="E282" s="162"/>
      <c r="F282" s="167"/>
      <c r="G282" s="167"/>
      <c r="H282" s="167"/>
      <c r="I282" s="167"/>
      <c r="J282" s="167"/>
      <c r="K282" s="167"/>
      <c r="L282" s="167"/>
      <c r="M282" s="167"/>
      <c r="N282" s="167"/>
      <c r="O282" s="167"/>
      <c r="Q282" s="163"/>
    </row>
    <row r="283" spans="2:17" ht="13.2">
      <c r="B283" s="167"/>
      <c r="C283" s="162"/>
      <c r="D283" s="168"/>
      <c r="E283" s="162"/>
      <c r="F283" s="167"/>
      <c r="G283" s="167"/>
      <c r="H283" s="167"/>
      <c r="I283" s="167"/>
      <c r="J283" s="167"/>
      <c r="K283" s="167"/>
      <c r="L283" s="167"/>
      <c r="M283" s="167"/>
      <c r="N283" s="167"/>
      <c r="O283" s="167"/>
      <c r="Q283" s="163"/>
    </row>
    <row r="284" spans="2:17" ht="13.2">
      <c r="B284" s="167"/>
      <c r="C284" s="162"/>
      <c r="D284" s="168"/>
      <c r="E284" s="162"/>
      <c r="F284" s="167"/>
      <c r="G284" s="167"/>
      <c r="H284" s="167"/>
      <c r="I284" s="167"/>
      <c r="J284" s="167"/>
      <c r="K284" s="167"/>
      <c r="L284" s="167"/>
      <c r="M284" s="167"/>
      <c r="N284" s="167"/>
      <c r="O284" s="167"/>
      <c r="Q284" s="163"/>
    </row>
    <row r="285" spans="2:17" ht="13.2">
      <c r="B285" s="167"/>
      <c r="C285" s="162"/>
      <c r="D285" s="168"/>
      <c r="E285" s="162"/>
      <c r="F285" s="167"/>
      <c r="G285" s="167"/>
      <c r="H285" s="167"/>
      <c r="I285" s="167"/>
      <c r="J285" s="167"/>
      <c r="K285" s="167"/>
      <c r="L285" s="167"/>
      <c r="M285" s="167"/>
      <c r="N285" s="167"/>
      <c r="O285" s="167"/>
      <c r="Q285" s="163"/>
    </row>
    <row r="286" spans="2:17" ht="13.2">
      <c r="B286" s="167"/>
      <c r="C286" s="162"/>
      <c r="D286" s="168"/>
      <c r="E286" s="162"/>
      <c r="F286" s="167"/>
      <c r="G286" s="167"/>
      <c r="H286" s="167"/>
      <c r="I286" s="167"/>
      <c r="J286" s="167"/>
      <c r="K286" s="167"/>
      <c r="L286" s="167"/>
      <c r="M286" s="167"/>
      <c r="N286" s="167"/>
      <c r="O286" s="167"/>
      <c r="Q286" s="163"/>
    </row>
    <row r="287" spans="2:17" ht="13.2">
      <c r="B287" s="167"/>
      <c r="C287" s="162"/>
      <c r="D287" s="168"/>
      <c r="E287" s="162"/>
      <c r="F287" s="167"/>
      <c r="G287" s="167"/>
      <c r="H287" s="167"/>
      <c r="I287" s="167"/>
      <c r="J287" s="167"/>
      <c r="K287" s="167"/>
      <c r="L287" s="167"/>
      <c r="M287" s="167"/>
      <c r="N287" s="167"/>
      <c r="O287" s="167"/>
      <c r="Q287" s="163"/>
    </row>
    <row r="288" spans="2:17" ht="13.2">
      <c r="B288" s="167"/>
      <c r="C288" s="162"/>
      <c r="D288" s="168"/>
      <c r="E288" s="162"/>
      <c r="F288" s="167"/>
      <c r="G288" s="167"/>
      <c r="H288" s="167"/>
      <c r="I288" s="167"/>
      <c r="J288" s="167"/>
      <c r="K288" s="167"/>
      <c r="L288" s="167"/>
      <c r="M288" s="167"/>
      <c r="N288" s="167"/>
      <c r="O288" s="167"/>
      <c r="Q288" s="163"/>
    </row>
    <row r="289" spans="2:17" ht="13.2">
      <c r="B289" s="167"/>
      <c r="C289" s="162"/>
      <c r="D289" s="168"/>
      <c r="E289" s="162"/>
      <c r="F289" s="167"/>
      <c r="G289" s="167"/>
      <c r="H289" s="167"/>
      <c r="I289" s="167"/>
      <c r="J289" s="167"/>
      <c r="K289" s="167"/>
      <c r="L289" s="167"/>
      <c r="M289" s="167"/>
      <c r="N289" s="167"/>
      <c r="O289" s="167"/>
      <c r="Q289" s="163"/>
    </row>
    <row r="290" spans="2:17" ht="13.2">
      <c r="B290" s="167"/>
      <c r="C290" s="162"/>
      <c r="D290" s="168"/>
      <c r="E290" s="162"/>
      <c r="F290" s="167"/>
      <c r="G290" s="167"/>
      <c r="H290" s="167"/>
      <c r="I290" s="167"/>
      <c r="J290" s="167"/>
      <c r="K290" s="167"/>
      <c r="L290" s="167"/>
      <c r="M290" s="167"/>
      <c r="N290" s="167"/>
      <c r="O290" s="167"/>
      <c r="Q290" s="163"/>
    </row>
    <row r="291" spans="2:17" ht="13.2">
      <c r="B291" s="167"/>
      <c r="C291" s="162"/>
      <c r="D291" s="168"/>
      <c r="E291" s="162"/>
      <c r="F291" s="167"/>
      <c r="G291" s="167"/>
      <c r="H291" s="167"/>
      <c r="I291" s="167"/>
      <c r="J291" s="167"/>
      <c r="K291" s="167"/>
      <c r="L291" s="167"/>
      <c r="M291" s="167"/>
      <c r="N291" s="167"/>
      <c r="O291" s="167"/>
      <c r="Q291" s="163"/>
    </row>
    <row r="292" spans="2:17" ht="13.2">
      <c r="B292" s="167"/>
      <c r="C292" s="162"/>
      <c r="D292" s="168"/>
      <c r="E292" s="162"/>
      <c r="F292" s="167"/>
      <c r="G292" s="167"/>
      <c r="H292" s="167"/>
      <c r="I292" s="167"/>
      <c r="J292" s="167"/>
      <c r="K292" s="167"/>
      <c r="L292" s="167"/>
      <c r="M292" s="167"/>
      <c r="N292" s="167"/>
      <c r="O292" s="167"/>
      <c r="Q292" s="163"/>
    </row>
    <row r="293" spans="2:17" ht="13.2">
      <c r="B293" s="167"/>
      <c r="C293" s="162"/>
      <c r="D293" s="168"/>
      <c r="E293" s="162"/>
      <c r="F293" s="167"/>
      <c r="G293" s="167"/>
      <c r="H293" s="167"/>
      <c r="I293" s="167"/>
      <c r="J293" s="167"/>
      <c r="K293" s="167"/>
      <c r="L293" s="167"/>
      <c r="M293" s="167"/>
      <c r="N293" s="167"/>
      <c r="O293" s="167"/>
      <c r="Q293" s="163"/>
    </row>
    <row r="294" spans="2:17" ht="13.2">
      <c r="B294" s="167"/>
      <c r="C294" s="162"/>
      <c r="D294" s="168"/>
      <c r="E294" s="162"/>
      <c r="F294" s="167"/>
      <c r="G294" s="167"/>
      <c r="H294" s="167"/>
      <c r="I294" s="167"/>
      <c r="J294" s="167"/>
      <c r="K294" s="167"/>
      <c r="L294" s="167"/>
      <c r="M294" s="167"/>
      <c r="N294" s="167"/>
      <c r="O294" s="167"/>
      <c r="Q294" s="163"/>
    </row>
    <row r="295" spans="2:17" ht="13.2">
      <c r="B295" s="167"/>
      <c r="C295" s="162"/>
      <c r="D295" s="168"/>
      <c r="E295" s="162"/>
      <c r="F295" s="167"/>
      <c r="G295" s="167"/>
      <c r="H295" s="167"/>
      <c r="I295" s="167"/>
      <c r="J295" s="167"/>
      <c r="K295" s="167"/>
      <c r="L295" s="167"/>
      <c r="M295" s="167"/>
      <c r="N295" s="167"/>
      <c r="O295" s="167"/>
      <c r="Q295" s="163"/>
    </row>
    <row r="296" spans="2:17" ht="13.2">
      <c r="B296" s="167"/>
      <c r="C296" s="162"/>
      <c r="D296" s="168"/>
      <c r="E296" s="162"/>
      <c r="F296" s="167"/>
      <c r="G296" s="167"/>
      <c r="H296" s="167"/>
      <c r="I296" s="167"/>
      <c r="J296" s="167"/>
      <c r="K296" s="167"/>
      <c r="L296" s="167"/>
      <c r="M296" s="167"/>
      <c r="N296" s="167"/>
      <c r="O296" s="167"/>
      <c r="Q296" s="163"/>
    </row>
    <row r="297" spans="2:17" ht="13.2">
      <c r="B297" s="167"/>
      <c r="C297" s="162"/>
      <c r="D297" s="168"/>
      <c r="E297" s="162"/>
      <c r="F297" s="167"/>
      <c r="G297" s="167"/>
      <c r="H297" s="167"/>
      <c r="I297" s="167"/>
      <c r="J297" s="167"/>
      <c r="K297" s="167"/>
      <c r="L297" s="167"/>
      <c r="M297" s="167"/>
      <c r="N297" s="167"/>
      <c r="O297" s="167"/>
      <c r="Q297" s="163"/>
    </row>
    <row r="298" spans="2:17" ht="13.2">
      <c r="B298" s="167"/>
      <c r="C298" s="162"/>
      <c r="D298" s="168"/>
      <c r="E298" s="162"/>
      <c r="F298" s="167"/>
      <c r="G298" s="167"/>
      <c r="H298" s="167"/>
      <c r="I298" s="167"/>
      <c r="J298" s="167"/>
      <c r="K298" s="167"/>
      <c r="L298" s="167"/>
      <c r="M298" s="167"/>
      <c r="N298" s="167"/>
      <c r="O298" s="167"/>
      <c r="Q298" s="163"/>
    </row>
    <row r="299" spans="2:17" ht="13.2">
      <c r="B299" s="167"/>
      <c r="C299" s="162"/>
      <c r="D299" s="168"/>
      <c r="E299" s="162"/>
      <c r="F299" s="167"/>
      <c r="G299" s="167"/>
      <c r="H299" s="167"/>
      <c r="I299" s="167"/>
      <c r="J299" s="167"/>
      <c r="K299" s="167"/>
      <c r="L299" s="167"/>
      <c r="M299" s="167"/>
      <c r="N299" s="167"/>
      <c r="O299" s="167"/>
      <c r="Q299" s="163"/>
    </row>
    <row r="300" spans="2:17" ht="13.2">
      <c r="B300" s="167"/>
      <c r="C300" s="162"/>
      <c r="D300" s="168"/>
      <c r="E300" s="162"/>
      <c r="F300" s="167"/>
      <c r="G300" s="167"/>
      <c r="H300" s="167"/>
      <c r="I300" s="167"/>
      <c r="J300" s="167"/>
      <c r="K300" s="167"/>
      <c r="L300" s="167"/>
      <c r="M300" s="167"/>
      <c r="N300" s="167"/>
      <c r="O300" s="167"/>
      <c r="Q300" s="163"/>
    </row>
    <row r="301" spans="2:17" ht="13.2">
      <c r="B301" s="167"/>
      <c r="C301" s="162"/>
      <c r="D301" s="168"/>
      <c r="E301" s="162"/>
      <c r="F301" s="167"/>
      <c r="G301" s="167"/>
      <c r="H301" s="167"/>
      <c r="I301" s="167"/>
      <c r="J301" s="167"/>
      <c r="K301" s="167"/>
      <c r="L301" s="167"/>
      <c r="M301" s="167"/>
      <c r="N301" s="167"/>
      <c r="O301" s="167"/>
      <c r="Q301" s="163"/>
    </row>
    <row r="302" spans="2:17" ht="13.2">
      <c r="B302" s="167"/>
      <c r="C302" s="162"/>
      <c r="D302" s="168"/>
      <c r="E302" s="162"/>
      <c r="F302" s="167"/>
      <c r="G302" s="167"/>
      <c r="H302" s="167"/>
      <c r="I302" s="167"/>
      <c r="J302" s="167"/>
      <c r="K302" s="167"/>
      <c r="L302" s="167"/>
      <c r="M302" s="167"/>
      <c r="N302" s="167"/>
      <c r="O302" s="167"/>
      <c r="Q302" s="163"/>
    </row>
    <row r="303" spans="2:17" ht="13.2">
      <c r="B303" s="167"/>
      <c r="C303" s="162"/>
      <c r="D303" s="168"/>
      <c r="E303" s="162"/>
      <c r="F303" s="167"/>
      <c r="G303" s="167"/>
      <c r="H303" s="167"/>
      <c r="I303" s="167"/>
      <c r="J303" s="167"/>
      <c r="K303" s="167"/>
      <c r="L303" s="167"/>
      <c r="M303" s="167"/>
      <c r="N303" s="167"/>
      <c r="O303" s="167"/>
      <c r="Q303" s="163"/>
    </row>
    <row r="304" spans="2:17" ht="13.2">
      <c r="B304" s="167"/>
      <c r="C304" s="162"/>
      <c r="D304" s="168"/>
      <c r="E304" s="162"/>
      <c r="F304" s="167"/>
      <c r="G304" s="167"/>
      <c r="H304" s="167"/>
      <c r="I304" s="167"/>
      <c r="J304" s="167"/>
      <c r="K304" s="167"/>
      <c r="L304" s="167"/>
      <c r="M304" s="167"/>
      <c r="N304" s="167"/>
      <c r="O304" s="167"/>
      <c r="Q304" s="163"/>
    </row>
    <row r="305" spans="2:17" ht="13.2">
      <c r="B305" s="167"/>
      <c r="C305" s="162"/>
      <c r="D305" s="168"/>
      <c r="E305" s="162"/>
      <c r="F305" s="167"/>
      <c r="G305" s="167"/>
      <c r="H305" s="167"/>
      <c r="I305" s="167"/>
      <c r="J305" s="167"/>
      <c r="K305" s="167"/>
      <c r="L305" s="167"/>
      <c r="M305" s="167"/>
      <c r="N305" s="167"/>
      <c r="O305" s="167"/>
      <c r="Q305" s="163"/>
    </row>
    <row r="306" spans="2:17" ht="13.2">
      <c r="B306" s="167"/>
      <c r="C306" s="162"/>
      <c r="D306" s="168"/>
      <c r="E306" s="162"/>
      <c r="F306" s="167"/>
      <c r="G306" s="167"/>
      <c r="H306" s="167"/>
      <c r="I306" s="167"/>
      <c r="J306" s="167"/>
      <c r="K306" s="167"/>
      <c r="L306" s="167"/>
      <c r="M306" s="167"/>
      <c r="N306" s="167"/>
      <c r="O306" s="167"/>
      <c r="Q306" s="163"/>
    </row>
    <row r="307" spans="2:17" ht="13.2">
      <c r="B307" s="167"/>
      <c r="C307" s="162"/>
      <c r="D307" s="168"/>
      <c r="E307" s="162"/>
      <c r="F307" s="167"/>
      <c r="G307" s="167"/>
      <c r="H307" s="167"/>
      <c r="I307" s="167"/>
      <c r="J307" s="167"/>
      <c r="K307" s="167"/>
      <c r="L307" s="167"/>
      <c r="M307" s="167"/>
      <c r="N307" s="167"/>
      <c r="O307" s="167"/>
      <c r="Q307" s="163"/>
    </row>
    <row r="308" spans="2:17" ht="13.2">
      <c r="B308" s="167"/>
      <c r="C308" s="162"/>
      <c r="D308" s="168"/>
      <c r="E308" s="162"/>
      <c r="F308" s="167"/>
      <c r="G308" s="167"/>
      <c r="H308" s="167"/>
      <c r="I308" s="167"/>
      <c r="J308" s="167"/>
      <c r="K308" s="167"/>
      <c r="L308" s="167"/>
      <c r="M308" s="167"/>
      <c r="N308" s="167"/>
      <c r="O308" s="167"/>
      <c r="Q308" s="163"/>
    </row>
    <row r="309" spans="2:17" ht="13.2">
      <c r="B309" s="167"/>
      <c r="C309" s="162"/>
      <c r="D309" s="168"/>
      <c r="E309" s="162"/>
      <c r="F309" s="167"/>
      <c r="G309" s="167"/>
      <c r="H309" s="167"/>
      <c r="I309" s="167"/>
      <c r="J309" s="167"/>
      <c r="K309" s="167"/>
      <c r="L309" s="167"/>
      <c r="M309" s="167"/>
      <c r="N309" s="167"/>
      <c r="O309" s="167"/>
      <c r="Q309" s="163"/>
    </row>
    <row r="310" spans="2:17" ht="13.2">
      <c r="B310" s="167"/>
      <c r="C310" s="162"/>
      <c r="D310" s="168"/>
      <c r="E310" s="162"/>
      <c r="F310" s="167"/>
      <c r="G310" s="167"/>
      <c r="H310" s="167"/>
      <c r="I310" s="167"/>
      <c r="J310" s="167"/>
      <c r="K310" s="167"/>
      <c r="L310" s="167"/>
      <c r="M310" s="167"/>
      <c r="N310" s="167"/>
      <c r="O310" s="167"/>
      <c r="Q310" s="163"/>
    </row>
    <row r="311" spans="2:17" ht="13.2">
      <c r="B311" s="167"/>
      <c r="C311" s="162"/>
      <c r="D311" s="168"/>
      <c r="E311" s="162"/>
      <c r="F311" s="167"/>
      <c r="G311" s="167"/>
      <c r="H311" s="167"/>
      <c r="I311" s="167"/>
      <c r="J311" s="167"/>
      <c r="K311" s="167"/>
      <c r="L311" s="167"/>
      <c r="M311" s="167"/>
      <c r="N311" s="167"/>
      <c r="O311" s="167"/>
      <c r="Q311" s="163"/>
    </row>
    <row r="312" spans="2:17" ht="13.2">
      <c r="B312" s="167"/>
      <c r="C312" s="162"/>
      <c r="D312" s="168"/>
      <c r="E312" s="162"/>
      <c r="F312" s="167"/>
      <c r="G312" s="167"/>
      <c r="H312" s="167"/>
      <c r="I312" s="167"/>
      <c r="J312" s="167"/>
      <c r="K312" s="167"/>
      <c r="L312" s="167"/>
      <c r="M312" s="167"/>
      <c r="N312" s="167"/>
      <c r="O312" s="167"/>
      <c r="Q312" s="163"/>
    </row>
    <row r="313" spans="2:17" ht="13.2">
      <c r="B313" s="167"/>
      <c r="C313" s="162"/>
      <c r="D313" s="168"/>
      <c r="E313" s="162"/>
      <c r="F313" s="167"/>
      <c r="G313" s="167"/>
      <c r="H313" s="167"/>
      <c r="I313" s="167"/>
      <c r="J313" s="167"/>
      <c r="K313" s="167"/>
      <c r="L313" s="167"/>
      <c r="M313" s="167"/>
      <c r="N313" s="167"/>
      <c r="O313" s="167"/>
      <c r="Q313" s="163"/>
    </row>
    <row r="314" spans="2:17" ht="13.2">
      <c r="B314" s="167"/>
      <c r="C314" s="162"/>
      <c r="D314" s="168"/>
      <c r="E314" s="162"/>
      <c r="F314" s="167"/>
      <c r="G314" s="167"/>
      <c r="H314" s="167"/>
      <c r="I314" s="167"/>
      <c r="J314" s="167"/>
      <c r="K314" s="167"/>
      <c r="L314" s="167"/>
      <c r="M314" s="167"/>
      <c r="N314" s="167"/>
      <c r="O314" s="167"/>
      <c r="Q314" s="163"/>
    </row>
    <row r="315" spans="2:17" ht="13.2">
      <c r="B315" s="167"/>
      <c r="C315" s="162"/>
      <c r="D315" s="168"/>
      <c r="E315" s="162"/>
      <c r="F315" s="167"/>
      <c r="G315" s="167"/>
      <c r="H315" s="167"/>
      <c r="I315" s="167"/>
      <c r="J315" s="167"/>
      <c r="K315" s="167"/>
      <c r="L315" s="167"/>
      <c r="M315" s="167"/>
      <c r="N315" s="167"/>
      <c r="O315" s="167"/>
      <c r="Q315" s="163"/>
    </row>
    <row r="316" spans="2:17" ht="13.2">
      <c r="B316" s="167"/>
      <c r="C316" s="162"/>
      <c r="D316" s="168"/>
      <c r="E316" s="162"/>
      <c r="F316" s="167"/>
      <c r="G316" s="167"/>
      <c r="H316" s="167"/>
      <c r="I316" s="167"/>
      <c r="J316" s="167"/>
      <c r="K316" s="167"/>
      <c r="L316" s="167"/>
      <c r="M316" s="167"/>
      <c r="N316" s="167"/>
      <c r="O316" s="167"/>
      <c r="Q316" s="163"/>
    </row>
    <row r="317" spans="2:17" ht="13.2">
      <c r="B317" s="167"/>
      <c r="C317" s="162"/>
      <c r="D317" s="168"/>
      <c r="E317" s="162"/>
      <c r="F317" s="167"/>
      <c r="G317" s="167"/>
      <c r="H317" s="167"/>
      <c r="I317" s="167"/>
      <c r="J317" s="167"/>
      <c r="K317" s="167"/>
      <c r="L317" s="167"/>
      <c r="M317" s="167"/>
      <c r="N317" s="167"/>
      <c r="O317" s="167"/>
      <c r="Q317" s="163"/>
    </row>
    <row r="318" spans="2:17" ht="13.2">
      <c r="B318" s="167"/>
      <c r="C318" s="162"/>
      <c r="D318" s="168"/>
      <c r="E318" s="162"/>
      <c r="F318" s="167"/>
      <c r="G318" s="167"/>
      <c r="H318" s="167"/>
      <c r="I318" s="167"/>
      <c r="J318" s="167"/>
      <c r="K318" s="167"/>
      <c r="L318" s="167"/>
      <c r="M318" s="167"/>
      <c r="N318" s="167"/>
      <c r="O318" s="167"/>
      <c r="Q318" s="163"/>
    </row>
    <row r="319" spans="2:17" ht="13.2">
      <c r="B319" s="167"/>
      <c r="C319" s="162"/>
      <c r="D319" s="168"/>
      <c r="E319" s="162"/>
      <c r="F319" s="167"/>
      <c r="G319" s="167"/>
      <c r="H319" s="167"/>
      <c r="I319" s="167"/>
      <c r="J319" s="167"/>
      <c r="K319" s="167"/>
      <c r="L319" s="167"/>
      <c r="M319" s="167"/>
      <c r="N319" s="167"/>
      <c r="O319" s="167"/>
      <c r="Q319" s="163"/>
    </row>
    <row r="320" spans="2:17" ht="13.2">
      <c r="B320" s="167"/>
      <c r="C320" s="162"/>
      <c r="D320" s="168"/>
      <c r="E320" s="162"/>
      <c r="F320" s="167"/>
      <c r="G320" s="167"/>
      <c r="H320" s="167"/>
      <c r="I320" s="167"/>
      <c r="J320" s="167"/>
      <c r="K320" s="167"/>
      <c r="L320" s="167"/>
      <c r="M320" s="167"/>
      <c r="N320" s="167"/>
      <c r="O320" s="167"/>
      <c r="Q320" s="163"/>
    </row>
    <row r="321" spans="2:17" ht="13.2">
      <c r="B321" s="167"/>
      <c r="C321" s="162"/>
      <c r="D321" s="168"/>
      <c r="E321" s="162"/>
      <c r="F321" s="167"/>
      <c r="G321" s="167"/>
      <c r="H321" s="167"/>
      <c r="I321" s="167"/>
      <c r="J321" s="167"/>
      <c r="K321" s="167"/>
      <c r="L321" s="167"/>
      <c r="M321" s="167"/>
      <c r="N321" s="167"/>
      <c r="O321" s="167"/>
      <c r="Q321" s="163"/>
    </row>
    <row r="322" spans="2:17" ht="13.2">
      <c r="B322" s="167"/>
      <c r="C322" s="162"/>
      <c r="D322" s="168"/>
      <c r="E322" s="162"/>
      <c r="F322" s="167"/>
      <c r="G322" s="167"/>
      <c r="H322" s="167"/>
      <c r="I322" s="167"/>
      <c r="J322" s="167"/>
      <c r="K322" s="167"/>
      <c r="L322" s="167"/>
      <c r="M322" s="167"/>
      <c r="N322" s="167"/>
      <c r="O322" s="167"/>
      <c r="Q322" s="163"/>
    </row>
    <row r="323" spans="2:17" ht="13.2">
      <c r="B323" s="167"/>
      <c r="C323" s="162"/>
      <c r="D323" s="168"/>
      <c r="E323" s="162"/>
      <c r="F323" s="167"/>
      <c r="G323" s="167"/>
      <c r="H323" s="167"/>
      <c r="I323" s="167"/>
      <c r="J323" s="167"/>
      <c r="K323" s="167"/>
      <c r="L323" s="167"/>
      <c r="M323" s="167"/>
      <c r="N323" s="167"/>
      <c r="O323" s="167"/>
      <c r="Q323" s="163"/>
    </row>
    <row r="324" spans="2:17" ht="13.2">
      <c r="B324" s="167"/>
      <c r="C324" s="162"/>
      <c r="D324" s="168"/>
      <c r="E324" s="162"/>
      <c r="F324" s="167"/>
      <c r="G324" s="167"/>
      <c r="H324" s="167"/>
      <c r="I324" s="167"/>
      <c r="J324" s="167"/>
      <c r="K324" s="167"/>
      <c r="L324" s="167"/>
      <c r="M324" s="167"/>
      <c r="N324" s="167"/>
      <c r="O324" s="167"/>
      <c r="Q324" s="163"/>
    </row>
    <row r="325" spans="2:17" ht="13.2">
      <c r="B325" s="167"/>
      <c r="C325" s="162"/>
      <c r="D325" s="168"/>
      <c r="E325" s="162"/>
      <c r="F325" s="167"/>
      <c r="G325" s="167"/>
      <c r="H325" s="167"/>
      <c r="I325" s="167"/>
      <c r="J325" s="167"/>
      <c r="K325" s="167"/>
      <c r="L325" s="167"/>
      <c r="M325" s="167"/>
      <c r="N325" s="167"/>
      <c r="O325" s="167"/>
      <c r="Q325" s="163"/>
    </row>
    <row r="326" spans="2:17" ht="13.2">
      <c r="B326" s="167"/>
      <c r="C326" s="162"/>
      <c r="D326" s="168"/>
      <c r="E326" s="162"/>
      <c r="F326" s="167"/>
      <c r="G326" s="167"/>
      <c r="H326" s="167"/>
      <c r="I326" s="167"/>
      <c r="J326" s="167"/>
      <c r="K326" s="167"/>
      <c r="L326" s="167"/>
      <c r="M326" s="167"/>
      <c r="N326" s="167"/>
      <c r="O326" s="167"/>
      <c r="Q326" s="163"/>
    </row>
    <row r="327" spans="2:17" ht="13.2">
      <c r="B327" s="167"/>
      <c r="C327" s="162"/>
      <c r="D327" s="168"/>
      <c r="E327" s="162"/>
      <c r="F327" s="167"/>
      <c r="G327" s="167"/>
      <c r="H327" s="167"/>
      <c r="I327" s="167"/>
      <c r="J327" s="167"/>
      <c r="K327" s="167"/>
      <c r="L327" s="167"/>
      <c r="M327" s="167"/>
      <c r="N327" s="167"/>
      <c r="O327" s="167"/>
      <c r="Q327" s="163"/>
    </row>
    <row r="328" spans="2:17" ht="13.2">
      <c r="B328" s="167"/>
      <c r="C328" s="162"/>
      <c r="D328" s="168"/>
      <c r="E328" s="162"/>
      <c r="F328" s="167"/>
      <c r="G328" s="167"/>
      <c r="H328" s="167"/>
      <c r="I328" s="167"/>
      <c r="J328" s="167"/>
      <c r="K328" s="167"/>
      <c r="L328" s="167"/>
      <c r="M328" s="167"/>
      <c r="N328" s="167"/>
      <c r="O328" s="167"/>
      <c r="Q328" s="163"/>
    </row>
    <row r="329" spans="2:17" ht="13.2">
      <c r="B329" s="167"/>
      <c r="C329" s="162"/>
      <c r="D329" s="168"/>
      <c r="E329" s="162"/>
      <c r="F329" s="167"/>
      <c r="G329" s="167"/>
      <c r="H329" s="167"/>
      <c r="I329" s="167"/>
      <c r="J329" s="167"/>
      <c r="K329" s="167"/>
      <c r="L329" s="167"/>
      <c r="M329" s="167"/>
      <c r="N329" s="167"/>
      <c r="O329" s="167"/>
      <c r="Q329" s="163"/>
    </row>
    <row r="330" spans="2:17" ht="13.2">
      <c r="B330" s="167"/>
      <c r="C330" s="162"/>
      <c r="D330" s="168"/>
      <c r="E330" s="162"/>
      <c r="F330" s="167"/>
      <c r="G330" s="167"/>
      <c r="H330" s="167"/>
      <c r="I330" s="167"/>
      <c r="J330" s="167"/>
      <c r="K330" s="167"/>
      <c r="L330" s="167"/>
      <c r="M330" s="167"/>
      <c r="N330" s="167"/>
      <c r="O330" s="167"/>
      <c r="Q330" s="163"/>
    </row>
    <row r="331" spans="2:17" ht="13.2">
      <c r="B331" s="167"/>
      <c r="C331" s="162"/>
      <c r="D331" s="168"/>
      <c r="E331" s="162"/>
      <c r="F331" s="167"/>
      <c r="G331" s="167"/>
      <c r="H331" s="167"/>
      <c r="I331" s="167"/>
      <c r="J331" s="167"/>
      <c r="K331" s="167"/>
      <c r="L331" s="167"/>
      <c r="M331" s="167"/>
      <c r="N331" s="167"/>
      <c r="O331" s="167"/>
      <c r="Q331" s="163"/>
    </row>
    <row r="332" spans="2:17" ht="13.2">
      <c r="B332" s="167"/>
      <c r="C332" s="162"/>
      <c r="D332" s="168"/>
      <c r="E332" s="162"/>
      <c r="F332" s="167"/>
      <c r="G332" s="167"/>
      <c r="H332" s="167"/>
      <c r="I332" s="167"/>
      <c r="J332" s="167"/>
      <c r="K332" s="167"/>
      <c r="L332" s="167"/>
      <c r="M332" s="167"/>
      <c r="N332" s="167"/>
      <c r="O332" s="167"/>
      <c r="Q332" s="163"/>
    </row>
    <row r="333" spans="2:17" ht="13.2">
      <c r="B333" s="167"/>
      <c r="C333" s="162"/>
      <c r="D333" s="168"/>
      <c r="E333" s="162"/>
      <c r="F333" s="167"/>
      <c r="G333" s="167"/>
      <c r="H333" s="167"/>
      <c r="I333" s="167"/>
      <c r="J333" s="167"/>
      <c r="K333" s="167"/>
      <c r="L333" s="167"/>
      <c r="M333" s="167"/>
      <c r="N333" s="167"/>
      <c r="O333" s="167"/>
      <c r="Q333" s="163"/>
    </row>
    <row r="334" spans="2:17" ht="13.2">
      <c r="B334" s="167"/>
      <c r="C334" s="162"/>
      <c r="D334" s="168"/>
      <c r="E334" s="162"/>
      <c r="F334" s="167"/>
      <c r="G334" s="167"/>
      <c r="H334" s="167"/>
      <c r="I334" s="167"/>
      <c r="J334" s="167"/>
      <c r="K334" s="167"/>
      <c r="L334" s="167"/>
      <c r="M334" s="167"/>
      <c r="N334" s="167"/>
      <c r="O334" s="167"/>
      <c r="Q334" s="163"/>
    </row>
    <row r="335" spans="2:17" ht="13.2">
      <c r="B335" s="167"/>
      <c r="C335" s="162"/>
      <c r="D335" s="168"/>
      <c r="E335" s="162"/>
      <c r="F335" s="167"/>
      <c r="G335" s="167"/>
      <c r="H335" s="167"/>
      <c r="I335" s="167"/>
      <c r="J335" s="167"/>
      <c r="K335" s="167"/>
      <c r="L335" s="167"/>
      <c r="M335" s="167"/>
      <c r="N335" s="167"/>
      <c r="O335" s="167"/>
      <c r="Q335" s="163"/>
    </row>
    <row r="336" spans="2:17" ht="13.2">
      <c r="B336" s="167"/>
      <c r="C336" s="162"/>
      <c r="D336" s="168"/>
      <c r="E336" s="162"/>
      <c r="F336" s="167"/>
      <c r="G336" s="167"/>
      <c r="H336" s="167"/>
      <c r="I336" s="167"/>
      <c r="J336" s="167"/>
      <c r="K336" s="167"/>
      <c r="L336" s="167"/>
      <c r="M336" s="167"/>
      <c r="N336" s="167"/>
      <c r="O336" s="167"/>
      <c r="Q336" s="163"/>
    </row>
    <row r="337" spans="2:17" ht="13.2">
      <c r="B337" s="167"/>
      <c r="C337" s="162"/>
      <c r="D337" s="168"/>
      <c r="E337" s="162"/>
      <c r="F337" s="167"/>
      <c r="G337" s="167"/>
      <c r="H337" s="167"/>
      <c r="I337" s="167"/>
      <c r="J337" s="167"/>
      <c r="K337" s="167"/>
      <c r="L337" s="167"/>
      <c r="M337" s="167"/>
      <c r="N337" s="167"/>
      <c r="O337" s="167"/>
      <c r="Q337" s="163"/>
    </row>
    <row r="338" spans="2:17" ht="13.2">
      <c r="B338" s="167"/>
      <c r="C338" s="162"/>
      <c r="D338" s="168"/>
      <c r="E338" s="162"/>
      <c r="F338" s="167"/>
      <c r="G338" s="167"/>
      <c r="H338" s="167"/>
      <c r="I338" s="167"/>
      <c r="J338" s="167"/>
      <c r="K338" s="167"/>
      <c r="L338" s="167"/>
      <c r="M338" s="167"/>
      <c r="N338" s="167"/>
      <c r="O338" s="167"/>
      <c r="Q338" s="163"/>
    </row>
    <row r="339" spans="2:17" ht="13.2">
      <c r="B339" s="167"/>
      <c r="C339" s="162"/>
      <c r="D339" s="168"/>
      <c r="E339" s="162"/>
      <c r="F339" s="167"/>
      <c r="G339" s="167"/>
      <c r="H339" s="167"/>
      <c r="I339" s="167"/>
      <c r="J339" s="167"/>
      <c r="K339" s="167"/>
      <c r="L339" s="167"/>
      <c r="M339" s="167"/>
      <c r="N339" s="167"/>
      <c r="O339" s="167"/>
      <c r="Q339" s="163"/>
    </row>
    <row r="340" spans="2:17" ht="13.2">
      <c r="B340" s="167"/>
      <c r="C340" s="162"/>
      <c r="D340" s="168"/>
      <c r="E340" s="162"/>
      <c r="F340" s="167"/>
      <c r="G340" s="167"/>
      <c r="H340" s="167"/>
      <c r="I340" s="167"/>
      <c r="J340" s="167"/>
      <c r="K340" s="167"/>
      <c r="L340" s="167"/>
      <c r="M340" s="167"/>
      <c r="N340" s="167"/>
      <c r="O340" s="167"/>
      <c r="Q340" s="163"/>
    </row>
    <row r="341" spans="2:17" ht="13.2">
      <c r="B341" s="167"/>
      <c r="C341" s="162"/>
      <c r="D341" s="168"/>
      <c r="E341" s="162"/>
      <c r="F341" s="167"/>
      <c r="G341" s="167"/>
      <c r="H341" s="167"/>
      <c r="I341" s="167"/>
      <c r="J341" s="167"/>
      <c r="K341" s="167"/>
      <c r="L341" s="167"/>
      <c r="M341" s="167"/>
      <c r="N341" s="167"/>
      <c r="O341" s="167"/>
      <c r="Q341" s="163"/>
    </row>
    <row r="342" spans="2:17" ht="13.2">
      <c r="B342" s="167"/>
      <c r="C342" s="162"/>
      <c r="D342" s="168"/>
      <c r="E342" s="162"/>
      <c r="F342" s="167"/>
      <c r="G342" s="167"/>
      <c r="H342" s="167"/>
      <c r="I342" s="167"/>
      <c r="J342" s="167"/>
      <c r="K342" s="167"/>
      <c r="L342" s="167"/>
      <c r="M342" s="167"/>
      <c r="N342" s="167"/>
      <c r="O342" s="167"/>
      <c r="Q342" s="163"/>
    </row>
    <row r="343" spans="2:17" ht="13.2">
      <c r="B343" s="167"/>
      <c r="C343" s="162"/>
      <c r="D343" s="168"/>
      <c r="E343" s="162"/>
      <c r="F343" s="167"/>
      <c r="G343" s="167"/>
      <c r="H343" s="167"/>
      <c r="I343" s="167"/>
      <c r="J343" s="167"/>
      <c r="K343" s="167"/>
      <c r="L343" s="167"/>
      <c r="M343" s="167"/>
      <c r="N343" s="167"/>
      <c r="O343" s="167"/>
      <c r="Q343" s="163"/>
    </row>
    <row r="344" spans="2:17" ht="13.2">
      <c r="B344" s="167"/>
      <c r="C344" s="162"/>
      <c r="D344" s="168"/>
      <c r="E344" s="162"/>
      <c r="F344" s="167"/>
      <c r="G344" s="167"/>
      <c r="H344" s="167"/>
      <c r="I344" s="167"/>
      <c r="J344" s="167"/>
      <c r="K344" s="167"/>
      <c r="L344" s="167"/>
      <c r="M344" s="167"/>
      <c r="N344" s="167"/>
      <c r="O344" s="167"/>
      <c r="Q344" s="163"/>
    </row>
    <row r="345" spans="2:17" ht="13.2">
      <c r="B345" s="167"/>
      <c r="C345" s="162"/>
      <c r="D345" s="168"/>
      <c r="E345" s="162"/>
      <c r="F345" s="167"/>
      <c r="G345" s="167"/>
      <c r="H345" s="167"/>
      <c r="I345" s="167"/>
      <c r="J345" s="167"/>
      <c r="K345" s="167"/>
      <c r="L345" s="167"/>
      <c r="M345" s="167"/>
      <c r="N345" s="167"/>
      <c r="O345" s="167"/>
      <c r="Q345" s="163"/>
    </row>
    <row r="346" spans="2:17" ht="13.2">
      <c r="B346" s="167"/>
      <c r="C346" s="162"/>
      <c r="D346" s="168"/>
      <c r="E346" s="162"/>
      <c r="F346" s="167"/>
      <c r="G346" s="167"/>
      <c r="H346" s="167"/>
      <c r="I346" s="167"/>
      <c r="J346" s="167"/>
      <c r="K346" s="167"/>
      <c r="L346" s="167"/>
      <c r="M346" s="167"/>
      <c r="N346" s="167"/>
      <c r="O346" s="167"/>
      <c r="Q346" s="163"/>
    </row>
    <row r="347" spans="2:17" ht="13.2">
      <c r="B347" s="167"/>
      <c r="C347" s="162"/>
      <c r="D347" s="168"/>
      <c r="E347" s="162"/>
      <c r="F347" s="167"/>
      <c r="G347" s="167"/>
      <c r="H347" s="167"/>
      <c r="I347" s="167"/>
      <c r="J347" s="167"/>
      <c r="K347" s="167"/>
      <c r="L347" s="167"/>
      <c r="M347" s="167"/>
      <c r="N347" s="167"/>
      <c r="O347" s="167"/>
      <c r="Q347" s="163"/>
    </row>
    <row r="348" spans="2:17" ht="13.2">
      <c r="B348" s="167"/>
      <c r="C348" s="162"/>
      <c r="D348" s="168"/>
      <c r="E348" s="162"/>
      <c r="F348" s="167"/>
      <c r="G348" s="167"/>
      <c r="H348" s="167"/>
      <c r="I348" s="167"/>
      <c r="J348" s="167"/>
      <c r="K348" s="167"/>
      <c r="L348" s="167"/>
      <c r="M348" s="167"/>
      <c r="N348" s="167"/>
      <c r="O348" s="167"/>
      <c r="Q348" s="163"/>
    </row>
    <row r="349" spans="2:17" ht="13.2">
      <c r="B349" s="167"/>
      <c r="C349" s="162"/>
      <c r="D349" s="168"/>
      <c r="E349" s="162"/>
      <c r="F349" s="167"/>
      <c r="G349" s="167"/>
      <c r="H349" s="167"/>
      <c r="I349" s="167"/>
      <c r="J349" s="167"/>
      <c r="K349" s="167"/>
      <c r="L349" s="167"/>
      <c r="M349" s="167"/>
      <c r="N349" s="167"/>
      <c r="O349" s="167"/>
      <c r="Q349" s="163"/>
    </row>
    <row r="350" spans="2:17" ht="13.2">
      <c r="B350" s="167"/>
      <c r="C350" s="162"/>
      <c r="D350" s="168"/>
      <c r="E350" s="162"/>
      <c r="F350" s="167"/>
      <c r="G350" s="167"/>
      <c r="H350" s="167"/>
      <c r="I350" s="167"/>
      <c r="J350" s="167"/>
      <c r="K350" s="167"/>
      <c r="L350" s="167"/>
      <c r="M350" s="167"/>
      <c r="N350" s="167"/>
      <c r="O350" s="167"/>
      <c r="Q350" s="163"/>
    </row>
    <row r="351" spans="2:17" ht="13.2">
      <c r="B351" s="167"/>
      <c r="C351" s="162"/>
      <c r="D351" s="168"/>
      <c r="E351" s="162"/>
      <c r="F351" s="167"/>
      <c r="G351" s="167"/>
      <c r="H351" s="167"/>
      <c r="I351" s="167"/>
      <c r="J351" s="167"/>
      <c r="K351" s="167"/>
      <c r="L351" s="167"/>
      <c r="M351" s="167"/>
      <c r="N351" s="167"/>
      <c r="O351" s="167"/>
      <c r="Q351" s="163"/>
    </row>
    <row r="352" spans="2:17" ht="13.2">
      <c r="B352" s="167"/>
      <c r="C352" s="162"/>
      <c r="D352" s="168"/>
      <c r="E352" s="162"/>
      <c r="F352" s="167"/>
      <c r="G352" s="167"/>
      <c r="H352" s="167"/>
      <c r="I352" s="167"/>
      <c r="J352" s="167"/>
      <c r="K352" s="167"/>
      <c r="L352" s="167"/>
      <c r="M352" s="167"/>
      <c r="N352" s="167"/>
      <c r="O352" s="167"/>
      <c r="Q352" s="163"/>
    </row>
    <row r="353" spans="2:17" ht="13.2">
      <c r="B353" s="167"/>
      <c r="C353" s="162"/>
      <c r="D353" s="168"/>
      <c r="E353" s="162"/>
      <c r="F353" s="167"/>
      <c r="G353" s="167"/>
      <c r="H353" s="167"/>
      <c r="I353" s="167"/>
      <c r="J353" s="167"/>
      <c r="K353" s="167"/>
      <c r="L353" s="167"/>
      <c r="M353" s="167"/>
      <c r="N353" s="167"/>
      <c r="O353" s="167"/>
      <c r="Q353" s="163"/>
    </row>
    <row r="354" spans="2:17" ht="13.2">
      <c r="B354" s="167"/>
      <c r="C354" s="162"/>
      <c r="D354" s="168"/>
      <c r="E354" s="162"/>
      <c r="F354" s="167"/>
      <c r="G354" s="167"/>
      <c r="H354" s="167"/>
      <c r="I354" s="167"/>
      <c r="J354" s="167"/>
      <c r="K354" s="167"/>
      <c r="L354" s="167"/>
      <c r="M354" s="167"/>
      <c r="N354" s="167"/>
      <c r="O354" s="167"/>
      <c r="Q354" s="163"/>
    </row>
    <row r="355" spans="2:17" ht="13.2">
      <c r="B355" s="167"/>
      <c r="C355" s="162"/>
      <c r="D355" s="168"/>
      <c r="E355" s="162"/>
      <c r="F355" s="167"/>
      <c r="G355" s="167"/>
      <c r="H355" s="167"/>
      <c r="I355" s="167"/>
      <c r="J355" s="167"/>
      <c r="K355" s="167"/>
      <c r="L355" s="167"/>
      <c r="M355" s="167"/>
      <c r="N355" s="167"/>
      <c r="O355" s="167"/>
      <c r="Q355" s="163"/>
    </row>
    <row r="356" spans="2:17" ht="13.2">
      <c r="B356" s="167"/>
      <c r="C356" s="162"/>
      <c r="D356" s="168"/>
      <c r="E356" s="162"/>
      <c r="F356" s="167"/>
      <c r="G356" s="167"/>
      <c r="H356" s="167"/>
      <c r="I356" s="167"/>
      <c r="J356" s="167"/>
      <c r="K356" s="167"/>
      <c r="L356" s="167"/>
      <c r="M356" s="167"/>
      <c r="N356" s="167"/>
      <c r="O356" s="167"/>
      <c r="Q356" s="163"/>
    </row>
    <row r="357" spans="2:17" ht="13.2">
      <c r="B357" s="167"/>
      <c r="C357" s="162"/>
      <c r="D357" s="168"/>
      <c r="E357" s="162"/>
      <c r="F357" s="167"/>
      <c r="G357" s="167"/>
      <c r="H357" s="167"/>
      <c r="I357" s="167"/>
      <c r="J357" s="167"/>
      <c r="K357" s="167"/>
      <c r="L357" s="167"/>
      <c r="M357" s="167"/>
      <c r="N357" s="167"/>
      <c r="O357" s="167"/>
      <c r="Q357" s="163"/>
    </row>
    <row r="358" spans="2:17" ht="13.2">
      <c r="B358" s="167"/>
      <c r="C358" s="162"/>
      <c r="D358" s="168"/>
      <c r="E358" s="162"/>
      <c r="F358" s="167"/>
      <c r="G358" s="167"/>
      <c r="H358" s="167"/>
      <c r="I358" s="167"/>
      <c r="J358" s="167"/>
      <c r="K358" s="167"/>
      <c r="L358" s="167"/>
      <c r="M358" s="167"/>
      <c r="N358" s="167"/>
      <c r="O358" s="167"/>
      <c r="Q358" s="163"/>
    </row>
    <row r="359" spans="2:17" ht="13.2">
      <c r="B359" s="167"/>
      <c r="C359" s="162"/>
      <c r="D359" s="168"/>
      <c r="E359" s="162"/>
      <c r="F359" s="167"/>
      <c r="G359" s="167"/>
      <c r="H359" s="167"/>
      <c r="I359" s="167"/>
      <c r="J359" s="167"/>
      <c r="K359" s="167"/>
      <c r="L359" s="167"/>
      <c r="M359" s="167"/>
      <c r="N359" s="167"/>
      <c r="O359" s="167"/>
      <c r="Q359" s="163"/>
    </row>
    <row r="360" spans="2:17" ht="13.2">
      <c r="B360" s="167"/>
      <c r="C360" s="162"/>
      <c r="D360" s="168"/>
      <c r="E360" s="162"/>
      <c r="F360" s="167"/>
      <c r="G360" s="167"/>
      <c r="H360" s="167"/>
      <c r="I360" s="167"/>
      <c r="J360" s="167"/>
      <c r="K360" s="167"/>
      <c r="L360" s="167"/>
      <c r="M360" s="167"/>
      <c r="N360" s="167"/>
      <c r="O360" s="167"/>
      <c r="Q360" s="163"/>
    </row>
    <row r="361" spans="2:17" ht="13.2">
      <c r="B361" s="167"/>
      <c r="C361" s="162"/>
      <c r="D361" s="168"/>
      <c r="E361" s="162"/>
      <c r="F361" s="167"/>
      <c r="G361" s="167"/>
      <c r="H361" s="167"/>
      <c r="I361" s="167"/>
      <c r="J361" s="167"/>
      <c r="K361" s="167"/>
      <c r="L361" s="167"/>
      <c r="M361" s="167"/>
      <c r="N361" s="167"/>
      <c r="O361" s="167"/>
      <c r="Q361" s="163"/>
    </row>
    <row r="362" spans="2:17" ht="13.2">
      <c r="B362" s="167"/>
      <c r="C362" s="162"/>
      <c r="D362" s="168"/>
      <c r="E362" s="162"/>
      <c r="F362" s="167"/>
      <c r="G362" s="167"/>
      <c r="H362" s="167"/>
      <c r="I362" s="167"/>
      <c r="J362" s="167"/>
      <c r="K362" s="167"/>
      <c r="L362" s="167"/>
      <c r="M362" s="167"/>
      <c r="N362" s="167"/>
      <c r="O362" s="167"/>
      <c r="Q362" s="163"/>
    </row>
    <row r="363" spans="2:17" ht="13.2">
      <c r="B363" s="167"/>
      <c r="C363" s="162"/>
      <c r="D363" s="168"/>
      <c r="E363" s="162"/>
      <c r="F363" s="167"/>
      <c r="G363" s="167"/>
      <c r="H363" s="167"/>
      <c r="I363" s="167"/>
      <c r="J363" s="167"/>
      <c r="K363" s="167"/>
      <c r="L363" s="167"/>
      <c r="M363" s="167"/>
      <c r="N363" s="167"/>
      <c r="O363" s="167"/>
      <c r="Q363" s="163"/>
    </row>
    <row r="364" spans="2:17" ht="13.2">
      <c r="B364" s="167"/>
      <c r="C364" s="162"/>
      <c r="D364" s="168"/>
      <c r="E364" s="162"/>
      <c r="F364" s="167"/>
      <c r="G364" s="167"/>
      <c r="H364" s="167"/>
      <c r="I364" s="167"/>
      <c r="J364" s="167"/>
      <c r="K364" s="167"/>
      <c r="L364" s="167"/>
      <c r="M364" s="167"/>
      <c r="N364" s="167"/>
      <c r="O364" s="167"/>
      <c r="Q364" s="163"/>
    </row>
    <row r="365" spans="2:17" ht="13.2">
      <c r="B365" s="167"/>
      <c r="C365" s="162"/>
      <c r="D365" s="168"/>
      <c r="E365" s="162"/>
      <c r="F365" s="167"/>
      <c r="G365" s="167"/>
      <c r="H365" s="167"/>
      <c r="I365" s="167"/>
      <c r="J365" s="167"/>
      <c r="K365" s="167"/>
      <c r="L365" s="167"/>
      <c r="M365" s="167"/>
      <c r="N365" s="167"/>
      <c r="O365" s="167"/>
      <c r="Q365" s="163"/>
    </row>
    <row r="366" spans="2:17" ht="13.2">
      <c r="B366" s="167"/>
      <c r="C366" s="162"/>
      <c r="D366" s="168"/>
      <c r="E366" s="162"/>
      <c r="F366" s="167"/>
      <c r="G366" s="167"/>
      <c r="H366" s="167"/>
      <c r="I366" s="167"/>
      <c r="J366" s="167"/>
      <c r="K366" s="167"/>
      <c r="L366" s="167"/>
      <c r="M366" s="167"/>
      <c r="N366" s="167"/>
      <c r="O366" s="167"/>
      <c r="Q366" s="163"/>
    </row>
    <row r="367" spans="2:17" ht="13.2">
      <c r="B367" s="167"/>
      <c r="C367" s="162"/>
      <c r="D367" s="168"/>
      <c r="E367" s="162"/>
      <c r="F367" s="167"/>
      <c r="G367" s="167"/>
      <c r="H367" s="167"/>
      <c r="I367" s="167"/>
      <c r="J367" s="167"/>
      <c r="K367" s="167"/>
      <c r="L367" s="167"/>
      <c r="M367" s="167"/>
      <c r="N367" s="167"/>
      <c r="O367" s="167"/>
      <c r="Q367" s="163"/>
    </row>
    <row r="368" spans="2:17" ht="13.2">
      <c r="B368" s="167"/>
      <c r="C368" s="162"/>
      <c r="D368" s="168"/>
      <c r="E368" s="162"/>
      <c r="F368" s="167"/>
      <c r="G368" s="167"/>
      <c r="H368" s="167"/>
      <c r="I368" s="167"/>
      <c r="J368" s="167"/>
      <c r="K368" s="167"/>
      <c r="L368" s="167"/>
      <c r="M368" s="167"/>
      <c r="N368" s="167"/>
      <c r="O368" s="167"/>
      <c r="Q368" s="163"/>
    </row>
    <row r="369" spans="2:17" ht="13.2">
      <c r="B369" s="167"/>
      <c r="C369" s="162"/>
      <c r="D369" s="168"/>
      <c r="E369" s="162"/>
      <c r="F369" s="167"/>
      <c r="G369" s="167"/>
      <c r="H369" s="167"/>
      <c r="I369" s="167"/>
      <c r="J369" s="167"/>
      <c r="K369" s="167"/>
      <c r="L369" s="167"/>
      <c r="M369" s="167"/>
      <c r="N369" s="167"/>
      <c r="O369" s="167"/>
      <c r="Q369" s="163"/>
    </row>
    <row r="370" spans="2:17" ht="13.2">
      <c r="B370" s="167"/>
      <c r="C370" s="162"/>
      <c r="D370" s="168"/>
      <c r="E370" s="162"/>
      <c r="F370" s="167"/>
      <c r="G370" s="167"/>
      <c r="H370" s="167"/>
      <c r="I370" s="167"/>
      <c r="J370" s="167"/>
      <c r="K370" s="167"/>
      <c r="L370" s="167"/>
      <c r="M370" s="167"/>
      <c r="N370" s="167"/>
      <c r="O370" s="167"/>
      <c r="Q370" s="163"/>
    </row>
    <row r="371" spans="2:17" ht="13.2">
      <c r="B371" s="167"/>
      <c r="C371" s="162"/>
      <c r="D371" s="168"/>
      <c r="E371" s="162"/>
      <c r="F371" s="167"/>
      <c r="G371" s="167"/>
      <c r="H371" s="167"/>
      <c r="I371" s="167"/>
      <c r="J371" s="167"/>
      <c r="K371" s="167"/>
      <c r="L371" s="167"/>
      <c r="M371" s="167"/>
      <c r="N371" s="167"/>
      <c r="O371" s="167"/>
      <c r="Q371" s="163"/>
    </row>
    <row r="372" spans="2:17" ht="13.2">
      <c r="B372" s="167"/>
      <c r="C372" s="162"/>
      <c r="D372" s="168"/>
      <c r="E372" s="162"/>
      <c r="F372" s="167"/>
      <c r="G372" s="167"/>
      <c r="H372" s="167"/>
      <c r="I372" s="167"/>
      <c r="J372" s="167"/>
      <c r="K372" s="167"/>
      <c r="L372" s="167"/>
      <c r="M372" s="167"/>
      <c r="N372" s="167"/>
      <c r="O372" s="167"/>
      <c r="Q372" s="163"/>
    </row>
    <row r="373" spans="2:17" ht="13.2">
      <c r="B373" s="167"/>
      <c r="C373" s="162"/>
      <c r="D373" s="168"/>
      <c r="E373" s="162"/>
      <c r="F373" s="167"/>
      <c r="G373" s="167"/>
      <c r="H373" s="167"/>
      <c r="I373" s="167"/>
      <c r="J373" s="167"/>
      <c r="K373" s="167"/>
      <c r="L373" s="167"/>
      <c r="M373" s="167"/>
      <c r="N373" s="167"/>
      <c r="O373" s="167"/>
      <c r="Q373" s="163"/>
    </row>
    <row r="374" spans="2:17" ht="13.2">
      <c r="B374" s="167"/>
      <c r="C374" s="162"/>
      <c r="D374" s="168"/>
      <c r="E374" s="162"/>
      <c r="F374" s="167"/>
      <c r="G374" s="167"/>
      <c r="H374" s="167"/>
      <c r="I374" s="167"/>
      <c r="J374" s="167"/>
      <c r="K374" s="167"/>
      <c r="L374" s="167"/>
      <c r="M374" s="167"/>
      <c r="N374" s="167"/>
      <c r="O374" s="167"/>
      <c r="Q374" s="163"/>
    </row>
    <row r="375" spans="2:17" ht="13.2">
      <c r="B375" s="167"/>
      <c r="C375" s="162"/>
      <c r="D375" s="168"/>
      <c r="E375" s="162"/>
      <c r="F375" s="167"/>
      <c r="G375" s="167"/>
      <c r="H375" s="167"/>
      <c r="I375" s="167"/>
      <c r="J375" s="167"/>
      <c r="K375" s="167"/>
      <c r="L375" s="167"/>
      <c r="M375" s="167"/>
      <c r="N375" s="167"/>
      <c r="O375" s="167"/>
      <c r="Q375" s="163"/>
    </row>
    <row r="376" spans="2:17" ht="13.2">
      <c r="B376" s="167"/>
      <c r="C376" s="162"/>
      <c r="D376" s="168"/>
      <c r="E376" s="162"/>
      <c r="F376" s="167"/>
      <c r="G376" s="167"/>
      <c r="H376" s="167"/>
      <c r="I376" s="167"/>
      <c r="J376" s="167"/>
      <c r="K376" s="167"/>
      <c r="L376" s="167"/>
      <c r="M376" s="167"/>
      <c r="N376" s="167"/>
      <c r="O376" s="167"/>
      <c r="Q376" s="163"/>
    </row>
    <row r="377" spans="2:17" ht="13.2">
      <c r="B377" s="167"/>
      <c r="C377" s="162"/>
      <c r="D377" s="168"/>
      <c r="E377" s="162"/>
      <c r="F377" s="167"/>
      <c r="G377" s="167"/>
      <c r="H377" s="167"/>
      <c r="I377" s="167"/>
      <c r="J377" s="167"/>
      <c r="K377" s="167"/>
      <c r="L377" s="167"/>
      <c r="M377" s="167"/>
      <c r="N377" s="167"/>
      <c r="O377" s="167"/>
      <c r="Q377" s="163"/>
    </row>
    <row r="378" spans="2:17" ht="13.2">
      <c r="B378" s="167"/>
      <c r="C378" s="162"/>
      <c r="D378" s="168"/>
      <c r="E378" s="162"/>
      <c r="F378" s="167"/>
      <c r="G378" s="167"/>
      <c r="H378" s="167"/>
      <c r="I378" s="167"/>
      <c r="J378" s="167"/>
      <c r="K378" s="167"/>
      <c r="L378" s="167"/>
      <c r="M378" s="167"/>
      <c r="N378" s="167"/>
      <c r="O378" s="167"/>
      <c r="Q378" s="163"/>
    </row>
    <row r="379" spans="2:17" ht="13.2">
      <c r="B379" s="167"/>
      <c r="C379" s="162"/>
      <c r="D379" s="168"/>
      <c r="E379" s="162"/>
      <c r="F379" s="167"/>
      <c r="G379" s="167"/>
      <c r="H379" s="167"/>
      <c r="I379" s="167"/>
      <c r="J379" s="167"/>
      <c r="K379" s="167"/>
      <c r="L379" s="167"/>
      <c r="M379" s="167"/>
      <c r="N379" s="167"/>
      <c r="O379" s="167"/>
      <c r="Q379" s="163"/>
    </row>
    <row r="380" spans="2:17" ht="13.2">
      <c r="B380" s="167"/>
      <c r="C380" s="162"/>
      <c r="D380" s="168"/>
      <c r="E380" s="162"/>
      <c r="F380" s="167"/>
      <c r="G380" s="167"/>
      <c r="H380" s="167"/>
      <c r="I380" s="167"/>
      <c r="J380" s="167"/>
      <c r="K380" s="167"/>
      <c r="L380" s="167"/>
      <c r="M380" s="167"/>
      <c r="N380" s="167"/>
      <c r="O380" s="167"/>
      <c r="Q380" s="163"/>
    </row>
    <row r="381" spans="2:17" ht="13.2">
      <c r="B381" s="167"/>
      <c r="C381" s="162"/>
      <c r="D381" s="168"/>
      <c r="E381" s="162"/>
      <c r="F381" s="167"/>
      <c r="G381" s="167"/>
      <c r="H381" s="167"/>
      <c r="I381" s="167"/>
      <c r="J381" s="167"/>
      <c r="K381" s="167"/>
      <c r="L381" s="167"/>
      <c r="M381" s="167"/>
      <c r="N381" s="167"/>
      <c r="O381" s="167"/>
      <c r="Q381" s="163"/>
    </row>
    <row r="382" spans="2:17" ht="13.2">
      <c r="B382" s="167"/>
      <c r="C382" s="162"/>
      <c r="D382" s="168"/>
      <c r="E382" s="162"/>
      <c r="F382" s="167"/>
      <c r="G382" s="167"/>
      <c r="H382" s="167"/>
      <c r="I382" s="167"/>
      <c r="J382" s="167"/>
      <c r="K382" s="167"/>
      <c r="L382" s="167"/>
      <c r="M382" s="167"/>
      <c r="N382" s="167"/>
      <c r="O382" s="167"/>
      <c r="Q382" s="163"/>
    </row>
    <row r="383" spans="2:17" ht="13.2">
      <c r="B383" s="167"/>
      <c r="C383" s="162"/>
      <c r="D383" s="168"/>
      <c r="E383" s="162"/>
      <c r="F383" s="167"/>
      <c r="G383" s="167"/>
      <c r="H383" s="167"/>
      <c r="I383" s="167"/>
      <c r="J383" s="167"/>
      <c r="K383" s="167"/>
      <c r="L383" s="167"/>
      <c r="M383" s="167"/>
      <c r="N383" s="167"/>
      <c r="O383" s="167"/>
      <c r="Q383" s="163"/>
    </row>
    <row r="384" spans="2:17" ht="13.2">
      <c r="B384" s="167"/>
      <c r="C384" s="162"/>
      <c r="D384" s="168"/>
      <c r="E384" s="162"/>
      <c r="F384" s="167"/>
      <c r="G384" s="167"/>
      <c r="H384" s="167"/>
      <c r="I384" s="167"/>
      <c r="J384" s="167"/>
      <c r="K384" s="167"/>
      <c r="L384" s="167"/>
      <c r="M384" s="167"/>
      <c r="N384" s="167"/>
      <c r="O384" s="167"/>
      <c r="Q384" s="163"/>
    </row>
    <row r="385" spans="2:17" ht="13.2">
      <c r="B385" s="167"/>
      <c r="C385" s="162"/>
      <c r="D385" s="168"/>
      <c r="E385" s="162"/>
      <c r="F385" s="167"/>
      <c r="G385" s="167"/>
      <c r="H385" s="167"/>
      <c r="I385" s="167"/>
      <c r="J385" s="167"/>
      <c r="K385" s="167"/>
      <c r="L385" s="167"/>
      <c r="M385" s="167"/>
      <c r="N385" s="167"/>
      <c r="O385" s="167"/>
      <c r="Q385" s="163"/>
    </row>
    <row r="386" spans="2:17" ht="13.2">
      <c r="B386" s="167"/>
      <c r="C386" s="162"/>
      <c r="D386" s="168"/>
      <c r="E386" s="162"/>
      <c r="F386" s="167"/>
      <c r="G386" s="167"/>
      <c r="H386" s="167"/>
      <c r="I386" s="167"/>
      <c r="J386" s="167"/>
      <c r="K386" s="167"/>
      <c r="L386" s="167"/>
      <c r="M386" s="167"/>
      <c r="N386" s="167"/>
      <c r="O386" s="167"/>
      <c r="Q386" s="163"/>
    </row>
    <row r="387" spans="2:17" ht="13.2">
      <c r="B387" s="167"/>
      <c r="C387" s="162"/>
      <c r="D387" s="168"/>
      <c r="E387" s="162"/>
      <c r="F387" s="167"/>
      <c r="G387" s="167"/>
      <c r="H387" s="167"/>
      <c r="I387" s="167"/>
      <c r="J387" s="167"/>
      <c r="K387" s="167"/>
      <c r="L387" s="167"/>
      <c r="M387" s="167"/>
      <c r="N387" s="167"/>
      <c r="O387" s="167"/>
      <c r="Q387" s="163"/>
    </row>
    <row r="388" spans="2:17" ht="13.2">
      <c r="B388" s="167"/>
      <c r="C388" s="162"/>
      <c r="D388" s="168"/>
      <c r="E388" s="162"/>
      <c r="F388" s="167"/>
      <c r="G388" s="167"/>
      <c r="H388" s="167"/>
      <c r="I388" s="167"/>
      <c r="J388" s="167"/>
      <c r="K388" s="167"/>
      <c r="L388" s="167"/>
      <c r="M388" s="167"/>
      <c r="N388" s="167"/>
      <c r="O388" s="167"/>
      <c r="Q388" s="163"/>
    </row>
    <row r="389" spans="2:17" ht="13.2">
      <c r="B389" s="167"/>
      <c r="C389" s="162"/>
      <c r="D389" s="168"/>
      <c r="E389" s="162"/>
      <c r="F389" s="167"/>
      <c r="G389" s="167"/>
      <c r="H389" s="167"/>
      <c r="I389" s="167"/>
      <c r="J389" s="167"/>
      <c r="K389" s="167"/>
      <c r="L389" s="167"/>
      <c r="M389" s="167"/>
      <c r="N389" s="167"/>
      <c r="O389" s="167"/>
      <c r="Q389" s="163"/>
    </row>
    <row r="390" spans="2:17" ht="13.2">
      <c r="B390" s="167"/>
      <c r="C390" s="162"/>
      <c r="D390" s="168"/>
      <c r="E390" s="162"/>
      <c r="F390" s="167"/>
      <c r="G390" s="167"/>
      <c r="H390" s="167"/>
      <c r="I390" s="167"/>
      <c r="J390" s="167"/>
      <c r="K390" s="167"/>
      <c r="L390" s="167"/>
      <c r="M390" s="167"/>
      <c r="N390" s="167"/>
      <c r="O390" s="167"/>
      <c r="Q390" s="163"/>
    </row>
    <row r="391" spans="2:17" ht="13.2">
      <c r="B391" s="167"/>
      <c r="C391" s="162"/>
      <c r="D391" s="168"/>
      <c r="E391" s="162"/>
      <c r="F391" s="167"/>
      <c r="G391" s="167"/>
      <c r="H391" s="167"/>
      <c r="I391" s="167"/>
      <c r="J391" s="167"/>
      <c r="K391" s="167"/>
      <c r="L391" s="167"/>
      <c r="M391" s="167"/>
      <c r="N391" s="167"/>
      <c r="O391" s="167"/>
      <c r="Q391" s="163"/>
    </row>
    <row r="392" spans="2:17" ht="13.2">
      <c r="B392" s="167"/>
      <c r="C392" s="162"/>
      <c r="D392" s="168"/>
      <c r="E392" s="162"/>
      <c r="F392" s="167"/>
      <c r="G392" s="167"/>
      <c r="H392" s="167"/>
      <c r="I392" s="167"/>
      <c r="J392" s="167"/>
      <c r="K392" s="167"/>
      <c r="L392" s="167"/>
      <c r="M392" s="167"/>
      <c r="N392" s="167"/>
      <c r="O392" s="167"/>
      <c r="Q392" s="163"/>
    </row>
    <row r="393" spans="2:17" ht="13.2">
      <c r="B393" s="167"/>
      <c r="C393" s="162"/>
      <c r="D393" s="168"/>
      <c r="E393" s="162"/>
      <c r="F393" s="167"/>
      <c r="G393" s="167"/>
      <c r="H393" s="167"/>
      <c r="I393" s="167"/>
      <c r="J393" s="167"/>
      <c r="K393" s="167"/>
      <c r="L393" s="167"/>
      <c r="M393" s="167"/>
      <c r="N393" s="167"/>
      <c r="O393" s="167"/>
      <c r="Q393" s="163"/>
    </row>
    <row r="394" spans="2:17" ht="13.2">
      <c r="B394" s="167"/>
      <c r="C394" s="162"/>
      <c r="D394" s="168"/>
      <c r="E394" s="162"/>
      <c r="F394" s="167"/>
      <c r="G394" s="167"/>
      <c r="H394" s="167"/>
      <c r="I394" s="167"/>
      <c r="J394" s="167"/>
      <c r="K394" s="167"/>
      <c r="L394" s="167"/>
      <c r="M394" s="167"/>
      <c r="N394" s="167"/>
      <c r="O394" s="167"/>
      <c r="Q394" s="163"/>
    </row>
    <row r="395" spans="2:17" ht="13.2">
      <c r="B395" s="167"/>
      <c r="C395" s="162"/>
      <c r="D395" s="168"/>
      <c r="E395" s="162"/>
      <c r="F395" s="167"/>
      <c r="G395" s="167"/>
      <c r="H395" s="167"/>
      <c r="I395" s="167"/>
      <c r="J395" s="167"/>
      <c r="K395" s="167"/>
      <c r="L395" s="167"/>
      <c r="M395" s="167"/>
      <c r="N395" s="167"/>
      <c r="O395" s="167"/>
      <c r="Q395" s="163"/>
    </row>
    <row r="396" spans="2:17" ht="13.2">
      <c r="B396" s="167"/>
      <c r="C396" s="162"/>
      <c r="D396" s="168"/>
      <c r="E396" s="162"/>
      <c r="F396" s="167"/>
      <c r="G396" s="167"/>
      <c r="H396" s="167"/>
      <c r="I396" s="167"/>
      <c r="J396" s="167"/>
      <c r="K396" s="167"/>
      <c r="L396" s="167"/>
      <c r="M396" s="167"/>
      <c r="N396" s="167"/>
      <c r="O396" s="167"/>
      <c r="Q396" s="163"/>
    </row>
    <row r="397" spans="2:17" ht="13.2">
      <c r="B397" s="167"/>
      <c r="C397" s="162"/>
      <c r="D397" s="168"/>
      <c r="E397" s="162"/>
      <c r="F397" s="167"/>
      <c r="G397" s="167"/>
      <c r="H397" s="167"/>
      <c r="I397" s="167"/>
      <c r="J397" s="167"/>
      <c r="K397" s="167"/>
      <c r="L397" s="167"/>
      <c r="M397" s="167"/>
      <c r="N397" s="167"/>
      <c r="O397" s="167"/>
      <c r="Q397" s="163"/>
    </row>
    <row r="398" spans="2:17" ht="13.2">
      <c r="B398" s="167"/>
      <c r="C398" s="162"/>
      <c r="D398" s="168"/>
      <c r="E398" s="162"/>
      <c r="F398" s="167"/>
      <c r="G398" s="167"/>
      <c r="H398" s="167"/>
      <c r="I398" s="167"/>
      <c r="J398" s="167"/>
      <c r="K398" s="167"/>
      <c r="L398" s="167"/>
      <c r="M398" s="167"/>
      <c r="N398" s="167"/>
      <c r="O398" s="167"/>
      <c r="Q398" s="163"/>
    </row>
    <row r="399" spans="2:17" ht="13.2">
      <c r="B399" s="167"/>
      <c r="C399" s="162"/>
      <c r="D399" s="168"/>
      <c r="E399" s="162"/>
      <c r="F399" s="167"/>
      <c r="G399" s="167"/>
      <c r="H399" s="167"/>
      <c r="I399" s="167"/>
      <c r="J399" s="167"/>
      <c r="K399" s="167"/>
      <c r="L399" s="167"/>
      <c r="M399" s="167"/>
      <c r="N399" s="167"/>
      <c r="O399" s="167"/>
      <c r="Q399" s="163"/>
    </row>
    <row r="400" spans="2:17" ht="13.2">
      <c r="B400" s="167"/>
      <c r="C400" s="162"/>
      <c r="D400" s="168"/>
      <c r="E400" s="162"/>
      <c r="F400" s="167"/>
      <c r="G400" s="167"/>
      <c r="H400" s="167"/>
      <c r="I400" s="167"/>
      <c r="J400" s="167"/>
      <c r="K400" s="167"/>
      <c r="L400" s="167"/>
      <c r="M400" s="167"/>
      <c r="N400" s="167"/>
      <c r="O400" s="167"/>
      <c r="Q400" s="163"/>
    </row>
    <row r="401" spans="2:17" ht="13.2">
      <c r="B401" s="167"/>
      <c r="C401" s="162"/>
      <c r="D401" s="168"/>
      <c r="E401" s="162"/>
      <c r="F401" s="167"/>
      <c r="G401" s="167"/>
      <c r="H401" s="167"/>
      <c r="I401" s="167"/>
      <c r="J401" s="167"/>
      <c r="K401" s="167"/>
      <c r="L401" s="167"/>
      <c r="M401" s="167"/>
      <c r="N401" s="167"/>
      <c r="O401" s="167"/>
      <c r="Q401" s="163"/>
    </row>
    <row r="402" spans="2:17" ht="13.2">
      <c r="B402" s="167"/>
      <c r="C402" s="162"/>
      <c r="D402" s="168"/>
      <c r="E402" s="162"/>
      <c r="F402" s="167"/>
      <c r="G402" s="167"/>
      <c r="H402" s="167"/>
      <c r="I402" s="167"/>
      <c r="J402" s="167"/>
      <c r="K402" s="167"/>
      <c r="L402" s="167"/>
      <c r="M402" s="167"/>
      <c r="N402" s="167"/>
      <c r="O402" s="167"/>
      <c r="Q402" s="163"/>
    </row>
    <row r="403" spans="2:17" ht="13.2">
      <c r="B403" s="167"/>
      <c r="C403" s="162"/>
      <c r="D403" s="168"/>
      <c r="E403" s="162"/>
      <c r="F403" s="167"/>
      <c r="G403" s="167"/>
      <c r="H403" s="167"/>
      <c r="I403" s="167"/>
      <c r="J403" s="167"/>
      <c r="K403" s="167"/>
      <c r="L403" s="167"/>
      <c r="M403" s="167"/>
      <c r="N403" s="167"/>
      <c r="O403" s="167"/>
      <c r="Q403" s="163"/>
    </row>
    <row r="404" spans="2:17" ht="13.2">
      <c r="B404" s="167"/>
      <c r="C404" s="162"/>
      <c r="D404" s="168"/>
      <c r="E404" s="162"/>
      <c r="F404" s="167"/>
      <c r="G404" s="167"/>
      <c r="H404" s="167"/>
      <c r="I404" s="167"/>
      <c r="J404" s="167"/>
      <c r="K404" s="167"/>
      <c r="L404" s="167"/>
      <c r="M404" s="167"/>
      <c r="N404" s="167"/>
      <c r="O404" s="167"/>
      <c r="Q404" s="163"/>
    </row>
    <row r="405" spans="2:17" ht="13.2">
      <c r="B405" s="167"/>
      <c r="C405" s="162"/>
      <c r="D405" s="168"/>
      <c r="E405" s="162"/>
      <c r="F405" s="167"/>
      <c r="G405" s="167"/>
      <c r="H405" s="167"/>
      <c r="I405" s="167"/>
      <c r="J405" s="167"/>
      <c r="K405" s="167"/>
      <c r="L405" s="167"/>
      <c r="M405" s="167"/>
      <c r="N405" s="167"/>
      <c r="O405" s="167"/>
      <c r="Q405" s="163"/>
    </row>
    <row r="406" spans="2:17" ht="13.2">
      <c r="B406" s="167"/>
      <c r="C406" s="162"/>
      <c r="D406" s="168"/>
      <c r="E406" s="162"/>
      <c r="F406" s="167"/>
      <c r="G406" s="167"/>
      <c r="H406" s="167"/>
      <c r="I406" s="167"/>
      <c r="J406" s="167"/>
      <c r="K406" s="167"/>
      <c r="L406" s="167"/>
      <c r="M406" s="167"/>
      <c r="N406" s="167"/>
      <c r="O406" s="167"/>
      <c r="Q406" s="163"/>
    </row>
    <row r="407" spans="2:17" ht="13.2">
      <c r="B407" s="167"/>
      <c r="C407" s="162"/>
      <c r="D407" s="168"/>
      <c r="E407" s="162"/>
      <c r="F407" s="167"/>
      <c r="G407" s="167"/>
      <c r="H407" s="167"/>
      <c r="I407" s="167"/>
      <c r="J407" s="167"/>
      <c r="K407" s="167"/>
      <c r="L407" s="167"/>
      <c r="M407" s="167"/>
      <c r="N407" s="167"/>
      <c r="O407" s="167"/>
      <c r="Q407" s="163"/>
    </row>
    <row r="408" spans="2:17" ht="13.2">
      <c r="B408" s="167"/>
      <c r="C408" s="162"/>
      <c r="D408" s="168"/>
      <c r="E408" s="162"/>
      <c r="F408" s="167"/>
      <c r="G408" s="167"/>
      <c r="H408" s="167"/>
      <c r="I408" s="167"/>
      <c r="J408" s="167"/>
      <c r="K408" s="167"/>
      <c r="L408" s="167"/>
      <c r="M408" s="167"/>
      <c r="N408" s="167"/>
      <c r="O408" s="167"/>
      <c r="Q408" s="163"/>
    </row>
    <row r="409" spans="2:17" ht="13.2">
      <c r="B409" s="167"/>
      <c r="C409" s="162"/>
      <c r="D409" s="168"/>
      <c r="E409" s="162"/>
      <c r="F409" s="167"/>
      <c r="G409" s="167"/>
      <c r="H409" s="167"/>
      <c r="I409" s="167"/>
      <c r="J409" s="167"/>
      <c r="K409" s="167"/>
      <c r="L409" s="167"/>
      <c r="M409" s="167"/>
      <c r="N409" s="167"/>
      <c r="O409" s="167"/>
      <c r="Q409" s="163"/>
    </row>
    <row r="410" spans="2:17" ht="13.2">
      <c r="B410" s="167"/>
      <c r="C410" s="162"/>
      <c r="D410" s="168"/>
      <c r="E410" s="162"/>
      <c r="F410" s="167"/>
      <c r="G410" s="167"/>
      <c r="H410" s="167"/>
      <c r="I410" s="167"/>
      <c r="J410" s="167"/>
      <c r="K410" s="167"/>
      <c r="L410" s="167"/>
      <c r="M410" s="167"/>
      <c r="N410" s="167"/>
      <c r="O410" s="167"/>
      <c r="Q410" s="163"/>
    </row>
    <row r="411" spans="2:17" ht="13.2">
      <c r="B411" s="167"/>
      <c r="C411" s="162"/>
      <c r="D411" s="168"/>
      <c r="E411" s="162"/>
      <c r="F411" s="167"/>
      <c r="G411" s="167"/>
      <c r="H411" s="167"/>
      <c r="I411" s="167"/>
      <c r="J411" s="167"/>
      <c r="K411" s="167"/>
      <c r="L411" s="167"/>
      <c r="M411" s="167"/>
      <c r="N411" s="167"/>
      <c r="O411" s="167"/>
      <c r="Q411" s="163"/>
    </row>
    <row r="412" spans="2:17" ht="13.2">
      <c r="B412" s="167"/>
      <c r="C412" s="162"/>
      <c r="D412" s="168"/>
      <c r="E412" s="162"/>
      <c r="F412" s="167"/>
      <c r="G412" s="167"/>
      <c r="H412" s="167"/>
      <c r="I412" s="167"/>
      <c r="J412" s="167"/>
      <c r="K412" s="167"/>
      <c r="L412" s="167"/>
      <c r="M412" s="167"/>
      <c r="N412" s="167"/>
      <c r="O412" s="167"/>
      <c r="Q412" s="163"/>
    </row>
    <row r="413" spans="2:17" ht="13.2">
      <c r="B413" s="167"/>
      <c r="C413" s="162"/>
      <c r="D413" s="168"/>
      <c r="E413" s="162"/>
      <c r="F413" s="167"/>
      <c r="G413" s="167"/>
      <c r="H413" s="167"/>
      <c r="I413" s="167"/>
      <c r="J413" s="167"/>
      <c r="K413" s="167"/>
      <c r="L413" s="167"/>
      <c r="M413" s="167"/>
      <c r="N413" s="167"/>
      <c r="O413" s="167"/>
      <c r="Q413" s="163"/>
    </row>
    <row r="414" spans="2:17" ht="13.2">
      <c r="B414" s="167"/>
      <c r="C414" s="162"/>
      <c r="D414" s="168"/>
      <c r="E414" s="162"/>
      <c r="F414" s="167"/>
      <c r="G414" s="167"/>
      <c r="H414" s="167"/>
      <c r="I414" s="167"/>
      <c r="J414" s="167"/>
      <c r="K414" s="167"/>
      <c r="L414" s="167"/>
      <c r="M414" s="167"/>
      <c r="N414" s="167"/>
      <c r="O414" s="167"/>
      <c r="Q414" s="163"/>
    </row>
    <row r="415" spans="2:17" ht="13.2">
      <c r="B415" s="167"/>
      <c r="C415" s="162"/>
      <c r="D415" s="168"/>
      <c r="E415" s="162"/>
      <c r="F415" s="167"/>
      <c r="G415" s="167"/>
      <c r="H415" s="167"/>
      <c r="I415" s="167"/>
      <c r="J415" s="167"/>
      <c r="K415" s="167"/>
      <c r="L415" s="167"/>
      <c r="M415" s="167"/>
      <c r="N415" s="167"/>
      <c r="O415" s="167"/>
      <c r="Q415" s="163"/>
    </row>
    <row r="416" spans="2:17" ht="13.2">
      <c r="B416" s="167"/>
      <c r="C416" s="162"/>
      <c r="D416" s="168"/>
      <c r="E416" s="162"/>
      <c r="F416" s="167"/>
      <c r="G416" s="167"/>
      <c r="H416" s="167"/>
      <c r="I416" s="167"/>
      <c r="J416" s="167"/>
      <c r="K416" s="167"/>
      <c r="L416" s="167"/>
      <c r="M416" s="167"/>
      <c r="N416" s="167"/>
      <c r="O416" s="167"/>
      <c r="Q416" s="163"/>
    </row>
    <row r="417" spans="2:17" ht="13.2">
      <c r="B417" s="167"/>
      <c r="C417" s="162"/>
      <c r="D417" s="168"/>
      <c r="E417" s="162"/>
      <c r="F417" s="167"/>
      <c r="G417" s="167"/>
      <c r="H417" s="167"/>
      <c r="I417" s="167"/>
      <c r="J417" s="167"/>
      <c r="K417" s="167"/>
      <c r="L417" s="167"/>
      <c r="M417" s="167"/>
      <c r="N417" s="167"/>
      <c r="O417" s="167"/>
      <c r="Q417" s="163"/>
    </row>
    <row r="418" spans="2:17" ht="13.2">
      <c r="B418" s="167"/>
      <c r="C418" s="162"/>
      <c r="D418" s="168"/>
      <c r="E418" s="162"/>
      <c r="F418" s="167"/>
      <c r="G418" s="167"/>
      <c r="H418" s="167"/>
      <c r="I418" s="167"/>
      <c r="J418" s="167"/>
      <c r="K418" s="167"/>
      <c r="L418" s="167"/>
      <c r="M418" s="167"/>
      <c r="N418" s="167"/>
      <c r="O418" s="167"/>
      <c r="Q418" s="163"/>
    </row>
    <row r="419" spans="2:17" ht="13.2">
      <c r="B419" s="167"/>
      <c r="C419" s="162"/>
      <c r="D419" s="168"/>
      <c r="E419" s="162"/>
      <c r="F419" s="167"/>
      <c r="G419" s="167"/>
      <c r="H419" s="167"/>
      <c r="I419" s="167"/>
      <c r="J419" s="167"/>
      <c r="K419" s="167"/>
      <c r="L419" s="167"/>
      <c r="M419" s="167"/>
      <c r="N419" s="167"/>
      <c r="O419" s="167"/>
      <c r="Q419" s="163"/>
    </row>
    <row r="420" spans="2:17" ht="13.2">
      <c r="B420" s="167"/>
      <c r="C420" s="162"/>
      <c r="D420" s="168"/>
      <c r="E420" s="162"/>
      <c r="F420" s="167"/>
      <c r="G420" s="167"/>
      <c r="H420" s="167"/>
      <c r="I420" s="167"/>
      <c r="J420" s="167"/>
      <c r="K420" s="167"/>
      <c r="L420" s="167"/>
      <c r="M420" s="167"/>
      <c r="N420" s="167"/>
      <c r="O420" s="167"/>
      <c r="Q420" s="163"/>
    </row>
    <row r="421" spans="2:17" ht="13.2">
      <c r="B421" s="167"/>
      <c r="C421" s="162"/>
      <c r="D421" s="168"/>
      <c r="E421" s="162"/>
      <c r="F421" s="167"/>
      <c r="G421" s="167"/>
      <c r="H421" s="167"/>
      <c r="I421" s="167"/>
      <c r="J421" s="167"/>
      <c r="K421" s="167"/>
      <c r="L421" s="167"/>
      <c r="M421" s="167"/>
      <c r="N421" s="167"/>
      <c r="O421" s="167"/>
      <c r="Q421" s="163"/>
    </row>
    <row r="422" spans="2:17" ht="13.2">
      <c r="B422" s="167"/>
      <c r="C422" s="162"/>
      <c r="D422" s="168"/>
      <c r="E422" s="162"/>
      <c r="F422" s="167"/>
      <c r="G422" s="167"/>
      <c r="H422" s="167"/>
      <c r="I422" s="167"/>
      <c r="J422" s="167"/>
      <c r="K422" s="167"/>
      <c r="L422" s="167"/>
      <c r="M422" s="167"/>
      <c r="N422" s="167"/>
      <c r="O422" s="167"/>
      <c r="Q422" s="163"/>
    </row>
    <row r="423" spans="2:17" ht="13.2">
      <c r="B423" s="167"/>
      <c r="C423" s="162"/>
      <c r="D423" s="168"/>
      <c r="E423" s="162"/>
      <c r="F423" s="167"/>
      <c r="G423" s="167"/>
      <c r="H423" s="167"/>
      <c r="I423" s="167"/>
      <c r="J423" s="167"/>
      <c r="K423" s="167"/>
      <c r="L423" s="167"/>
      <c r="M423" s="167"/>
      <c r="N423" s="167"/>
      <c r="O423" s="167"/>
      <c r="Q423" s="163"/>
    </row>
    <row r="424" spans="2:17" ht="13.2">
      <c r="B424" s="167"/>
      <c r="C424" s="162"/>
      <c r="D424" s="168"/>
      <c r="E424" s="162"/>
      <c r="F424" s="167"/>
      <c r="G424" s="167"/>
      <c r="H424" s="167"/>
      <c r="I424" s="167"/>
      <c r="J424" s="167"/>
      <c r="K424" s="167"/>
      <c r="L424" s="167"/>
      <c r="M424" s="167"/>
      <c r="N424" s="167"/>
      <c r="O424" s="167"/>
      <c r="Q424" s="163"/>
    </row>
    <row r="425" spans="2:17" ht="13.2">
      <c r="B425" s="167"/>
      <c r="C425" s="162"/>
      <c r="D425" s="168"/>
      <c r="E425" s="162"/>
      <c r="F425" s="167"/>
      <c r="G425" s="167"/>
      <c r="H425" s="167"/>
      <c r="I425" s="167"/>
      <c r="J425" s="167"/>
      <c r="K425" s="167"/>
      <c r="L425" s="167"/>
      <c r="M425" s="167"/>
      <c r="N425" s="167"/>
      <c r="O425" s="167"/>
      <c r="Q425" s="163"/>
    </row>
    <row r="426" spans="2:17" ht="13.2">
      <c r="B426" s="167"/>
      <c r="C426" s="162"/>
      <c r="D426" s="168"/>
      <c r="E426" s="162"/>
      <c r="F426" s="167"/>
      <c r="G426" s="167"/>
      <c r="H426" s="167"/>
      <c r="I426" s="167"/>
      <c r="J426" s="167"/>
      <c r="K426" s="167"/>
      <c r="L426" s="167"/>
      <c r="M426" s="167"/>
      <c r="N426" s="167"/>
      <c r="O426" s="167"/>
      <c r="Q426" s="163"/>
    </row>
    <row r="427" spans="2:17" ht="13.2">
      <c r="B427" s="167"/>
      <c r="C427" s="162"/>
      <c r="D427" s="168"/>
      <c r="E427" s="162"/>
      <c r="F427" s="167"/>
      <c r="G427" s="167"/>
      <c r="H427" s="167"/>
      <c r="I427" s="167"/>
      <c r="J427" s="167"/>
      <c r="K427" s="167"/>
      <c r="L427" s="167"/>
      <c r="M427" s="167"/>
      <c r="N427" s="167"/>
      <c r="O427" s="167"/>
      <c r="Q427" s="163"/>
    </row>
    <row r="428" spans="2:17" ht="13.2">
      <c r="B428" s="167"/>
      <c r="C428" s="162"/>
      <c r="D428" s="168"/>
      <c r="E428" s="162"/>
      <c r="F428" s="167"/>
      <c r="G428" s="167"/>
      <c r="H428" s="167"/>
      <c r="I428" s="167"/>
      <c r="J428" s="167"/>
      <c r="K428" s="167"/>
      <c r="L428" s="167"/>
      <c r="M428" s="167"/>
      <c r="N428" s="167"/>
      <c r="O428" s="167"/>
      <c r="Q428" s="163"/>
    </row>
    <row r="429" spans="2:17" ht="13.2">
      <c r="B429" s="167"/>
      <c r="C429" s="162"/>
      <c r="D429" s="168"/>
      <c r="E429" s="162"/>
      <c r="F429" s="167"/>
      <c r="G429" s="167"/>
      <c r="H429" s="167"/>
      <c r="I429" s="167"/>
      <c r="J429" s="167"/>
      <c r="K429" s="167"/>
      <c r="L429" s="167"/>
      <c r="M429" s="167"/>
      <c r="N429" s="167"/>
      <c r="O429" s="167"/>
      <c r="Q429" s="163"/>
    </row>
    <row r="430" spans="2:17" ht="13.2">
      <c r="B430" s="167"/>
      <c r="C430" s="162"/>
      <c r="D430" s="168"/>
      <c r="E430" s="162"/>
      <c r="F430" s="167"/>
      <c r="G430" s="167"/>
      <c r="H430" s="167"/>
      <c r="I430" s="167"/>
      <c r="J430" s="167"/>
      <c r="K430" s="167"/>
      <c r="L430" s="167"/>
      <c r="M430" s="167"/>
      <c r="N430" s="167"/>
      <c r="O430" s="167"/>
      <c r="Q430" s="163"/>
    </row>
    <row r="431" spans="2:17" ht="13.2">
      <c r="B431" s="167"/>
      <c r="C431" s="162"/>
      <c r="D431" s="168"/>
      <c r="E431" s="162"/>
      <c r="F431" s="167"/>
      <c r="G431" s="167"/>
      <c r="H431" s="167"/>
      <c r="I431" s="167"/>
      <c r="J431" s="167"/>
      <c r="K431" s="167"/>
      <c r="L431" s="167"/>
      <c r="M431" s="167"/>
      <c r="N431" s="167"/>
      <c r="O431" s="167"/>
      <c r="Q431" s="163"/>
    </row>
    <row r="432" spans="2:17" ht="13.2">
      <c r="B432" s="167"/>
      <c r="C432" s="162"/>
      <c r="D432" s="168"/>
      <c r="E432" s="162"/>
      <c r="F432" s="167"/>
      <c r="G432" s="167"/>
      <c r="H432" s="167"/>
      <c r="I432" s="167"/>
      <c r="J432" s="167"/>
      <c r="K432" s="167"/>
      <c r="L432" s="167"/>
      <c r="M432" s="167"/>
      <c r="N432" s="167"/>
      <c r="O432" s="167"/>
      <c r="Q432" s="163"/>
    </row>
    <row r="433" spans="2:17" ht="13.2">
      <c r="B433" s="167"/>
      <c r="C433" s="162"/>
      <c r="D433" s="168"/>
      <c r="E433" s="162"/>
      <c r="F433" s="167"/>
      <c r="G433" s="167"/>
      <c r="H433" s="167"/>
      <c r="I433" s="167"/>
      <c r="J433" s="167"/>
      <c r="K433" s="167"/>
      <c r="L433" s="167"/>
      <c r="M433" s="167"/>
      <c r="N433" s="167"/>
      <c r="O433" s="167"/>
      <c r="Q433" s="163"/>
    </row>
    <row r="434" spans="2:17" ht="13.2">
      <c r="B434" s="167"/>
      <c r="C434" s="162"/>
      <c r="D434" s="168"/>
      <c r="E434" s="162"/>
      <c r="F434" s="167"/>
      <c r="G434" s="167"/>
      <c r="H434" s="167"/>
      <c r="I434" s="167"/>
      <c r="J434" s="167"/>
      <c r="K434" s="167"/>
      <c r="L434" s="167"/>
      <c r="M434" s="167"/>
      <c r="N434" s="167"/>
      <c r="O434" s="167"/>
      <c r="Q434" s="163"/>
    </row>
    <row r="435" spans="2:17" ht="13.2">
      <c r="B435" s="167"/>
      <c r="C435" s="162"/>
      <c r="D435" s="168"/>
      <c r="E435" s="162"/>
      <c r="F435" s="167"/>
      <c r="G435" s="167"/>
      <c r="H435" s="167"/>
      <c r="I435" s="167"/>
      <c r="J435" s="167"/>
      <c r="K435" s="167"/>
      <c r="L435" s="167"/>
      <c r="M435" s="167"/>
      <c r="N435" s="167"/>
      <c r="O435" s="167"/>
      <c r="Q435" s="163"/>
    </row>
    <row r="436" spans="2:17" ht="13.2">
      <c r="B436" s="167"/>
      <c r="C436" s="162"/>
      <c r="D436" s="168"/>
      <c r="E436" s="162"/>
      <c r="F436" s="167"/>
      <c r="G436" s="167"/>
      <c r="H436" s="167"/>
      <c r="I436" s="167"/>
      <c r="J436" s="167"/>
      <c r="K436" s="167"/>
      <c r="L436" s="167"/>
      <c r="M436" s="167"/>
      <c r="N436" s="167"/>
      <c r="O436" s="167"/>
      <c r="Q436" s="163"/>
    </row>
    <row r="437" spans="2:17" ht="13.2">
      <c r="B437" s="167"/>
      <c r="C437" s="162"/>
      <c r="D437" s="168"/>
      <c r="E437" s="162"/>
      <c r="F437" s="167"/>
      <c r="G437" s="167"/>
      <c r="H437" s="167"/>
      <c r="I437" s="167"/>
      <c r="J437" s="167"/>
      <c r="K437" s="167"/>
      <c r="L437" s="167"/>
      <c r="M437" s="167"/>
      <c r="N437" s="167"/>
      <c r="O437" s="167"/>
      <c r="Q437" s="163"/>
    </row>
    <row r="438" spans="2:17" ht="13.2">
      <c r="B438" s="167"/>
      <c r="C438" s="162"/>
      <c r="D438" s="168"/>
      <c r="E438" s="162"/>
      <c r="F438" s="167"/>
      <c r="G438" s="167"/>
      <c r="H438" s="167"/>
      <c r="I438" s="167"/>
      <c r="J438" s="167"/>
      <c r="K438" s="167"/>
      <c r="L438" s="167"/>
      <c r="M438" s="167"/>
      <c r="N438" s="167"/>
      <c r="O438" s="167"/>
      <c r="Q438" s="163"/>
    </row>
    <row r="439" spans="2:17" ht="13.2">
      <c r="B439" s="167"/>
      <c r="C439" s="162"/>
      <c r="D439" s="168"/>
      <c r="E439" s="162"/>
      <c r="F439" s="167"/>
      <c r="G439" s="167"/>
      <c r="H439" s="167"/>
      <c r="I439" s="167"/>
      <c r="J439" s="167"/>
      <c r="K439" s="167"/>
      <c r="L439" s="167"/>
      <c r="M439" s="167"/>
      <c r="N439" s="167"/>
      <c r="O439" s="167"/>
      <c r="Q439" s="163"/>
    </row>
    <row r="440" spans="2:17" ht="13.2">
      <c r="B440" s="167"/>
      <c r="C440" s="162"/>
      <c r="D440" s="168"/>
      <c r="E440" s="162"/>
      <c r="F440" s="167"/>
      <c r="G440" s="167"/>
      <c r="H440" s="167"/>
      <c r="I440" s="167"/>
      <c r="J440" s="167"/>
      <c r="K440" s="167"/>
      <c r="L440" s="167"/>
      <c r="M440" s="167"/>
      <c r="N440" s="167"/>
      <c r="O440" s="167"/>
      <c r="Q440" s="163"/>
    </row>
    <row r="441" spans="2:17" ht="13.2">
      <c r="B441" s="167"/>
      <c r="C441" s="162"/>
      <c r="D441" s="168"/>
      <c r="E441" s="162"/>
      <c r="F441" s="167"/>
      <c r="G441" s="167"/>
      <c r="H441" s="167"/>
      <c r="I441" s="167"/>
      <c r="J441" s="167"/>
      <c r="K441" s="167"/>
      <c r="L441" s="167"/>
      <c r="M441" s="167"/>
      <c r="N441" s="167"/>
      <c r="O441" s="167"/>
      <c r="Q441" s="163"/>
    </row>
    <row r="442" spans="2:17" ht="13.2">
      <c r="B442" s="167"/>
      <c r="C442" s="162"/>
      <c r="D442" s="168"/>
      <c r="E442" s="162"/>
      <c r="F442" s="167"/>
      <c r="G442" s="167"/>
      <c r="H442" s="167"/>
      <c r="I442" s="167"/>
      <c r="J442" s="167"/>
      <c r="K442" s="167"/>
      <c r="L442" s="167"/>
      <c r="M442" s="167"/>
      <c r="N442" s="167"/>
      <c r="O442" s="167"/>
      <c r="Q442" s="163"/>
    </row>
    <row r="443" spans="2:17" ht="13.2">
      <c r="B443" s="167"/>
      <c r="C443" s="162"/>
      <c r="D443" s="168"/>
      <c r="E443" s="162"/>
      <c r="F443" s="167"/>
      <c r="G443" s="167"/>
      <c r="H443" s="167"/>
      <c r="I443" s="167"/>
      <c r="J443" s="167"/>
      <c r="K443" s="167"/>
      <c r="L443" s="167"/>
      <c r="M443" s="167"/>
      <c r="N443" s="167"/>
      <c r="O443" s="167"/>
      <c r="Q443" s="163"/>
    </row>
    <row r="444" spans="2:17" ht="13.2">
      <c r="B444" s="167"/>
      <c r="C444" s="162"/>
      <c r="D444" s="168"/>
      <c r="E444" s="162"/>
      <c r="F444" s="167"/>
      <c r="G444" s="167"/>
      <c r="H444" s="167"/>
      <c r="I444" s="167"/>
      <c r="J444" s="167"/>
      <c r="K444" s="167"/>
      <c r="L444" s="167"/>
      <c r="M444" s="167"/>
      <c r="N444" s="167"/>
      <c r="O444" s="167"/>
      <c r="Q444" s="163"/>
    </row>
    <row r="445" spans="2:17" ht="13.2">
      <c r="B445" s="167"/>
      <c r="C445" s="162"/>
      <c r="D445" s="168"/>
      <c r="E445" s="162"/>
      <c r="F445" s="167"/>
      <c r="G445" s="167"/>
      <c r="H445" s="167"/>
      <c r="I445" s="167"/>
      <c r="J445" s="167"/>
      <c r="K445" s="167"/>
      <c r="L445" s="167"/>
      <c r="M445" s="167"/>
      <c r="N445" s="167"/>
      <c r="O445" s="167"/>
      <c r="Q445" s="163"/>
    </row>
    <row r="446" spans="2:17" ht="13.2">
      <c r="B446" s="167"/>
      <c r="C446" s="162"/>
      <c r="D446" s="168"/>
      <c r="E446" s="162"/>
      <c r="F446" s="167"/>
      <c r="G446" s="167"/>
      <c r="H446" s="167"/>
      <c r="I446" s="167"/>
      <c r="J446" s="167"/>
      <c r="K446" s="167"/>
      <c r="L446" s="167"/>
      <c r="M446" s="167"/>
      <c r="N446" s="167"/>
      <c r="O446" s="167"/>
      <c r="Q446" s="163"/>
    </row>
    <row r="447" spans="2:17" ht="13.2">
      <c r="B447" s="167"/>
      <c r="C447" s="162"/>
      <c r="D447" s="168"/>
      <c r="E447" s="162"/>
      <c r="F447" s="167"/>
      <c r="G447" s="167"/>
      <c r="H447" s="167"/>
      <c r="I447" s="167"/>
      <c r="J447" s="167"/>
      <c r="K447" s="167"/>
      <c r="L447" s="167"/>
      <c r="M447" s="167"/>
      <c r="N447" s="167"/>
      <c r="O447" s="167"/>
      <c r="Q447" s="163"/>
    </row>
    <row r="448" spans="2:17" ht="13.2">
      <c r="B448" s="167"/>
      <c r="C448" s="162"/>
      <c r="D448" s="168"/>
      <c r="E448" s="162"/>
      <c r="F448" s="167"/>
      <c r="G448" s="167"/>
      <c r="H448" s="167"/>
      <c r="I448" s="167"/>
      <c r="J448" s="167"/>
      <c r="K448" s="167"/>
      <c r="L448" s="167"/>
      <c r="M448" s="167"/>
      <c r="N448" s="167"/>
      <c r="O448" s="167"/>
      <c r="Q448" s="163"/>
    </row>
    <row r="449" spans="2:17" ht="13.2">
      <c r="B449" s="167"/>
      <c r="C449" s="162"/>
      <c r="D449" s="168"/>
      <c r="E449" s="162"/>
      <c r="F449" s="167"/>
      <c r="G449" s="167"/>
      <c r="H449" s="167"/>
      <c r="I449" s="167"/>
      <c r="J449" s="167"/>
      <c r="K449" s="167"/>
      <c r="L449" s="167"/>
      <c r="M449" s="167"/>
      <c r="N449" s="167"/>
      <c r="O449" s="167"/>
      <c r="Q449" s="163"/>
    </row>
    <row r="450" spans="2:17" ht="13.2">
      <c r="B450" s="167"/>
      <c r="C450" s="162"/>
      <c r="D450" s="168"/>
      <c r="E450" s="162"/>
      <c r="F450" s="167"/>
      <c r="G450" s="167"/>
      <c r="H450" s="167"/>
      <c r="I450" s="167"/>
      <c r="J450" s="167"/>
      <c r="K450" s="167"/>
      <c r="L450" s="167"/>
      <c r="M450" s="167"/>
      <c r="N450" s="167"/>
      <c r="O450" s="167"/>
      <c r="Q450" s="163"/>
    </row>
    <row r="451" spans="2:17" ht="13.2">
      <c r="B451" s="167"/>
      <c r="C451" s="162"/>
      <c r="D451" s="168"/>
      <c r="E451" s="162"/>
      <c r="F451" s="167"/>
      <c r="G451" s="167"/>
      <c r="H451" s="167"/>
      <c r="I451" s="167"/>
      <c r="J451" s="167"/>
      <c r="K451" s="167"/>
      <c r="L451" s="167"/>
      <c r="M451" s="167"/>
      <c r="N451" s="167"/>
      <c r="O451" s="167"/>
      <c r="Q451" s="163"/>
    </row>
    <row r="452" spans="2:17" ht="13.2">
      <c r="B452" s="167"/>
      <c r="C452" s="162"/>
      <c r="D452" s="168"/>
      <c r="E452" s="162"/>
      <c r="F452" s="167"/>
      <c r="G452" s="167"/>
      <c r="H452" s="167"/>
      <c r="I452" s="167"/>
      <c r="J452" s="167"/>
      <c r="K452" s="167"/>
      <c r="L452" s="167"/>
      <c r="M452" s="167"/>
      <c r="N452" s="167"/>
      <c r="O452" s="167"/>
      <c r="Q452" s="163"/>
    </row>
    <row r="453" spans="2:17" ht="13.2">
      <c r="B453" s="167"/>
      <c r="C453" s="162"/>
      <c r="D453" s="168"/>
      <c r="E453" s="162"/>
      <c r="F453" s="167"/>
      <c r="G453" s="167"/>
      <c r="H453" s="167"/>
      <c r="I453" s="167"/>
      <c r="J453" s="167"/>
      <c r="K453" s="167"/>
      <c r="L453" s="167"/>
      <c r="M453" s="167"/>
      <c r="N453" s="167"/>
      <c r="O453" s="167"/>
      <c r="Q453" s="163"/>
    </row>
    <row r="454" spans="2:17" ht="13.2">
      <c r="B454" s="167"/>
      <c r="C454" s="162"/>
      <c r="D454" s="168"/>
      <c r="E454" s="162"/>
      <c r="F454" s="167"/>
      <c r="G454" s="167"/>
      <c r="H454" s="167"/>
      <c r="I454" s="167"/>
      <c r="J454" s="167"/>
      <c r="K454" s="167"/>
      <c r="L454" s="167"/>
      <c r="M454" s="167"/>
      <c r="N454" s="167"/>
      <c r="O454" s="167"/>
      <c r="Q454" s="163"/>
    </row>
    <row r="455" spans="2:17" ht="13.2">
      <c r="B455" s="167"/>
      <c r="C455" s="162"/>
      <c r="D455" s="168"/>
      <c r="E455" s="162"/>
      <c r="F455" s="167"/>
      <c r="G455" s="167"/>
      <c r="H455" s="167"/>
      <c r="I455" s="167"/>
      <c r="J455" s="167"/>
      <c r="K455" s="167"/>
      <c r="L455" s="167"/>
      <c r="M455" s="167"/>
      <c r="N455" s="167"/>
      <c r="O455" s="167"/>
      <c r="Q455" s="163"/>
    </row>
    <row r="456" spans="2:17" ht="13.2">
      <c r="B456" s="167"/>
      <c r="C456" s="162"/>
      <c r="D456" s="168"/>
      <c r="E456" s="162"/>
      <c r="F456" s="167"/>
      <c r="G456" s="167"/>
      <c r="H456" s="167"/>
      <c r="I456" s="167"/>
      <c r="J456" s="167"/>
      <c r="K456" s="167"/>
      <c r="L456" s="167"/>
      <c r="M456" s="167"/>
      <c r="N456" s="167"/>
      <c r="O456" s="167"/>
      <c r="Q456" s="163"/>
    </row>
    <row r="457" spans="2:17" ht="13.2">
      <c r="B457" s="167"/>
      <c r="C457" s="162"/>
      <c r="D457" s="168"/>
      <c r="E457" s="162"/>
      <c r="F457" s="167"/>
      <c r="G457" s="167"/>
      <c r="H457" s="167"/>
      <c r="I457" s="167"/>
      <c r="J457" s="167"/>
      <c r="K457" s="167"/>
      <c r="L457" s="167"/>
      <c r="M457" s="167"/>
      <c r="N457" s="167"/>
      <c r="O457" s="167"/>
      <c r="Q457" s="163"/>
    </row>
    <row r="458" spans="2:17" ht="13.2">
      <c r="B458" s="167"/>
      <c r="C458" s="162"/>
      <c r="D458" s="168"/>
      <c r="E458" s="162"/>
      <c r="F458" s="167"/>
      <c r="G458" s="167"/>
      <c r="H458" s="167"/>
      <c r="I458" s="167"/>
      <c r="J458" s="167"/>
      <c r="K458" s="167"/>
      <c r="L458" s="167"/>
      <c r="M458" s="167"/>
      <c r="N458" s="167"/>
      <c r="O458" s="167"/>
      <c r="Q458" s="163"/>
    </row>
    <row r="459" spans="2:17" ht="13.2">
      <c r="B459" s="167"/>
      <c r="C459" s="162"/>
      <c r="D459" s="168"/>
      <c r="E459" s="162"/>
      <c r="F459" s="167"/>
      <c r="G459" s="167"/>
      <c r="H459" s="167"/>
      <c r="I459" s="167"/>
      <c r="J459" s="167"/>
      <c r="K459" s="167"/>
      <c r="L459" s="167"/>
      <c r="M459" s="167"/>
      <c r="N459" s="167"/>
      <c r="O459" s="167"/>
      <c r="Q459" s="163"/>
    </row>
    <row r="460" spans="2:17" ht="13.2">
      <c r="B460" s="167"/>
      <c r="C460" s="162"/>
      <c r="D460" s="168"/>
      <c r="E460" s="162"/>
      <c r="F460" s="167"/>
      <c r="G460" s="167"/>
      <c r="H460" s="167"/>
      <c r="I460" s="167"/>
      <c r="J460" s="167"/>
      <c r="K460" s="167"/>
      <c r="L460" s="167"/>
      <c r="M460" s="167"/>
      <c r="N460" s="167"/>
      <c r="O460" s="167"/>
      <c r="Q460" s="163"/>
    </row>
    <row r="461" spans="2:17" ht="13.2">
      <c r="B461" s="167"/>
      <c r="C461" s="162"/>
      <c r="D461" s="168"/>
      <c r="E461" s="162"/>
      <c r="F461" s="167"/>
      <c r="G461" s="167"/>
      <c r="H461" s="167"/>
      <c r="I461" s="167"/>
      <c r="J461" s="167"/>
      <c r="K461" s="167"/>
      <c r="L461" s="167"/>
      <c r="M461" s="167"/>
      <c r="N461" s="167"/>
      <c r="O461" s="167"/>
      <c r="Q461" s="163"/>
    </row>
    <row r="462" spans="2:17" ht="13.2">
      <c r="B462" s="167"/>
      <c r="C462" s="162"/>
      <c r="D462" s="168"/>
      <c r="E462" s="162"/>
      <c r="F462" s="167"/>
      <c r="G462" s="167"/>
      <c r="H462" s="167"/>
      <c r="I462" s="167"/>
      <c r="J462" s="167"/>
      <c r="K462" s="167"/>
      <c r="L462" s="167"/>
      <c r="M462" s="167"/>
      <c r="N462" s="167"/>
      <c r="O462" s="167"/>
      <c r="Q462" s="163"/>
    </row>
    <row r="463" spans="2:17" ht="13.2">
      <c r="B463" s="167"/>
      <c r="C463" s="162"/>
      <c r="D463" s="168"/>
      <c r="E463" s="162"/>
      <c r="F463" s="167"/>
      <c r="G463" s="167"/>
      <c r="H463" s="167"/>
      <c r="I463" s="167"/>
      <c r="J463" s="167"/>
      <c r="K463" s="167"/>
      <c r="L463" s="167"/>
      <c r="M463" s="167"/>
      <c r="N463" s="167"/>
      <c r="O463" s="167"/>
      <c r="Q463" s="163"/>
    </row>
    <row r="464" spans="2:17" ht="13.2">
      <c r="B464" s="167"/>
      <c r="C464" s="162"/>
      <c r="D464" s="168"/>
      <c r="E464" s="162"/>
      <c r="F464" s="167"/>
      <c r="G464" s="167"/>
      <c r="H464" s="167"/>
      <c r="I464" s="167"/>
      <c r="J464" s="167"/>
      <c r="K464" s="167"/>
      <c r="L464" s="167"/>
      <c r="M464" s="167"/>
      <c r="N464" s="167"/>
      <c r="O464" s="167"/>
      <c r="Q464" s="163"/>
    </row>
    <row r="465" spans="2:17" ht="13.2">
      <c r="B465" s="167"/>
      <c r="C465" s="162"/>
      <c r="D465" s="168"/>
      <c r="E465" s="162"/>
      <c r="F465" s="167"/>
      <c r="G465" s="167"/>
      <c r="H465" s="167"/>
      <c r="I465" s="167"/>
      <c r="J465" s="167"/>
      <c r="K465" s="167"/>
      <c r="L465" s="167"/>
      <c r="M465" s="167"/>
      <c r="N465" s="167"/>
      <c r="O465" s="167"/>
      <c r="Q465" s="163"/>
    </row>
    <row r="466" spans="2:17" ht="13.2">
      <c r="B466" s="167"/>
      <c r="C466" s="162"/>
      <c r="D466" s="168"/>
      <c r="E466" s="162"/>
      <c r="F466" s="167"/>
      <c r="G466" s="167"/>
      <c r="H466" s="167"/>
      <c r="I466" s="167"/>
      <c r="J466" s="167"/>
      <c r="K466" s="167"/>
      <c r="L466" s="167"/>
      <c r="M466" s="167"/>
      <c r="N466" s="167"/>
      <c r="O466" s="167"/>
      <c r="Q466" s="163"/>
    </row>
    <row r="467" spans="2:17" ht="13.2">
      <c r="B467" s="167"/>
      <c r="C467" s="162"/>
      <c r="D467" s="168"/>
      <c r="E467" s="162"/>
      <c r="F467" s="167"/>
      <c r="G467" s="167"/>
      <c r="H467" s="167"/>
      <c r="I467" s="167"/>
      <c r="J467" s="167"/>
      <c r="K467" s="167"/>
      <c r="L467" s="167"/>
      <c r="M467" s="167"/>
      <c r="N467" s="167"/>
      <c r="O467" s="167"/>
      <c r="Q467" s="163"/>
    </row>
    <row r="468" spans="2:17" ht="13.2">
      <c r="B468" s="167"/>
      <c r="C468" s="162"/>
      <c r="D468" s="168"/>
      <c r="E468" s="162"/>
      <c r="F468" s="167"/>
      <c r="G468" s="167"/>
      <c r="H468" s="167"/>
      <c r="I468" s="167"/>
      <c r="J468" s="167"/>
      <c r="K468" s="167"/>
      <c r="L468" s="167"/>
      <c r="M468" s="167"/>
      <c r="N468" s="167"/>
      <c r="O468" s="167"/>
      <c r="Q468" s="163"/>
    </row>
    <row r="469" spans="2:17" ht="13.2">
      <c r="B469" s="167"/>
      <c r="C469" s="162"/>
      <c r="D469" s="168"/>
      <c r="E469" s="162"/>
      <c r="F469" s="167"/>
      <c r="G469" s="167"/>
      <c r="H469" s="167"/>
      <c r="I469" s="167"/>
      <c r="J469" s="167"/>
      <c r="K469" s="167"/>
      <c r="L469" s="167"/>
      <c r="M469" s="167"/>
      <c r="N469" s="167"/>
      <c r="O469" s="167"/>
      <c r="Q469" s="163"/>
    </row>
    <row r="470" spans="2:17" ht="13.2">
      <c r="B470" s="167"/>
      <c r="C470" s="162"/>
      <c r="D470" s="168"/>
      <c r="E470" s="162"/>
      <c r="F470" s="167"/>
      <c r="G470" s="167"/>
      <c r="H470" s="167"/>
      <c r="I470" s="167"/>
      <c r="J470" s="167"/>
      <c r="K470" s="167"/>
      <c r="L470" s="167"/>
      <c r="M470" s="167"/>
      <c r="N470" s="167"/>
      <c r="O470" s="167"/>
      <c r="Q470" s="163"/>
    </row>
    <row r="471" spans="2:17" ht="13.2">
      <c r="B471" s="167"/>
      <c r="C471" s="162"/>
      <c r="D471" s="168"/>
      <c r="E471" s="162"/>
      <c r="F471" s="167"/>
      <c r="G471" s="167"/>
      <c r="H471" s="167"/>
      <c r="I471" s="167"/>
      <c r="J471" s="167"/>
      <c r="K471" s="167"/>
      <c r="L471" s="167"/>
      <c r="M471" s="167"/>
      <c r="N471" s="167"/>
      <c r="O471" s="167"/>
      <c r="Q471" s="163"/>
    </row>
    <row r="472" spans="2:17" ht="13.2">
      <c r="B472" s="167"/>
      <c r="C472" s="162"/>
      <c r="D472" s="168"/>
      <c r="E472" s="162"/>
      <c r="F472" s="167"/>
      <c r="G472" s="167"/>
      <c r="H472" s="167"/>
      <c r="I472" s="167"/>
      <c r="J472" s="167"/>
      <c r="K472" s="167"/>
      <c r="L472" s="167"/>
      <c r="M472" s="167"/>
      <c r="N472" s="167"/>
      <c r="O472" s="167"/>
      <c r="Q472" s="163"/>
    </row>
    <row r="473" spans="2:17" ht="13.2">
      <c r="B473" s="167"/>
      <c r="C473" s="162"/>
      <c r="D473" s="168"/>
      <c r="E473" s="162"/>
      <c r="F473" s="167"/>
      <c r="G473" s="167"/>
      <c r="H473" s="167"/>
      <c r="I473" s="167"/>
      <c r="J473" s="167"/>
      <c r="K473" s="167"/>
      <c r="L473" s="167"/>
      <c r="M473" s="167"/>
      <c r="N473" s="167"/>
      <c r="O473" s="167"/>
      <c r="Q473" s="163"/>
    </row>
    <row r="474" spans="2:17" ht="13.2">
      <c r="B474" s="167"/>
      <c r="C474" s="162"/>
      <c r="D474" s="168"/>
      <c r="E474" s="162"/>
      <c r="F474" s="167"/>
      <c r="G474" s="167"/>
      <c r="H474" s="167"/>
      <c r="I474" s="167"/>
      <c r="J474" s="167"/>
      <c r="K474" s="167"/>
      <c r="L474" s="167"/>
      <c r="M474" s="167"/>
      <c r="N474" s="167"/>
      <c r="O474" s="167"/>
      <c r="Q474" s="163"/>
    </row>
    <row r="475" spans="2:17" ht="13.2">
      <c r="B475" s="167"/>
      <c r="C475" s="162"/>
      <c r="D475" s="168"/>
      <c r="E475" s="162"/>
      <c r="F475" s="167"/>
      <c r="G475" s="167"/>
      <c r="H475" s="167"/>
      <c r="I475" s="167"/>
      <c r="J475" s="167"/>
      <c r="K475" s="167"/>
      <c r="L475" s="167"/>
      <c r="M475" s="167"/>
      <c r="N475" s="167"/>
      <c r="O475" s="167"/>
      <c r="Q475" s="163"/>
    </row>
    <row r="476" spans="2:17" ht="13.2">
      <c r="B476" s="167"/>
      <c r="C476" s="162"/>
      <c r="D476" s="168"/>
      <c r="E476" s="162"/>
      <c r="F476" s="167"/>
      <c r="G476" s="167"/>
      <c r="H476" s="167"/>
      <c r="I476" s="167"/>
      <c r="J476" s="167"/>
      <c r="K476" s="167"/>
      <c r="L476" s="167"/>
      <c r="M476" s="167"/>
      <c r="N476" s="167"/>
      <c r="O476" s="167"/>
      <c r="Q476" s="163"/>
    </row>
    <row r="477" spans="2:17" ht="13.2">
      <c r="B477" s="167"/>
      <c r="C477" s="162"/>
      <c r="D477" s="168"/>
      <c r="E477" s="162"/>
      <c r="F477" s="167"/>
      <c r="G477" s="167"/>
      <c r="H477" s="167"/>
      <c r="I477" s="167"/>
      <c r="J477" s="167"/>
      <c r="K477" s="167"/>
      <c r="L477" s="167"/>
      <c r="M477" s="167"/>
      <c r="N477" s="167"/>
      <c r="O477" s="167"/>
      <c r="Q477" s="163"/>
    </row>
    <row r="478" spans="2:17" ht="13.2">
      <c r="B478" s="167"/>
      <c r="C478" s="162"/>
      <c r="D478" s="168"/>
      <c r="E478" s="162"/>
      <c r="F478" s="167"/>
      <c r="G478" s="167"/>
      <c r="H478" s="167"/>
      <c r="I478" s="167"/>
      <c r="J478" s="167"/>
      <c r="K478" s="167"/>
      <c r="L478" s="167"/>
      <c r="M478" s="167"/>
      <c r="N478" s="167"/>
      <c r="O478" s="167"/>
      <c r="Q478" s="163"/>
    </row>
    <row r="479" spans="2:17" ht="13.2">
      <c r="B479" s="167"/>
      <c r="C479" s="162"/>
      <c r="D479" s="168"/>
      <c r="E479" s="162"/>
      <c r="F479" s="167"/>
      <c r="G479" s="167"/>
      <c r="H479" s="167"/>
      <c r="I479" s="167"/>
      <c r="J479" s="167"/>
      <c r="K479" s="167"/>
      <c r="L479" s="167"/>
      <c r="M479" s="167"/>
      <c r="N479" s="167"/>
      <c r="O479" s="167"/>
      <c r="Q479" s="163"/>
    </row>
    <row r="480" spans="2:17" ht="13.2">
      <c r="B480" s="167"/>
      <c r="C480" s="162"/>
      <c r="D480" s="168"/>
      <c r="E480" s="162"/>
      <c r="F480" s="167"/>
      <c r="G480" s="167"/>
      <c r="H480" s="167"/>
      <c r="I480" s="167"/>
      <c r="J480" s="167"/>
      <c r="K480" s="167"/>
      <c r="L480" s="167"/>
      <c r="M480" s="167"/>
      <c r="N480" s="167"/>
      <c r="O480" s="167"/>
      <c r="Q480" s="163"/>
    </row>
    <row r="481" spans="2:17" ht="13.2">
      <c r="B481" s="167"/>
      <c r="C481" s="162"/>
      <c r="D481" s="168"/>
      <c r="E481" s="162"/>
      <c r="F481" s="167"/>
      <c r="G481" s="167"/>
      <c r="H481" s="167"/>
      <c r="I481" s="167"/>
      <c r="J481" s="167"/>
      <c r="K481" s="167"/>
      <c r="L481" s="167"/>
      <c r="M481" s="167"/>
      <c r="N481" s="167"/>
      <c r="O481" s="167"/>
      <c r="Q481" s="163"/>
    </row>
    <row r="482" spans="2:17" ht="13.2">
      <c r="B482" s="167"/>
      <c r="C482" s="162"/>
      <c r="D482" s="168"/>
      <c r="E482" s="162"/>
      <c r="F482" s="167"/>
      <c r="G482" s="167"/>
      <c r="H482" s="167"/>
      <c r="I482" s="167"/>
      <c r="J482" s="167"/>
      <c r="K482" s="167"/>
      <c r="L482" s="167"/>
      <c r="M482" s="167"/>
      <c r="N482" s="167"/>
      <c r="O482" s="167"/>
      <c r="Q482" s="163"/>
    </row>
    <row r="483" spans="2:17" ht="13.2">
      <c r="B483" s="167"/>
      <c r="C483" s="162"/>
      <c r="D483" s="168"/>
      <c r="E483" s="162"/>
      <c r="F483" s="167"/>
      <c r="G483" s="167"/>
      <c r="H483" s="167"/>
      <c r="I483" s="167"/>
      <c r="J483" s="167"/>
      <c r="K483" s="167"/>
      <c r="L483" s="167"/>
      <c r="M483" s="167"/>
      <c r="N483" s="167"/>
      <c r="O483" s="167"/>
      <c r="Q483" s="163"/>
    </row>
    <row r="484" spans="2:17" ht="13.2">
      <c r="B484" s="167"/>
      <c r="C484" s="162"/>
      <c r="D484" s="168"/>
      <c r="E484" s="162"/>
      <c r="F484" s="167"/>
      <c r="G484" s="167"/>
      <c r="H484" s="167"/>
      <c r="I484" s="167"/>
      <c r="J484" s="167"/>
      <c r="K484" s="167"/>
      <c r="L484" s="167"/>
      <c r="M484" s="167"/>
      <c r="N484" s="167"/>
      <c r="O484" s="167"/>
      <c r="Q484" s="163"/>
    </row>
    <row r="485" spans="2:17" ht="13.2">
      <c r="B485" s="167"/>
      <c r="C485" s="162"/>
      <c r="D485" s="168"/>
      <c r="E485" s="162"/>
      <c r="F485" s="167"/>
      <c r="G485" s="167"/>
      <c r="H485" s="167"/>
      <c r="I485" s="167"/>
      <c r="J485" s="167"/>
      <c r="K485" s="167"/>
      <c r="L485" s="167"/>
      <c r="M485" s="167"/>
      <c r="N485" s="167"/>
      <c r="O485" s="167"/>
      <c r="Q485" s="163"/>
    </row>
    <row r="486" spans="2:17" ht="13.2">
      <c r="B486" s="167"/>
      <c r="C486" s="162"/>
      <c r="D486" s="168"/>
      <c r="E486" s="162"/>
      <c r="F486" s="167"/>
      <c r="G486" s="167"/>
      <c r="H486" s="167"/>
      <c r="I486" s="167"/>
      <c r="J486" s="167"/>
      <c r="K486" s="167"/>
      <c r="L486" s="167"/>
      <c r="M486" s="167"/>
      <c r="N486" s="167"/>
      <c r="O486" s="167"/>
      <c r="Q486" s="163"/>
    </row>
    <row r="487" spans="2:17" ht="13.2">
      <c r="B487" s="167"/>
      <c r="C487" s="162"/>
      <c r="D487" s="168"/>
      <c r="E487" s="162"/>
      <c r="F487" s="167"/>
      <c r="G487" s="167"/>
      <c r="H487" s="167"/>
      <c r="I487" s="167"/>
      <c r="J487" s="167"/>
      <c r="K487" s="167"/>
      <c r="L487" s="167"/>
      <c r="M487" s="167"/>
      <c r="N487" s="167"/>
      <c r="O487" s="167"/>
      <c r="Q487" s="163"/>
    </row>
    <row r="488" spans="2:17" ht="13.2">
      <c r="B488" s="167"/>
      <c r="C488" s="162"/>
      <c r="D488" s="168"/>
      <c r="E488" s="162"/>
      <c r="F488" s="167"/>
      <c r="G488" s="167"/>
      <c r="H488" s="167"/>
      <c r="I488" s="167"/>
      <c r="J488" s="167"/>
      <c r="K488" s="167"/>
      <c r="L488" s="167"/>
      <c r="M488" s="167"/>
      <c r="N488" s="167"/>
      <c r="O488" s="167"/>
      <c r="Q488" s="163"/>
    </row>
    <row r="489" spans="2:17" ht="13.2">
      <c r="B489" s="167"/>
      <c r="C489" s="162"/>
      <c r="D489" s="168"/>
      <c r="E489" s="162"/>
      <c r="F489" s="167"/>
      <c r="G489" s="167"/>
      <c r="H489" s="167"/>
      <c r="I489" s="167"/>
      <c r="J489" s="167"/>
      <c r="K489" s="167"/>
      <c r="L489" s="167"/>
      <c r="M489" s="167"/>
      <c r="N489" s="167"/>
      <c r="O489" s="167"/>
      <c r="Q489" s="163"/>
    </row>
    <row r="490" spans="2:17" ht="13.2">
      <c r="B490" s="167"/>
      <c r="C490" s="162"/>
      <c r="D490" s="168"/>
      <c r="E490" s="162"/>
      <c r="F490" s="167"/>
      <c r="G490" s="167"/>
      <c r="H490" s="167"/>
      <c r="I490" s="167"/>
      <c r="J490" s="167"/>
      <c r="K490" s="167"/>
      <c r="L490" s="167"/>
      <c r="M490" s="167"/>
      <c r="N490" s="167"/>
      <c r="O490" s="167"/>
      <c r="Q490" s="163"/>
    </row>
    <row r="491" spans="2:17" ht="13.2">
      <c r="B491" s="167"/>
      <c r="C491" s="162"/>
      <c r="D491" s="168"/>
      <c r="E491" s="162"/>
      <c r="F491" s="167"/>
      <c r="G491" s="167"/>
      <c r="H491" s="167"/>
      <c r="I491" s="167"/>
      <c r="J491" s="167"/>
      <c r="K491" s="167"/>
      <c r="L491" s="167"/>
      <c r="M491" s="167"/>
      <c r="N491" s="167"/>
      <c r="O491" s="167"/>
      <c r="Q491" s="163"/>
    </row>
    <row r="492" spans="2:17" ht="13.2">
      <c r="B492" s="167"/>
      <c r="C492" s="162"/>
      <c r="D492" s="168"/>
      <c r="E492" s="162"/>
      <c r="F492" s="167"/>
      <c r="G492" s="167"/>
      <c r="H492" s="167"/>
      <c r="I492" s="167"/>
      <c r="J492" s="167"/>
      <c r="K492" s="167"/>
      <c r="L492" s="167"/>
      <c r="M492" s="167"/>
      <c r="N492" s="167"/>
      <c r="O492" s="167"/>
      <c r="Q492" s="163"/>
    </row>
    <row r="493" spans="2:17" ht="13.2">
      <c r="B493" s="167"/>
      <c r="C493" s="162"/>
      <c r="D493" s="168"/>
      <c r="E493" s="162"/>
      <c r="F493" s="167"/>
      <c r="G493" s="167"/>
      <c r="H493" s="167"/>
      <c r="I493" s="167"/>
      <c r="J493" s="167"/>
      <c r="K493" s="167"/>
      <c r="L493" s="167"/>
      <c r="M493" s="167"/>
      <c r="N493" s="167"/>
      <c r="O493" s="167"/>
      <c r="Q493" s="163"/>
    </row>
    <row r="494" spans="2:17" ht="13.2">
      <c r="B494" s="167"/>
      <c r="C494" s="162"/>
      <c r="D494" s="168"/>
      <c r="E494" s="162"/>
      <c r="F494" s="167"/>
      <c r="G494" s="167"/>
      <c r="H494" s="167"/>
      <c r="I494" s="167"/>
      <c r="J494" s="167"/>
      <c r="K494" s="167"/>
      <c r="L494" s="167"/>
      <c r="M494" s="167"/>
      <c r="N494" s="167"/>
      <c r="O494" s="167"/>
      <c r="Q494" s="163"/>
    </row>
    <row r="495" spans="2:17" ht="13.2">
      <c r="B495" s="167"/>
      <c r="C495" s="162"/>
      <c r="D495" s="168"/>
      <c r="E495" s="162"/>
      <c r="F495" s="167"/>
      <c r="G495" s="167"/>
      <c r="H495" s="167"/>
      <c r="I495" s="167"/>
      <c r="J495" s="167"/>
      <c r="K495" s="167"/>
      <c r="L495" s="167"/>
      <c r="M495" s="167"/>
      <c r="N495" s="167"/>
      <c r="O495" s="167"/>
      <c r="Q495" s="163"/>
    </row>
    <row r="496" spans="2:17" ht="13.2">
      <c r="B496" s="167"/>
      <c r="C496" s="162"/>
      <c r="D496" s="168"/>
      <c r="E496" s="162"/>
      <c r="F496" s="167"/>
      <c r="G496" s="167"/>
      <c r="H496" s="167"/>
      <c r="I496" s="167"/>
      <c r="J496" s="167"/>
      <c r="K496" s="167"/>
      <c r="L496" s="167"/>
      <c r="M496" s="167"/>
      <c r="N496" s="167"/>
      <c r="O496" s="167"/>
      <c r="Q496" s="163"/>
    </row>
    <row r="497" spans="2:17" ht="13.2">
      <c r="B497" s="167"/>
      <c r="C497" s="162"/>
      <c r="D497" s="168"/>
      <c r="E497" s="162"/>
      <c r="F497" s="167"/>
      <c r="G497" s="167"/>
      <c r="H497" s="167"/>
      <c r="I497" s="167"/>
      <c r="J497" s="167"/>
      <c r="K497" s="167"/>
      <c r="L497" s="167"/>
      <c r="M497" s="167"/>
      <c r="N497" s="167"/>
      <c r="O497" s="167"/>
      <c r="Q497" s="163"/>
    </row>
    <row r="498" spans="2:17" ht="13.2">
      <c r="B498" s="167"/>
      <c r="C498" s="162"/>
      <c r="D498" s="168"/>
      <c r="E498" s="162"/>
      <c r="F498" s="167"/>
      <c r="G498" s="167"/>
      <c r="H498" s="167"/>
      <c r="I498" s="167"/>
      <c r="J498" s="167"/>
      <c r="K498" s="167"/>
      <c r="L498" s="167"/>
      <c r="M498" s="167"/>
      <c r="N498" s="167"/>
      <c r="O498" s="167"/>
      <c r="Q498" s="163"/>
    </row>
    <row r="499" spans="2:17" ht="13.2">
      <c r="B499" s="167"/>
      <c r="C499" s="162"/>
      <c r="D499" s="168"/>
      <c r="E499" s="162"/>
      <c r="F499" s="167"/>
      <c r="G499" s="167"/>
      <c r="H499" s="167"/>
      <c r="I499" s="167"/>
      <c r="J499" s="167"/>
      <c r="K499" s="167"/>
      <c r="L499" s="167"/>
      <c r="M499" s="167"/>
      <c r="N499" s="167"/>
      <c r="O499" s="167"/>
      <c r="Q499" s="163"/>
    </row>
    <row r="500" spans="2:17" ht="13.2">
      <c r="B500" s="167"/>
      <c r="C500" s="162"/>
      <c r="D500" s="168"/>
      <c r="E500" s="162"/>
      <c r="F500" s="167"/>
      <c r="G500" s="167"/>
      <c r="H500" s="167"/>
      <c r="I500" s="167"/>
      <c r="J500" s="167"/>
      <c r="K500" s="167"/>
      <c r="L500" s="167"/>
      <c r="M500" s="167"/>
      <c r="N500" s="167"/>
      <c r="O500" s="167"/>
      <c r="Q500" s="163"/>
    </row>
    <row r="501" spans="2:17" ht="13.2">
      <c r="B501" s="167"/>
      <c r="C501" s="162"/>
      <c r="D501" s="168"/>
      <c r="E501" s="162"/>
      <c r="F501" s="167"/>
      <c r="G501" s="167"/>
      <c r="H501" s="167"/>
      <c r="I501" s="167"/>
      <c r="J501" s="167"/>
      <c r="K501" s="167"/>
      <c r="L501" s="167"/>
      <c r="M501" s="167"/>
      <c r="N501" s="167"/>
      <c r="O501" s="167"/>
      <c r="Q501" s="163"/>
    </row>
    <row r="502" spans="2:17" ht="13.2">
      <c r="B502" s="167"/>
      <c r="C502" s="162"/>
      <c r="D502" s="168"/>
      <c r="E502" s="162"/>
      <c r="F502" s="167"/>
      <c r="G502" s="167"/>
      <c r="H502" s="167"/>
      <c r="I502" s="167"/>
      <c r="J502" s="167"/>
      <c r="K502" s="167"/>
      <c r="L502" s="167"/>
      <c r="M502" s="167"/>
      <c r="N502" s="167"/>
      <c r="O502" s="167"/>
      <c r="Q502" s="163"/>
    </row>
    <row r="503" spans="2:17" ht="13.2">
      <c r="B503" s="167"/>
      <c r="C503" s="162"/>
      <c r="D503" s="168"/>
      <c r="E503" s="162"/>
      <c r="F503" s="167"/>
      <c r="G503" s="167"/>
      <c r="H503" s="167"/>
      <c r="I503" s="167"/>
      <c r="J503" s="167"/>
      <c r="K503" s="167"/>
      <c r="L503" s="167"/>
      <c r="M503" s="167"/>
      <c r="N503" s="167"/>
      <c r="O503" s="167"/>
      <c r="Q503" s="163"/>
    </row>
    <row r="504" spans="2:17" ht="13.2">
      <c r="B504" s="167"/>
      <c r="C504" s="162"/>
      <c r="D504" s="168"/>
      <c r="E504" s="162"/>
      <c r="F504" s="167"/>
      <c r="G504" s="167"/>
      <c r="H504" s="167"/>
      <c r="I504" s="167"/>
      <c r="J504" s="167"/>
      <c r="K504" s="167"/>
      <c r="L504" s="167"/>
      <c r="M504" s="167"/>
      <c r="N504" s="167"/>
      <c r="O504" s="167"/>
      <c r="Q504" s="163"/>
    </row>
    <row r="505" spans="2:17" ht="13.2">
      <c r="B505" s="167"/>
      <c r="C505" s="162"/>
      <c r="D505" s="168"/>
      <c r="E505" s="162"/>
      <c r="F505" s="167"/>
      <c r="G505" s="167"/>
      <c r="H505" s="167"/>
      <c r="I505" s="167"/>
      <c r="J505" s="167"/>
      <c r="K505" s="167"/>
      <c r="L505" s="167"/>
      <c r="M505" s="167"/>
      <c r="N505" s="167"/>
      <c r="O505" s="167"/>
      <c r="Q505" s="163"/>
    </row>
    <row r="506" spans="2:17" ht="13.2">
      <c r="B506" s="167"/>
      <c r="C506" s="162"/>
      <c r="D506" s="168"/>
      <c r="E506" s="162"/>
      <c r="F506" s="167"/>
      <c r="G506" s="167"/>
      <c r="H506" s="167"/>
      <c r="I506" s="167"/>
      <c r="J506" s="167"/>
      <c r="K506" s="167"/>
      <c r="L506" s="167"/>
      <c r="M506" s="167"/>
      <c r="N506" s="167"/>
      <c r="O506" s="167"/>
      <c r="Q506" s="163"/>
    </row>
    <row r="507" spans="2:17" ht="13.2">
      <c r="B507" s="167"/>
      <c r="C507" s="162"/>
      <c r="D507" s="168"/>
      <c r="E507" s="162"/>
      <c r="F507" s="167"/>
      <c r="G507" s="167"/>
      <c r="H507" s="167"/>
      <c r="I507" s="167"/>
      <c r="J507" s="167"/>
      <c r="K507" s="167"/>
      <c r="L507" s="167"/>
      <c r="M507" s="167"/>
      <c r="N507" s="167"/>
      <c r="O507" s="167"/>
      <c r="Q507" s="163"/>
    </row>
    <row r="508" spans="2:17" ht="13.2">
      <c r="B508" s="167"/>
      <c r="C508" s="162"/>
      <c r="D508" s="168"/>
      <c r="E508" s="162"/>
      <c r="F508" s="167"/>
      <c r="G508" s="167"/>
      <c r="H508" s="167"/>
      <c r="I508" s="167"/>
      <c r="J508" s="167"/>
      <c r="K508" s="167"/>
      <c r="L508" s="167"/>
      <c r="M508" s="167"/>
      <c r="N508" s="167"/>
      <c r="O508" s="167"/>
      <c r="Q508" s="163"/>
    </row>
    <row r="509" spans="2:17" ht="13.2">
      <c r="B509" s="167"/>
      <c r="C509" s="162"/>
      <c r="D509" s="168"/>
      <c r="E509" s="162"/>
      <c r="F509" s="167"/>
      <c r="G509" s="167"/>
      <c r="H509" s="167"/>
      <c r="I509" s="167"/>
      <c r="J509" s="167"/>
      <c r="K509" s="167"/>
      <c r="L509" s="167"/>
      <c r="M509" s="167"/>
      <c r="N509" s="167"/>
      <c r="O509" s="167"/>
      <c r="Q509" s="163"/>
    </row>
    <row r="510" spans="2:17" ht="13.2">
      <c r="B510" s="167"/>
      <c r="C510" s="162"/>
      <c r="D510" s="168"/>
      <c r="E510" s="162"/>
      <c r="F510" s="167"/>
      <c r="G510" s="167"/>
      <c r="H510" s="167"/>
      <c r="I510" s="167"/>
      <c r="J510" s="167"/>
      <c r="K510" s="167"/>
      <c r="L510" s="167"/>
      <c r="M510" s="167"/>
      <c r="N510" s="167"/>
      <c r="O510" s="167"/>
      <c r="Q510" s="163"/>
    </row>
    <row r="511" spans="2:17" ht="13.2">
      <c r="B511" s="167"/>
      <c r="C511" s="162"/>
      <c r="D511" s="168"/>
      <c r="E511" s="162"/>
      <c r="F511" s="167"/>
      <c r="G511" s="167"/>
      <c r="H511" s="167"/>
      <c r="I511" s="167"/>
      <c r="J511" s="167"/>
      <c r="K511" s="167"/>
      <c r="L511" s="167"/>
      <c r="M511" s="167"/>
      <c r="N511" s="167"/>
      <c r="O511" s="167"/>
      <c r="Q511" s="163"/>
    </row>
    <row r="512" spans="2:17" ht="13.2">
      <c r="B512" s="167"/>
      <c r="C512" s="162"/>
      <c r="D512" s="168"/>
      <c r="E512" s="162"/>
      <c r="F512" s="167"/>
      <c r="G512" s="167"/>
      <c r="H512" s="167"/>
      <c r="I512" s="167"/>
      <c r="J512" s="167"/>
      <c r="K512" s="167"/>
      <c r="L512" s="167"/>
      <c r="M512" s="167"/>
      <c r="N512" s="167"/>
      <c r="O512" s="167"/>
      <c r="Q512" s="163"/>
    </row>
    <row r="513" spans="2:17" ht="13.2">
      <c r="B513" s="167"/>
      <c r="C513" s="162"/>
      <c r="D513" s="168"/>
      <c r="E513" s="162"/>
      <c r="F513" s="167"/>
      <c r="G513" s="167"/>
      <c r="H513" s="167"/>
      <c r="I513" s="167"/>
      <c r="J513" s="167"/>
      <c r="K513" s="167"/>
      <c r="L513" s="167"/>
      <c r="M513" s="167"/>
      <c r="N513" s="167"/>
      <c r="O513" s="167"/>
      <c r="Q513" s="163"/>
    </row>
    <row r="514" spans="2:17" ht="13.2">
      <c r="B514" s="167"/>
      <c r="C514" s="162"/>
      <c r="D514" s="168"/>
      <c r="E514" s="162"/>
      <c r="F514" s="167"/>
      <c r="G514" s="167"/>
      <c r="H514" s="167"/>
      <c r="I514" s="167"/>
      <c r="J514" s="167"/>
      <c r="K514" s="167"/>
      <c r="L514" s="167"/>
      <c r="M514" s="167"/>
      <c r="N514" s="167"/>
      <c r="O514" s="167"/>
      <c r="Q514" s="163"/>
    </row>
    <row r="515" spans="2:17" ht="13.2">
      <c r="B515" s="167"/>
      <c r="C515" s="162"/>
      <c r="D515" s="168"/>
      <c r="E515" s="162"/>
      <c r="F515" s="167"/>
      <c r="G515" s="167"/>
      <c r="H515" s="167"/>
      <c r="I515" s="167"/>
      <c r="J515" s="167"/>
      <c r="K515" s="167"/>
      <c r="L515" s="167"/>
      <c r="M515" s="167"/>
      <c r="N515" s="167"/>
      <c r="O515" s="167"/>
      <c r="Q515" s="163"/>
    </row>
    <row r="516" spans="2:17" ht="13.2">
      <c r="B516" s="167"/>
      <c r="C516" s="162"/>
      <c r="D516" s="168"/>
      <c r="E516" s="162"/>
      <c r="F516" s="167"/>
      <c r="G516" s="167"/>
      <c r="H516" s="167"/>
      <c r="I516" s="167"/>
      <c r="J516" s="167"/>
      <c r="K516" s="167"/>
      <c r="L516" s="167"/>
      <c r="M516" s="167"/>
      <c r="N516" s="167"/>
      <c r="O516" s="167"/>
      <c r="Q516" s="163"/>
    </row>
    <row r="517" spans="2:17" ht="13.2">
      <c r="B517" s="167"/>
      <c r="C517" s="162"/>
      <c r="D517" s="168"/>
      <c r="E517" s="162"/>
      <c r="F517" s="167"/>
      <c r="G517" s="167"/>
      <c r="H517" s="167"/>
      <c r="I517" s="167"/>
      <c r="J517" s="167"/>
      <c r="K517" s="167"/>
      <c r="L517" s="167"/>
      <c r="M517" s="167"/>
      <c r="N517" s="167"/>
      <c r="O517" s="167"/>
      <c r="Q517" s="163"/>
    </row>
    <row r="518" spans="2:17" ht="13.2">
      <c r="B518" s="167"/>
      <c r="C518" s="162"/>
      <c r="D518" s="168"/>
      <c r="E518" s="162"/>
      <c r="F518" s="167"/>
      <c r="G518" s="167"/>
      <c r="H518" s="167"/>
      <c r="I518" s="167"/>
      <c r="J518" s="167"/>
      <c r="K518" s="167"/>
      <c r="L518" s="167"/>
      <c r="M518" s="167"/>
      <c r="N518" s="167"/>
      <c r="O518" s="167"/>
      <c r="Q518" s="163"/>
    </row>
    <row r="519" spans="2:17" ht="13.2">
      <c r="B519" s="167"/>
      <c r="C519" s="162"/>
      <c r="D519" s="168"/>
      <c r="E519" s="162"/>
      <c r="F519" s="167"/>
      <c r="G519" s="167"/>
      <c r="H519" s="167"/>
      <c r="I519" s="167"/>
      <c r="J519" s="167"/>
      <c r="K519" s="167"/>
      <c r="L519" s="167"/>
      <c r="M519" s="167"/>
      <c r="N519" s="167"/>
      <c r="O519" s="167"/>
      <c r="Q519" s="163"/>
    </row>
    <row r="520" spans="2:17" ht="13.2">
      <c r="B520" s="167"/>
      <c r="C520" s="162"/>
      <c r="D520" s="168"/>
      <c r="E520" s="162"/>
      <c r="F520" s="167"/>
      <c r="G520" s="167"/>
      <c r="H520" s="167"/>
      <c r="I520" s="167"/>
      <c r="J520" s="167"/>
      <c r="K520" s="167"/>
      <c r="L520" s="167"/>
      <c r="M520" s="167"/>
      <c r="N520" s="167"/>
      <c r="O520" s="167"/>
      <c r="Q520" s="163"/>
    </row>
    <row r="521" spans="2:17" ht="13.2">
      <c r="B521" s="167"/>
      <c r="C521" s="162"/>
      <c r="D521" s="168"/>
      <c r="E521" s="162"/>
      <c r="F521" s="167"/>
      <c r="G521" s="167"/>
      <c r="H521" s="167"/>
      <c r="I521" s="167"/>
      <c r="J521" s="167"/>
      <c r="K521" s="167"/>
      <c r="L521" s="167"/>
      <c r="M521" s="167"/>
      <c r="N521" s="167"/>
      <c r="O521" s="167"/>
      <c r="Q521" s="163"/>
    </row>
    <row r="522" spans="2:17" ht="13.2">
      <c r="B522" s="167"/>
      <c r="C522" s="162"/>
      <c r="D522" s="168"/>
      <c r="E522" s="162"/>
      <c r="F522" s="167"/>
      <c r="G522" s="167"/>
      <c r="H522" s="167"/>
      <c r="I522" s="167"/>
      <c r="J522" s="167"/>
      <c r="K522" s="167"/>
      <c r="L522" s="167"/>
      <c r="M522" s="167"/>
      <c r="N522" s="167"/>
      <c r="O522" s="167"/>
      <c r="Q522" s="163"/>
    </row>
    <row r="523" spans="2:17" ht="13.2">
      <c r="B523" s="167"/>
      <c r="C523" s="162"/>
      <c r="D523" s="168"/>
      <c r="E523" s="162"/>
      <c r="F523" s="167"/>
      <c r="G523" s="167"/>
      <c r="H523" s="167"/>
      <c r="I523" s="167"/>
      <c r="J523" s="167"/>
      <c r="K523" s="167"/>
      <c r="L523" s="167"/>
      <c r="M523" s="167"/>
      <c r="N523" s="167"/>
      <c r="O523" s="167"/>
      <c r="Q523" s="163"/>
    </row>
    <row r="524" spans="2:17" ht="13.2">
      <c r="B524" s="167"/>
      <c r="C524" s="162"/>
      <c r="D524" s="168"/>
      <c r="E524" s="162"/>
      <c r="F524" s="167"/>
      <c r="G524" s="167"/>
      <c r="H524" s="167"/>
      <c r="I524" s="167"/>
      <c r="J524" s="167"/>
      <c r="K524" s="167"/>
      <c r="L524" s="167"/>
      <c r="M524" s="167"/>
      <c r="N524" s="167"/>
      <c r="O524" s="167"/>
      <c r="Q524" s="163"/>
    </row>
    <row r="525" spans="2:17" ht="13.2">
      <c r="B525" s="167"/>
      <c r="C525" s="162"/>
      <c r="D525" s="168"/>
      <c r="E525" s="162"/>
      <c r="F525" s="167"/>
      <c r="G525" s="167"/>
      <c r="H525" s="167"/>
      <c r="I525" s="167"/>
      <c r="J525" s="167"/>
      <c r="K525" s="167"/>
      <c r="L525" s="167"/>
      <c r="M525" s="167"/>
      <c r="N525" s="167"/>
      <c r="O525" s="167"/>
      <c r="Q525" s="163"/>
    </row>
    <row r="526" spans="2:17" ht="13.2">
      <c r="B526" s="167"/>
      <c r="C526" s="162"/>
      <c r="D526" s="168"/>
      <c r="E526" s="162"/>
      <c r="F526" s="167"/>
      <c r="G526" s="167"/>
      <c r="H526" s="167"/>
      <c r="I526" s="167"/>
      <c r="J526" s="167"/>
      <c r="K526" s="167"/>
      <c r="L526" s="167"/>
      <c r="M526" s="167"/>
      <c r="N526" s="167"/>
      <c r="O526" s="167"/>
      <c r="Q526" s="163"/>
    </row>
    <row r="527" spans="2:17" ht="13.2">
      <c r="B527" s="167"/>
      <c r="C527" s="162"/>
      <c r="D527" s="168"/>
      <c r="E527" s="162"/>
      <c r="F527" s="167"/>
      <c r="G527" s="167"/>
      <c r="H527" s="167"/>
      <c r="I527" s="167"/>
      <c r="J527" s="167"/>
      <c r="K527" s="167"/>
      <c r="L527" s="167"/>
      <c r="M527" s="167"/>
      <c r="N527" s="167"/>
      <c r="O527" s="167"/>
      <c r="Q527" s="163"/>
    </row>
    <row r="528" spans="2:17" ht="13.2">
      <c r="B528" s="167"/>
      <c r="C528" s="162"/>
      <c r="D528" s="168"/>
      <c r="E528" s="162"/>
      <c r="F528" s="167"/>
      <c r="G528" s="167"/>
      <c r="H528" s="167"/>
      <c r="I528" s="167"/>
      <c r="J528" s="167"/>
      <c r="K528" s="167"/>
      <c r="L528" s="167"/>
      <c r="M528" s="167"/>
      <c r="N528" s="167"/>
      <c r="O528" s="167"/>
      <c r="Q528" s="163"/>
    </row>
    <row r="529" spans="2:17" ht="13.2">
      <c r="B529" s="167"/>
      <c r="C529" s="162"/>
      <c r="D529" s="168"/>
      <c r="E529" s="162"/>
      <c r="F529" s="167"/>
      <c r="G529" s="167"/>
      <c r="H529" s="167"/>
      <c r="I529" s="167"/>
      <c r="J529" s="167"/>
      <c r="K529" s="167"/>
      <c r="L529" s="167"/>
      <c r="M529" s="167"/>
      <c r="N529" s="167"/>
      <c r="O529" s="167"/>
      <c r="Q529" s="163"/>
    </row>
    <row r="530" spans="2:17" ht="13.2">
      <c r="B530" s="167"/>
      <c r="C530" s="162"/>
      <c r="D530" s="168"/>
      <c r="E530" s="162"/>
      <c r="F530" s="167"/>
      <c r="G530" s="167"/>
      <c r="H530" s="167"/>
      <c r="I530" s="167"/>
      <c r="J530" s="167"/>
      <c r="K530" s="167"/>
      <c r="L530" s="167"/>
      <c r="M530" s="167"/>
      <c r="N530" s="167"/>
      <c r="O530" s="167"/>
      <c r="Q530" s="163"/>
    </row>
    <row r="531" spans="2:17" ht="13.2">
      <c r="B531" s="167"/>
      <c r="C531" s="162"/>
      <c r="D531" s="168"/>
      <c r="E531" s="162"/>
      <c r="F531" s="167"/>
      <c r="G531" s="167"/>
      <c r="H531" s="167"/>
      <c r="I531" s="167"/>
      <c r="J531" s="167"/>
      <c r="K531" s="167"/>
      <c r="L531" s="167"/>
      <c r="M531" s="167"/>
      <c r="N531" s="167"/>
      <c r="O531" s="167"/>
      <c r="Q531" s="163"/>
    </row>
    <row r="532" spans="2:17" ht="13.2">
      <c r="B532" s="167"/>
      <c r="C532" s="162"/>
      <c r="D532" s="168"/>
      <c r="E532" s="162"/>
      <c r="F532" s="167"/>
      <c r="G532" s="167"/>
      <c r="H532" s="167"/>
      <c r="I532" s="167"/>
      <c r="J532" s="167"/>
      <c r="K532" s="167"/>
      <c r="L532" s="167"/>
      <c r="M532" s="167"/>
      <c r="N532" s="167"/>
      <c r="O532" s="167"/>
      <c r="Q532" s="163"/>
    </row>
    <row r="533" spans="2:17" ht="13.2">
      <c r="B533" s="167"/>
      <c r="C533" s="162"/>
      <c r="D533" s="168"/>
      <c r="E533" s="162"/>
      <c r="F533" s="167"/>
      <c r="G533" s="167"/>
      <c r="H533" s="167"/>
      <c r="I533" s="167"/>
      <c r="J533" s="167"/>
      <c r="K533" s="167"/>
      <c r="L533" s="167"/>
      <c r="M533" s="167"/>
      <c r="N533" s="167"/>
      <c r="O533" s="167"/>
      <c r="Q533" s="163"/>
    </row>
    <row r="534" spans="2:17" ht="13.2">
      <c r="B534" s="167"/>
      <c r="C534" s="162"/>
      <c r="D534" s="168"/>
      <c r="E534" s="162"/>
      <c r="F534" s="167"/>
      <c r="G534" s="167"/>
      <c r="H534" s="167"/>
      <c r="I534" s="167"/>
      <c r="J534" s="167"/>
      <c r="K534" s="167"/>
      <c r="L534" s="167"/>
      <c r="M534" s="167"/>
      <c r="N534" s="167"/>
      <c r="O534" s="167"/>
      <c r="Q534" s="163"/>
    </row>
    <row r="535" spans="2:17" ht="13.2">
      <c r="B535" s="167"/>
      <c r="C535" s="162"/>
      <c r="D535" s="168"/>
      <c r="E535" s="162"/>
      <c r="F535" s="167"/>
      <c r="G535" s="167"/>
      <c r="H535" s="167"/>
      <c r="I535" s="167"/>
      <c r="J535" s="167"/>
      <c r="K535" s="167"/>
      <c r="L535" s="167"/>
      <c r="M535" s="167"/>
      <c r="N535" s="167"/>
      <c r="O535" s="167"/>
      <c r="Q535" s="163"/>
    </row>
    <row r="536" spans="2:17" ht="13.2">
      <c r="B536" s="167"/>
      <c r="C536" s="162"/>
      <c r="D536" s="168"/>
      <c r="E536" s="162"/>
      <c r="F536" s="167"/>
      <c r="G536" s="167"/>
      <c r="H536" s="167"/>
      <c r="I536" s="167"/>
      <c r="J536" s="167"/>
      <c r="K536" s="167"/>
      <c r="L536" s="167"/>
      <c r="M536" s="167"/>
      <c r="N536" s="167"/>
      <c r="O536" s="167"/>
      <c r="Q536" s="163"/>
    </row>
    <row r="537" spans="2:17" ht="13.2">
      <c r="B537" s="167"/>
      <c r="C537" s="162"/>
      <c r="D537" s="168"/>
      <c r="E537" s="162"/>
      <c r="F537" s="167"/>
      <c r="G537" s="167"/>
      <c r="H537" s="167"/>
      <c r="I537" s="167"/>
      <c r="J537" s="167"/>
      <c r="K537" s="167"/>
      <c r="L537" s="167"/>
      <c r="M537" s="167"/>
      <c r="N537" s="167"/>
      <c r="O537" s="167"/>
      <c r="Q537" s="163"/>
    </row>
    <row r="538" spans="2:17" ht="13.2">
      <c r="B538" s="167"/>
      <c r="C538" s="162"/>
      <c r="D538" s="168"/>
      <c r="E538" s="162"/>
      <c r="F538" s="167"/>
      <c r="G538" s="167"/>
      <c r="H538" s="167"/>
      <c r="I538" s="167"/>
      <c r="J538" s="167"/>
      <c r="K538" s="167"/>
      <c r="L538" s="167"/>
      <c r="M538" s="167"/>
      <c r="N538" s="167"/>
      <c r="O538" s="167"/>
      <c r="Q538" s="163"/>
    </row>
    <row r="539" spans="2:17" ht="13.2">
      <c r="B539" s="167"/>
      <c r="C539" s="162"/>
      <c r="D539" s="168"/>
      <c r="E539" s="162"/>
      <c r="F539" s="167"/>
      <c r="G539" s="167"/>
      <c r="H539" s="167"/>
      <c r="I539" s="167"/>
      <c r="J539" s="167"/>
      <c r="K539" s="167"/>
      <c r="L539" s="167"/>
      <c r="M539" s="167"/>
      <c r="N539" s="167"/>
      <c r="O539" s="167"/>
      <c r="Q539" s="163"/>
    </row>
    <row r="540" spans="2:17" ht="13.2">
      <c r="B540" s="167"/>
      <c r="C540" s="162"/>
      <c r="D540" s="168"/>
      <c r="E540" s="162"/>
      <c r="F540" s="167"/>
      <c r="G540" s="167"/>
      <c r="H540" s="167"/>
      <c r="I540" s="167"/>
      <c r="J540" s="167"/>
      <c r="K540" s="167"/>
      <c r="L540" s="167"/>
      <c r="M540" s="167"/>
      <c r="N540" s="167"/>
      <c r="O540" s="167"/>
      <c r="Q540" s="163"/>
    </row>
    <row r="541" spans="2:17" ht="13.2">
      <c r="B541" s="167"/>
      <c r="C541" s="162"/>
      <c r="D541" s="168"/>
      <c r="E541" s="162"/>
      <c r="F541" s="167"/>
      <c r="G541" s="167"/>
      <c r="H541" s="167"/>
      <c r="I541" s="167"/>
      <c r="J541" s="167"/>
      <c r="K541" s="167"/>
      <c r="L541" s="167"/>
      <c r="M541" s="167"/>
      <c r="N541" s="167"/>
      <c r="O541" s="167"/>
      <c r="Q541" s="163"/>
    </row>
    <row r="542" spans="2:17" ht="13.2">
      <c r="B542" s="167"/>
      <c r="C542" s="162"/>
      <c r="D542" s="168"/>
      <c r="E542" s="162"/>
      <c r="F542" s="167"/>
      <c r="G542" s="167"/>
      <c r="H542" s="167"/>
      <c r="I542" s="167"/>
      <c r="J542" s="167"/>
      <c r="K542" s="167"/>
      <c r="L542" s="167"/>
      <c r="M542" s="167"/>
      <c r="N542" s="167"/>
      <c r="O542" s="167"/>
      <c r="Q542" s="163"/>
    </row>
    <row r="543" spans="2:17" ht="13.2">
      <c r="B543" s="167"/>
      <c r="C543" s="162"/>
      <c r="D543" s="168"/>
      <c r="E543" s="162"/>
      <c r="F543" s="167"/>
      <c r="G543" s="167"/>
      <c r="H543" s="167"/>
      <c r="I543" s="167"/>
      <c r="J543" s="167"/>
      <c r="K543" s="167"/>
      <c r="L543" s="167"/>
      <c r="M543" s="167"/>
      <c r="N543" s="167"/>
      <c r="O543" s="167"/>
      <c r="Q543" s="163"/>
    </row>
    <row r="544" spans="2:17" ht="13.2">
      <c r="B544" s="167"/>
      <c r="C544" s="162"/>
      <c r="D544" s="168"/>
      <c r="E544" s="162"/>
      <c r="F544" s="167"/>
      <c r="G544" s="167"/>
      <c r="H544" s="167"/>
      <c r="I544" s="167"/>
      <c r="J544" s="167"/>
      <c r="K544" s="167"/>
      <c r="L544" s="167"/>
      <c r="M544" s="167"/>
      <c r="N544" s="167"/>
      <c r="O544" s="167"/>
      <c r="Q544" s="163"/>
    </row>
    <row r="545" spans="2:17" ht="13.2">
      <c r="B545" s="167"/>
      <c r="C545" s="162"/>
      <c r="D545" s="168"/>
      <c r="E545" s="162"/>
      <c r="F545" s="167"/>
      <c r="G545" s="167"/>
      <c r="H545" s="167"/>
      <c r="I545" s="167"/>
      <c r="J545" s="167"/>
      <c r="K545" s="167"/>
      <c r="L545" s="167"/>
      <c r="M545" s="167"/>
      <c r="N545" s="167"/>
      <c r="O545" s="167"/>
      <c r="Q545" s="163"/>
    </row>
    <row r="546" spans="2:17" ht="13.2">
      <c r="B546" s="167"/>
      <c r="C546" s="162"/>
      <c r="D546" s="168"/>
      <c r="E546" s="162"/>
      <c r="F546" s="167"/>
      <c r="G546" s="167"/>
      <c r="H546" s="167"/>
      <c r="I546" s="167"/>
      <c r="J546" s="167"/>
      <c r="K546" s="167"/>
      <c r="L546" s="167"/>
      <c r="M546" s="167"/>
      <c r="N546" s="167"/>
      <c r="O546" s="167"/>
      <c r="Q546" s="163"/>
    </row>
    <row r="547" spans="2:17" ht="13.2">
      <c r="B547" s="167"/>
      <c r="C547" s="162"/>
      <c r="D547" s="168"/>
      <c r="E547" s="162"/>
      <c r="F547" s="167"/>
      <c r="G547" s="167"/>
      <c r="H547" s="167"/>
      <c r="I547" s="167"/>
      <c r="J547" s="167"/>
      <c r="K547" s="167"/>
      <c r="L547" s="167"/>
      <c r="M547" s="167"/>
      <c r="N547" s="167"/>
      <c r="O547" s="167"/>
      <c r="Q547" s="163"/>
    </row>
    <row r="548" spans="2:17" ht="13.2">
      <c r="B548" s="167"/>
      <c r="C548" s="162"/>
      <c r="D548" s="168"/>
      <c r="E548" s="162"/>
      <c r="F548" s="167"/>
      <c r="G548" s="167"/>
      <c r="H548" s="167"/>
      <c r="I548" s="167"/>
      <c r="J548" s="167"/>
      <c r="K548" s="167"/>
      <c r="L548" s="167"/>
      <c r="M548" s="167"/>
      <c r="N548" s="167"/>
      <c r="O548" s="167"/>
      <c r="Q548" s="163"/>
    </row>
    <row r="549" spans="2:17" ht="13.2">
      <c r="B549" s="167"/>
      <c r="C549" s="162"/>
      <c r="D549" s="168"/>
      <c r="E549" s="162"/>
      <c r="F549" s="167"/>
      <c r="G549" s="167"/>
      <c r="H549" s="167"/>
      <c r="I549" s="167"/>
      <c r="J549" s="167"/>
      <c r="K549" s="167"/>
      <c r="L549" s="167"/>
      <c r="M549" s="167"/>
      <c r="N549" s="167"/>
      <c r="O549" s="167"/>
      <c r="Q549" s="163"/>
    </row>
    <row r="550" spans="2:17" ht="13.2">
      <c r="B550" s="167"/>
      <c r="C550" s="162"/>
      <c r="D550" s="168"/>
      <c r="E550" s="162"/>
      <c r="F550" s="167"/>
      <c r="G550" s="167"/>
      <c r="H550" s="167"/>
      <c r="I550" s="167"/>
      <c r="J550" s="167"/>
      <c r="K550" s="167"/>
      <c r="L550" s="167"/>
      <c r="M550" s="167"/>
      <c r="N550" s="167"/>
      <c r="O550" s="167"/>
      <c r="Q550" s="163"/>
    </row>
    <row r="551" spans="2:17" ht="13.2">
      <c r="B551" s="167"/>
      <c r="C551" s="162"/>
      <c r="D551" s="168"/>
      <c r="E551" s="162"/>
      <c r="F551" s="167"/>
      <c r="G551" s="167"/>
      <c r="H551" s="167"/>
      <c r="I551" s="167"/>
      <c r="J551" s="167"/>
      <c r="K551" s="167"/>
      <c r="L551" s="167"/>
      <c r="M551" s="167"/>
      <c r="N551" s="167"/>
      <c r="O551" s="167"/>
      <c r="Q551" s="163"/>
    </row>
    <row r="552" spans="2:17" ht="13.2">
      <c r="B552" s="167"/>
      <c r="C552" s="162"/>
      <c r="D552" s="168"/>
      <c r="E552" s="162"/>
      <c r="F552" s="167"/>
      <c r="G552" s="167"/>
      <c r="H552" s="167"/>
      <c r="I552" s="167"/>
      <c r="J552" s="167"/>
      <c r="K552" s="167"/>
      <c r="L552" s="167"/>
      <c r="M552" s="167"/>
      <c r="N552" s="167"/>
      <c r="O552" s="167"/>
      <c r="Q552" s="163"/>
    </row>
    <row r="553" spans="2:17" ht="13.2">
      <c r="B553" s="167"/>
      <c r="C553" s="162"/>
      <c r="D553" s="168"/>
      <c r="E553" s="162"/>
      <c r="F553" s="167"/>
      <c r="G553" s="167"/>
      <c r="H553" s="167"/>
      <c r="I553" s="167"/>
      <c r="J553" s="167"/>
      <c r="K553" s="167"/>
      <c r="L553" s="167"/>
      <c r="M553" s="167"/>
      <c r="N553" s="167"/>
      <c r="O553" s="167"/>
      <c r="Q553" s="163"/>
    </row>
    <row r="554" spans="2:17" ht="13.2">
      <c r="B554" s="167"/>
      <c r="C554" s="162"/>
      <c r="D554" s="168"/>
      <c r="E554" s="162"/>
      <c r="F554" s="167"/>
      <c r="G554" s="167"/>
      <c r="H554" s="167"/>
      <c r="I554" s="167"/>
      <c r="J554" s="167"/>
      <c r="K554" s="167"/>
      <c r="L554" s="167"/>
      <c r="M554" s="167"/>
      <c r="N554" s="167"/>
      <c r="O554" s="167"/>
      <c r="Q554" s="163"/>
    </row>
    <row r="555" spans="2:17" ht="13.2">
      <c r="B555" s="167"/>
      <c r="C555" s="162"/>
      <c r="D555" s="168"/>
      <c r="E555" s="162"/>
      <c r="F555" s="167"/>
      <c r="G555" s="167"/>
      <c r="H555" s="167"/>
      <c r="I555" s="167"/>
      <c r="J555" s="167"/>
      <c r="K555" s="167"/>
      <c r="L555" s="167"/>
      <c r="M555" s="167"/>
      <c r="N555" s="167"/>
      <c r="O555" s="167"/>
      <c r="Q555" s="163"/>
    </row>
    <row r="556" spans="2:17" ht="13.2">
      <c r="B556" s="167"/>
      <c r="C556" s="162"/>
      <c r="D556" s="168"/>
      <c r="E556" s="162"/>
      <c r="F556" s="167"/>
      <c r="G556" s="167"/>
      <c r="H556" s="167"/>
      <c r="I556" s="167"/>
      <c r="J556" s="167"/>
      <c r="K556" s="167"/>
      <c r="L556" s="167"/>
      <c r="M556" s="167"/>
      <c r="N556" s="167"/>
      <c r="O556" s="167"/>
      <c r="Q556" s="163"/>
    </row>
    <row r="557" spans="2:17" ht="13.2">
      <c r="B557" s="167"/>
      <c r="C557" s="162"/>
      <c r="D557" s="168"/>
      <c r="E557" s="162"/>
      <c r="F557" s="167"/>
      <c r="G557" s="167"/>
      <c r="H557" s="167"/>
      <c r="I557" s="167"/>
      <c r="J557" s="167"/>
      <c r="K557" s="167"/>
      <c r="L557" s="167"/>
      <c r="M557" s="167"/>
      <c r="N557" s="167"/>
      <c r="O557" s="167"/>
      <c r="Q557" s="163"/>
    </row>
    <row r="558" spans="2:17" ht="13.2">
      <c r="B558" s="167"/>
      <c r="C558" s="162"/>
      <c r="D558" s="168"/>
      <c r="E558" s="162"/>
      <c r="F558" s="167"/>
      <c r="G558" s="167"/>
      <c r="H558" s="167"/>
      <c r="I558" s="167"/>
      <c r="J558" s="167"/>
      <c r="K558" s="167"/>
      <c r="L558" s="167"/>
      <c r="M558" s="167"/>
      <c r="N558" s="167"/>
      <c r="O558" s="167"/>
      <c r="Q558" s="163"/>
    </row>
    <row r="559" spans="2:17" ht="13.2">
      <c r="B559" s="167"/>
      <c r="C559" s="162"/>
      <c r="D559" s="168"/>
      <c r="E559" s="162"/>
      <c r="F559" s="167"/>
      <c r="G559" s="167"/>
      <c r="H559" s="167"/>
      <c r="I559" s="167"/>
      <c r="J559" s="167"/>
      <c r="K559" s="167"/>
      <c r="L559" s="167"/>
      <c r="M559" s="167"/>
      <c r="N559" s="167"/>
      <c r="O559" s="167"/>
      <c r="Q559" s="163"/>
    </row>
    <row r="560" spans="2:17" ht="13.2">
      <c r="B560" s="167"/>
      <c r="C560" s="162"/>
      <c r="D560" s="168"/>
      <c r="E560" s="162"/>
      <c r="F560" s="167"/>
      <c r="G560" s="167"/>
      <c r="H560" s="167"/>
      <c r="I560" s="167"/>
      <c r="J560" s="167"/>
      <c r="K560" s="167"/>
      <c r="L560" s="167"/>
      <c r="M560" s="167"/>
      <c r="N560" s="167"/>
      <c r="O560" s="167"/>
      <c r="Q560" s="163"/>
    </row>
    <row r="561" spans="2:17" ht="13.2">
      <c r="B561" s="167"/>
      <c r="C561" s="162"/>
      <c r="D561" s="168"/>
      <c r="E561" s="162"/>
      <c r="F561" s="167"/>
      <c r="G561" s="167"/>
      <c r="H561" s="167"/>
      <c r="I561" s="167"/>
      <c r="J561" s="167"/>
      <c r="K561" s="167"/>
      <c r="L561" s="167"/>
      <c r="M561" s="167"/>
      <c r="N561" s="167"/>
      <c r="O561" s="167"/>
      <c r="Q561" s="163"/>
    </row>
    <row r="562" spans="2:17" ht="13.2">
      <c r="B562" s="167"/>
      <c r="C562" s="162"/>
      <c r="D562" s="168"/>
      <c r="E562" s="162"/>
      <c r="F562" s="167"/>
      <c r="G562" s="167"/>
      <c r="H562" s="167"/>
      <c r="I562" s="167"/>
      <c r="J562" s="167"/>
      <c r="K562" s="167"/>
      <c r="L562" s="167"/>
      <c r="M562" s="167"/>
      <c r="N562" s="167"/>
      <c r="O562" s="167"/>
      <c r="Q562" s="163"/>
    </row>
    <row r="563" spans="2:17" ht="13.2">
      <c r="B563" s="167"/>
      <c r="C563" s="162"/>
      <c r="D563" s="168"/>
      <c r="E563" s="162"/>
      <c r="F563" s="167"/>
      <c r="G563" s="167"/>
      <c r="H563" s="167"/>
      <c r="I563" s="167"/>
      <c r="J563" s="167"/>
      <c r="K563" s="167"/>
      <c r="L563" s="167"/>
      <c r="M563" s="167"/>
      <c r="N563" s="167"/>
      <c r="O563" s="167"/>
      <c r="Q563" s="163"/>
    </row>
    <row r="564" spans="2:17" ht="13.2">
      <c r="B564" s="167"/>
      <c r="C564" s="162"/>
      <c r="D564" s="168"/>
      <c r="E564" s="162"/>
      <c r="F564" s="167"/>
      <c r="G564" s="167"/>
      <c r="H564" s="167"/>
      <c r="I564" s="167"/>
      <c r="J564" s="167"/>
      <c r="K564" s="167"/>
      <c r="L564" s="167"/>
      <c r="M564" s="167"/>
      <c r="N564" s="167"/>
      <c r="O564" s="167"/>
      <c r="Q564" s="163"/>
    </row>
    <row r="565" spans="2:17" ht="13.2">
      <c r="B565" s="167"/>
      <c r="C565" s="162"/>
      <c r="D565" s="168"/>
      <c r="E565" s="162"/>
      <c r="F565" s="167"/>
      <c r="G565" s="167"/>
      <c r="H565" s="167"/>
      <c r="I565" s="167"/>
      <c r="J565" s="167"/>
      <c r="K565" s="167"/>
      <c r="L565" s="167"/>
      <c r="M565" s="167"/>
      <c r="N565" s="167"/>
      <c r="O565" s="167"/>
      <c r="Q565" s="163"/>
    </row>
    <row r="566" spans="2:17" ht="13.2">
      <c r="B566" s="167"/>
      <c r="C566" s="162"/>
      <c r="D566" s="168"/>
      <c r="E566" s="162"/>
      <c r="F566" s="167"/>
      <c r="G566" s="167"/>
      <c r="H566" s="167"/>
      <c r="I566" s="167"/>
      <c r="J566" s="167"/>
      <c r="K566" s="167"/>
      <c r="L566" s="167"/>
      <c r="M566" s="167"/>
      <c r="N566" s="167"/>
      <c r="O566" s="167"/>
      <c r="Q566" s="163"/>
    </row>
    <row r="567" spans="2:17" ht="13.2">
      <c r="B567" s="167"/>
      <c r="C567" s="162"/>
      <c r="D567" s="168"/>
      <c r="E567" s="162"/>
      <c r="F567" s="167"/>
      <c r="G567" s="167"/>
      <c r="H567" s="167"/>
      <c r="I567" s="167"/>
      <c r="J567" s="167"/>
      <c r="K567" s="167"/>
      <c r="L567" s="167"/>
      <c r="M567" s="167"/>
      <c r="N567" s="167"/>
      <c r="O567" s="167"/>
      <c r="Q567" s="163"/>
    </row>
    <row r="568" spans="2:17" ht="13.2">
      <c r="B568" s="167"/>
      <c r="C568" s="162"/>
      <c r="D568" s="168"/>
      <c r="E568" s="162"/>
      <c r="F568" s="167"/>
      <c r="G568" s="167"/>
      <c r="H568" s="167"/>
      <c r="I568" s="167"/>
      <c r="J568" s="167"/>
      <c r="K568" s="167"/>
      <c r="L568" s="167"/>
      <c r="M568" s="167"/>
      <c r="N568" s="167"/>
      <c r="O568" s="167"/>
      <c r="Q568" s="163"/>
    </row>
    <row r="569" spans="2:17" ht="13.2">
      <c r="B569" s="167"/>
      <c r="C569" s="162"/>
      <c r="D569" s="168"/>
      <c r="E569" s="162"/>
      <c r="F569" s="167"/>
      <c r="G569" s="167"/>
      <c r="H569" s="167"/>
      <c r="I569" s="167"/>
      <c r="J569" s="167"/>
      <c r="K569" s="167"/>
      <c r="L569" s="167"/>
      <c r="M569" s="167"/>
      <c r="N569" s="167"/>
      <c r="O569" s="167"/>
      <c r="Q569" s="163"/>
    </row>
    <row r="570" spans="2:17" ht="13.2">
      <c r="B570" s="167"/>
      <c r="C570" s="162"/>
      <c r="D570" s="168"/>
      <c r="E570" s="162"/>
      <c r="F570" s="167"/>
      <c r="G570" s="167"/>
      <c r="H570" s="167"/>
      <c r="I570" s="167"/>
      <c r="J570" s="167"/>
      <c r="K570" s="167"/>
      <c r="L570" s="167"/>
      <c r="M570" s="167"/>
      <c r="N570" s="167"/>
      <c r="O570" s="167"/>
      <c r="Q570" s="163"/>
    </row>
    <row r="571" spans="2:17" ht="13.2">
      <c r="B571" s="167"/>
      <c r="C571" s="162"/>
      <c r="D571" s="168"/>
      <c r="E571" s="162"/>
      <c r="F571" s="167"/>
      <c r="G571" s="167"/>
      <c r="H571" s="167"/>
      <c r="I571" s="167"/>
      <c r="J571" s="167"/>
      <c r="K571" s="167"/>
      <c r="L571" s="167"/>
      <c r="M571" s="167"/>
      <c r="N571" s="167"/>
      <c r="O571" s="167"/>
      <c r="Q571" s="163"/>
    </row>
    <row r="572" spans="2:17" ht="13.2">
      <c r="B572" s="167"/>
      <c r="C572" s="162"/>
      <c r="D572" s="168"/>
      <c r="E572" s="162"/>
      <c r="F572" s="167"/>
      <c r="G572" s="167"/>
      <c r="H572" s="167"/>
      <c r="I572" s="167"/>
      <c r="J572" s="167"/>
      <c r="K572" s="167"/>
      <c r="L572" s="167"/>
      <c r="M572" s="167"/>
      <c r="N572" s="167"/>
      <c r="O572" s="167"/>
      <c r="Q572" s="163"/>
    </row>
    <row r="573" spans="2:17" ht="13.2">
      <c r="B573" s="167"/>
      <c r="C573" s="162"/>
      <c r="D573" s="168"/>
      <c r="E573" s="162"/>
      <c r="F573" s="167"/>
      <c r="G573" s="167"/>
      <c r="H573" s="167"/>
      <c r="I573" s="167"/>
      <c r="J573" s="167"/>
      <c r="K573" s="167"/>
      <c r="L573" s="167"/>
      <c r="M573" s="167"/>
      <c r="N573" s="167"/>
      <c r="O573" s="167"/>
      <c r="Q573" s="163"/>
    </row>
    <row r="574" spans="2:17" ht="13.2">
      <c r="B574" s="167"/>
      <c r="C574" s="162"/>
      <c r="D574" s="168"/>
      <c r="E574" s="162"/>
      <c r="F574" s="167"/>
      <c r="G574" s="167"/>
      <c r="H574" s="167"/>
      <c r="I574" s="167"/>
      <c r="J574" s="167"/>
      <c r="K574" s="167"/>
      <c r="L574" s="167"/>
      <c r="M574" s="167"/>
      <c r="N574" s="167"/>
      <c r="O574" s="167"/>
      <c r="Q574" s="163"/>
    </row>
    <row r="575" spans="2:17" ht="13.2">
      <c r="B575" s="167"/>
      <c r="C575" s="162"/>
      <c r="D575" s="168"/>
      <c r="E575" s="162"/>
      <c r="F575" s="167"/>
      <c r="G575" s="167"/>
      <c r="H575" s="167"/>
      <c r="I575" s="167"/>
      <c r="J575" s="167"/>
      <c r="K575" s="167"/>
      <c r="L575" s="167"/>
      <c r="M575" s="167"/>
      <c r="N575" s="167"/>
      <c r="O575" s="167"/>
      <c r="Q575" s="163"/>
    </row>
    <row r="576" spans="2:17" ht="13.2">
      <c r="B576" s="167"/>
      <c r="C576" s="162"/>
      <c r="D576" s="168"/>
      <c r="E576" s="162"/>
      <c r="F576" s="167"/>
      <c r="G576" s="167"/>
      <c r="H576" s="167"/>
      <c r="I576" s="167"/>
      <c r="J576" s="167"/>
      <c r="K576" s="167"/>
      <c r="L576" s="167"/>
      <c r="M576" s="167"/>
      <c r="N576" s="167"/>
      <c r="O576" s="167"/>
      <c r="Q576" s="163"/>
    </row>
    <row r="577" spans="2:17" ht="13.2">
      <c r="B577" s="167"/>
      <c r="C577" s="162"/>
      <c r="D577" s="168"/>
      <c r="E577" s="162"/>
      <c r="F577" s="167"/>
      <c r="G577" s="167"/>
      <c r="H577" s="167"/>
      <c r="I577" s="167"/>
      <c r="J577" s="167"/>
      <c r="K577" s="167"/>
      <c r="L577" s="167"/>
      <c r="M577" s="167"/>
      <c r="N577" s="167"/>
      <c r="O577" s="167"/>
      <c r="Q577" s="163"/>
    </row>
    <row r="578" spans="2:17" ht="13.2">
      <c r="B578" s="167"/>
      <c r="C578" s="162"/>
      <c r="D578" s="168"/>
      <c r="E578" s="162"/>
      <c r="F578" s="167"/>
      <c r="G578" s="167"/>
      <c r="H578" s="167"/>
      <c r="I578" s="167"/>
      <c r="J578" s="167"/>
      <c r="K578" s="167"/>
      <c r="L578" s="167"/>
      <c r="M578" s="167"/>
      <c r="N578" s="167"/>
      <c r="O578" s="167"/>
      <c r="Q578" s="163"/>
    </row>
    <row r="579" spans="2:17" ht="13.2">
      <c r="B579" s="167"/>
      <c r="C579" s="162"/>
      <c r="D579" s="168"/>
      <c r="E579" s="162"/>
      <c r="F579" s="167"/>
      <c r="G579" s="167"/>
      <c r="H579" s="167"/>
      <c r="I579" s="167"/>
      <c r="J579" s="167"/>
      <c r="K579" s="167"/>
      <c r="L579" s="167"/>
      <c r="M579" s="167"/>
      <c r="N579" s="167"/>
      <c r="O579" s="167"/>
      <c r="Q579" s="163"/>
    </row>
    <row r="580" spans="2:17" ht="13.2">
      <c r="B580" s="167"/>
      <c r="C580" s="162"/>
      <c r="D580" s="168"/>
      <c r="E580" s="162"/>
      <c r="F580" s="167"/>
      <c r="G580" s="167"/>
      <c r="H580" s="167"/>
      <c r="I580" s="167"/>
      <c r="J580" s="167"/>
      <c r="K580" s="167"/>
      <c r="L580" s="167"/>
      <c r="M580" s="167"/>
      <c r="N580" s="167"/>
      <c r="O580" s="167"/>
      <c r="Q580" s="163"/>
    </row>
    <row r="581" spans="2:17" ht="13.2">
      <c r="B581" s="167"/>
      <c r="C581" s="162"/>
      <c r="D581" s="168"/>
      <c r="E581" s="162"/>
      <c r="F581" s="167"/>
      <c r="G581" s="167"/>
      <c r="H581" s="167"/>
      <c r="I581" s="167"/>
      <c r="J581" s="167"/>
      <c r="K581" s="167"/>
      <c r="L581" s="167"/>
      <c r="M581" s="167"/>
      <c r="N581" s="167"/>
      <c r="O581" s="167"/>
      <c r="Q581" s="163"/>
    </row>
    <row r="582" spans="2:17" ht="13.2">
      <c r="B582" s="167"/>
      <c r="C582" s="162"/>
      <c r="D582" s="168"/>
      <c r="E582" s="162"/>
      <c r="F582" s="167"/>
      <c r="G582" s="167"/>
      <c r="H582" s="167"/>
      <c r="I582" s="167"/>
      <c r="J582" s="167"/>
      <c r="K582" s="167"/>
      <c r="L582" s="167"/>
      <c r="M582" s="167"/>
      <c r="N582" s="167"/>
      <c r="O582" s="167"/>
      <c r="Q582" s="163"/>
    </row>
    <row r="583" spans="2:17" ht="13.2">
      <c r="B583" s="167"/>
      <c r="C583" s="162"/>
      <c r="D583" s="168"/>
      <c r="E583" s="162"/>
      <c r="F583" s="167"/>
      <c r="G583" s="167"/>
      <c r="H583" s="167"/>
      <c r="I583" s="167"/>
      <c r="J583" s="167"/>
      <c r="K583" s="167"/>
      <c r="L583" s="167"/>
      <c r="M583" s="167"/>
      <c r="N583" s="167"/>
      <c r="O583" s="167"/>
      <c r="Q583" s="163"/>
    </row>
    <row r="584" spans="2:17" ht="13.2">
      <c r="B584" s="167"/>
      <c r="C584" s="162"/>
      <c r="D584" s="168"/>
      <c r="E584" s="162"/>
      <c r="F584" s="167"/>
      <c r="G584" s="167"/>
      <c r="H584" s="167"/>
      <c r="I584" s="167"/>
      <c r="J584" s="167"/>
      <c r="K584" s="167"/>
      <c r="L584" s="167"/>
      <c r="M584" s="167"/>
      <c r="N584" s="167"/>
      <c r="O584" s="167"/>
      <c r="Q584" s="163"/>
    </row>
    <row r="585" spans="2:17" ht="13.2">
      <c r="B585" s="167"/>
      <c r="C585" s="162"/>
      <c r="D585" s="168"/>
      <c r="E585" s="162"/>
      <c r="F585" s="167"/>
      <c r="G585" s="167"/>
      <c r="H585" s="167"/>
      <c r="I585" s="167"/>
      <c r="J585" s="167"/>
      <c r="K585" s="167"/>
      <c r="L585" s="167"/>
      <c r="M585" s="167"/>
      <c r="N585" s="167"/>
      <c r="O585" s="167"/>
      <c r="Q585" s="163"/>
    </row>
    <row r="586" spans="2:17" ht="13.2">
      <c r="B586" s="167"/>
      <c r="C586" s="162"/>
      <c r="D586" s="168"/>
      <c r="E586" s="162"/>
      <c r="F586" s="167"/>
      <c r="G586" s="167"/>
      <c r="H586" s="167"/>
      <c r="I586" s="167"/>
      <c r="J586" s="167"/>
      <c r="K586" s="167"/>
      <c r="L586" s="167"/>
      <c r="M586" s="167"/>
      <c r="N586" s="167"/>
      <c r="O586" s="167"/>
      <c r="Q586" s="163"/>
    </row>
    <row r="587" spans="2:17" ht="13.2">
      <c r="B587" s="167"/>
      <c r="C587" s="162"/>
      <c r="D587" s="168"/>
      <c r="E587" s="162"/>
      <c r="F587" s="167"/>
      <c r="G587" s="167"/>
      <c r="H587" s="167"/>
      <c r="I587" s="167"/>
      <c r="J587" s="167"/>
      <c r="K587" s="167"/>
      <c r="L587" s="167"/>
      <c r="M587" s="167"/>
      <c r="N587" s="167"/>
      <c r="O587" s="167"/>
      <c r="Q587" s="163"/>
    </row>
    <row r="588" spans="2:17" ht="13.2">
      <c r="B588" s="167"/>
      <c r="C588" s="162"/>
      <c r="D588" s="168"/>
      <c r="E588" s="162"/>
      <c r="F588" s="167"/>
      <c r="G588" s="167"/>
      <c r="H588" s="167"/>
      <c r="I588" s="167"/>
      <c r="J588" s="167"/>
      <c r="K588" s="167"/>
      <c r="L588" s="167"/>
      <c r="M588" s="167"/>
      <c r="N588" s="167"/>
      <c r="O588" s="167"/>
      <c r="Q588" s="163"/>
    </row>
    <row r="589" spans="2:17" ht="13.2">
      <c r="B589" s="167"/>
      <c r="C589" s="162"/>
      <c r="D589" s="168"/>
      <c r="E589" s="162"/>
      <c r="F589" s="167"/>
      <c r="G589" s="167"/>
      <c r="H589" s="167"/>
      <c r="I589" s="167"/>
      <c r="J589" s="167"/>
      <c r="K589" s="167"/>
      <c r="L589" s="167"/>
      <c r="M589" s="167"/>
      <c r="N589" s="167"/>
      <c r="O589" s="167"/>
      <c r="Q589" s="163"/>
    </row>
    <row r="590" spans="2:17" ht="13.2">
      <c r="B590" s="167"/>
      <c r="C590" s="162"/>
      <c r="D590" s="168"/>
      <c r="E590" s="162"/>
      <c r="F590" s="167"/>
      <c r="G590" s="167"/>
      <c r="H590" s="167"/>
      <c r="I590" s="167"/>
      <c r="J590" s="167"/>
      <c r="K590" s="167"/>
      <c r="L590" s="167"/>
      <c r="M590" s="167"/>
      <c r="N590" s="167"/>
      <c r="O590" s="167"/>
      <c r="Q590" s="163"/>
    </row>
    <row r="591" spans="2:17" ht="13.2">
      <c r="B591" s="167"/>
      <c r="C591" s="162"/>
      <c r="D591" s="168"/>
      <c r="E591" s="162"/>
      <c r="F591" s="167"/>
      <c r="G591" s="167"/>
      <c r="H591" s="167"/>
      <c r="I591" s="167"/>
      <c r="J591" s="167"/>
      <c r="K591" s="167"/>
      <c r="L591" s="167"/>
      <c r="M591" s="167"/>
      <c r="N591" s="167"/>
      <c r="O591" s="167"/>
      <c r="Q591" s="163"/>
    </row>
    <row r="592" spans="2:17" ht="13.2">
      <c r="B592" s="167"/>
      <c r="C592" s="162"/>
      <c r="D592" s="168"/>
      <c r="E592" s="162"/>
      <c r="F592" s="167"/>
      <c r="G592" s="167"/>
      <c r="H592" s="167"/>
      <c r="I592" s="167"/>
      <c r="J592" s="167"/>
      <c r="K592" s="167"/>
      <c r="L592" s="167"/>
      <c r="M592" s="167"/>
      <c r="N592" s="167"/>
      <c r="O592" s="167"/>
      <c r="Q592" s="163"/>
    </row>
    <row r="593" spans="2:17" ht="13.2">
      <c r="B593" s="167"/>
      <c r="C593" s="162"/>
      <c r="D593" s="168"/>
      <c r="E593" s="162"/>
      <c r="F593" s="167"/>
      <c r="G593" s="167"/>
      <c r="H593" s="167"/>
      <c r="I593" s="167"/>
      <c r="J593" s="167"/>
      <c r="K593" s="167"/>
      <c r="L593" s="167"/>
      <c r="M593" s="167"/>
      <c r="N593" s="167"/>
      <c r="O593" s="167"/>
      <c r="Q593" s="163"/>
    </row>
    <row r="594" spans="2:17" ht="13.2">
      <c r="B594" s="167"/>
      <c r="C594" s="162"/>
      <c r="D594" s="168"/>
      <c r="E594" s="162"/>
      <c r="F594" s="167"/>
      <c r="G594" s="167"/>
      <c r="H594" s="167"/>
      <c r="I594" s="167"/>
      <c r="J594" s="167"/>
      <c r="K594" s="167"/>
      <c r="L594" s="167"/>
      <c r="M594" s="167"/>
      <c r="N594" s="167"/>
      <c r="O594" s="167"/>
      <c r="Q594" s="163"/>
    </row>
    <row r="595" spans="2:17" ht="13.2">
      <c r="B595" s="167"/>
      <c r="C595" s="162"/>
      <c r="D595" s="168"/>
      <c r="E595" s="162"/>
      <c r="F595" s="167"/>
      <c r="G595" s="167"/>
      <c r="H595" s="167"/>
      <c r="I595" s="167"/>
      <c r="J595" s="167"/>
      <c r="K595" s="167"/>
      <c r="L595" s="167"/>
      <c r="M595" s="167"/>
      <c r="N595" s="167"/>
      <c r="O595" s="167"/>
      <c r="Q595" s="163"/>
    </row>
    <row r="596" spans="2:17" ht="13.2">
      <c r="B596" s="167"/>
      <c r="C596" s="162"/>
      <c r="D596" s="168"/>
      <c r="E596" s="162"/>
      <c r="F596" s="167"/>
      <c r="G596" s="167"/>
      <c r="H596" s="167"/>
      <c r="I596" s="167"/>
      <c r="J596" s="167"/>
      <c r="K596" s="167"/>
      <c r="L596" s="167"/>
      <c r="M596" s="167"/>
      <c r="N596" s="167"/>
      <c r="O596" s="167"/>
      <c r="Q596" s="163"/>
    </row>
    <row r="597" spans="2:17" ht="13.2">
      <c r="B597" s="167"/>
      <c r="C597" s="162"/>
      <c r="D597" s="168"/>
      <c r="E597" s="162"/>
      <c r="F597" s="167"/>
      <c r="G597" s="167"/>
      <c r="H597" s="167"/>
      <c r="I597" s="167"/>
      <c r="J597" s="167"/>
      <c r="K597" s="167"/>
      <c r="L597" s="167"/>
      <c r="M597" s="167"/>
      <c r="N597" s="167"/>
      <c r="O597" s="167"/>
      <c r="Q597" s="163"/>
    </row>
    <row r="598" spans="2:17" ht="13.2">
      <c r="B598" s="167"/>
      <c r="C598" s="162"/>
      <c r="D598" s="168"/>
      <c r="E598" s="162"/>
      <c r="F598" s="167"/>
      <c r="G598" s="167"/>
      <c r="H598" s="167"/>
      <c r="I598" s="167"/>
      <c r="J598" s="167"/>
      <c r="K598" s="167"/>
      <c r="L598" s="167"/>
      <c r="M598" s="167"/>
      <c r="N598" s="167"/>
      <c r="O598" s="167"/>
      <c r="Q598" s="163"/>
    </row>
    <row r="599" spans="2:17" ht="13.2">
      <c r="B599" s="167"/>
      <c r="C599" s="162"/>
      <c r="D599" s="168"/>
      <c r="E599" s="162"/>
      <c r="F599" s="167"/>
      <c r="G599" s="167"/>
      <c r="H599" s="167"/>
      <c r="I599" s="167"/>
      <c r="J599" s="167"/>
      <c r="K599" s="167"/>
      <c r="L599" s="167"/>
      <c r="M599" s="167"/>
      <c r="N599" s="167"/>
      <c r="O599" s="167"/>
      <c r="Q599" s="163"/>
    </row>
    <row r="600" spans="2:17" ht="13.2">
      <c r="B600" s="167"/>
      <c r="C600" s="162"/>
      <c r="D600" s="168"/>
      <c r="E600" s="162"/>
      <c r="F600" s="167"/>
      <c r="G600" s="167"/>
      <c r="H600" s="167"/>
      <c r="I600" s="167"/>
      <c r="J600" s="167"/>
      <c r="K600" s="167"/>
      <c r="L600" s="167"/>
      <c r="M600" s="167"/>
      <c r="N600" s="167"/>
      <c r="O600" s="167"/>
      <c r="Q600" s="163"/>
    </row>
    <row r="601" spans="2:17" ht="13.2">
      <c r="B601" s="167"/>
      <c r="C601" s="162"/>
      <c r="D601" s="168"/>
      <c r="E601" s="162"/>
      <c r="F601" s="167"/>
      <c r="G601" s="167"/>
      <c r="H601" s="167"/>
      <c r="I601" s="167"/>
      <c r="J601" s="167"/>
      <c r="K601" s="167"/>
      <c r="L601" s="167"/>
      <c r="M601" s="167"/>
      <c r="N601" s="167"/>
      <c r="O601" s="167"/>
      <c r="Q601" s="163"/>
    </row>
    <row r="602" spans="2:17" ht="13.2">
      <c r="B602" s="167"/>
      <c r="C602" s="162"/>
      <c r="D602" s="168"/>
      <c r="E602" s="162"/>
      <c r="F602" s="167"/>
      <c r="G602" s="167"/>
      <c r="H602" s="167"/>
      <c r="I602" s="167"/>
      <c r="J602" s="167"/>
      <c r="K602" s="167"/>
      <c r="L602" s="167"/>
      <c r="M602" s="167"/>
      <c r="N602" s="167"/>
      <c r="O602" s="167"/>
      <c r="Q602" s="163"/>
    </row>
    <row r="603" spans="2:17" ht="13.2">
      <c r="B603" s="167"/>
      <c r="C603" s="162"/>
      <c r="D603" s="168"/>
      <c r="E603" s="162"/>
      <c r="F603" s="167"/>
      <c r="G603" s="167"/>
      <c r="H603" s="167"/>
      <c r="I603" s="167"/>
      <c r="J603" s="167"/>
      <c r="K603" s="167"/>
      <c r="L603" s="167"/>
      <c r="M603" s="167"/>
      <c r="N603" s="167"/>
      <c r="O603" s="167"/>
      <c r="Q603" s="163"/>
    </row>
    <row r="604" spans="2:17" ht="13.2">
      <c r="B604" s="167"/>
      <c r="C604" s="162"/>
      <c r="D604" s="168"/>
      <c r="E604" s="162"/>
      <c r="F604" s="167"/>
      <c r="G604" s="167"/>
      <c r="H604" s="167"/>
      <c r="I604" s="167"/>
      <c r="J604" s="167"/>
      <c r="K604" s="167"/>
      <c r="L604" s="167"/>
      <c r="M604" s="167"/>
      <c r="N604" s="167"/>
      <c r="O604" s="167"/>
      <c r="Q604" s="163"/>
    </row>
    <row r="605" spans="2:17" ht="13.2">
      <c r="B605" s="167"/>
      <c r="C605" s="162"/>
      <c r="D605" s="168"/>
      <c r="E605" s="162"/>
      <c r="F605" s="167"/>
      <c r="G605" s="167"/>
      <c r="H605" s="167"/>
      <c r="I605" s="167"/>
      <c r="J605" s="167"/>
      <c r="K605" s="167"/>
      <c r="L605" s="167"/>
      <c r="M605" s="167"/>
      <c r="N605" s="167"/>
      <c r="O605" s="167"/>
      <c r="Q605" s="163"/>
    </row>
    <row r="606" spans="2:17" ht="13.2">
      <c r="B606" s="167"/>
      <c r="C606" s="162"/>
      <c r="D606" s="168"/>
      <c r="E606" s="162"/>
      <c r="F606" s="167"/>
      <c r="G606" s="167"/>
      <c r="H606" s="167"/>
      <c r="I606" s="167"/>
      <c r="J606" s="167"/>
      <c r="K606" s="167"/>
      <c r="L606" s="167"/>
      <c r="M606" s="167"/>
      <c r="N606" s="167"/>
      <c r="O606" s="167"/>
      <c r="Q606" s="163"/>
    </row>
    <row r="607" spans="2:17" ht="13.2">
      <c r="B607" s="167"/>
      <c r="C607" s="162"/>
      <c r="D607" s="168"/>
      <c r="E607" s="162"/>
      <c r="F607" s="167"/>
      <c r="G607" s="167"/>
      <c r="H607" s="167"/>
      <c r="I607" s="167"/>
      <c r="J607" s="167"/>
      <c r="K607" s="167"/>
      <c r="L607" s="167"/>
      <c r="M607" s="167"/>
      <c r="N607" s="167"/>
      <c r="O607" s="167"/>
      <c r="Q607" s="163"/>
    </row>
    <row r="608" spans="2:17" ht="13.2">
      <c r="B608" s="167"/>
      <c r="C608" s="162"/>
      <c r="D608" s="168"/>
      <c r="E608" s="162"/>
      <c r="F608" s="167"/>
      <c r="G608" s="167"/>
      <c r="H608" s="167"/>
      <c r="I608" s="167"/>
      <c r="J608" s="167"/>
      <c r="K608" s="167"/>
      <c r="L608" s="167"/>
      <c r="M608" s="167"/>
      <c r="N608" s="167"/>
      <c r="O608" s="167"/>
      <c r="Q608" s="163"/>
    </row>
    <row r="609" spans="2:17" ht="13.2">
      <c r="B609" s="167"/>
      <c r="C609" s="162"/>
      <c r="D609" s="168"/>
      <c r="E609" s="162"/>
      <c r="F609" s="167"/>
      <c r="G609" s="167"/>
      <c r="H609" s="167"/>
      <c r="I609" s="167"/>
      <c r="J609" s="167"/>
      <c r="K609" s="167"/>
      <c r="L609" s="167"/>
      <c r="M609" s="167"/>
      <c r="N609" s="167"/>
      <c r="O609" s="167"/>
      <c r="Q609" s="163"/>
    </row>
    <row r="610" spans="2:17" ht="13.2">
      <c r="B610" s="167"/>
      <c r="C610" s="162"/>
      <c r="D610" s="168"/>
      <c r="E610" s="162"/>
      <c r="F610" s="167"/>
      <c r="G610" s="167"/>
      <c r="H610" s="167"/>
      <c r="I610" s="167"/>
      <c r="J610" s="167"/>
      <c r="K610" s="167"/>
      <c r="L610" s="167"/>
      <c r="M610" s="167"/>
      <c r="N610" s="167"/>
      <c r="O610" s="167"/>
      <c r="Q610" s="163"/>
    </row>
    <row r="611" spans="2:17" ht="13.2">
      <c r="B611" s="167"/>
      <c r="C611" s="162"/>
      <c r="D611" s="168"/>
      <c r="E611" s="162"/>
      <c r="F611" s="167"/>
      <c r="G611" s="167"/>
      <c r="H611" s="167"/>
      <c r="I611" s="167"/>
      <c r="J611" s="167"/>
      <c r="K611" s="167"/>
      <c r="L611" s="167"/>
      <c r="M611" s="167"/>
      <c r="N611" s="167"/>
      <c r="O611" s="167"/>
      <c r="Q611" s="163"/>
    </row>
    <row r="612" spans="2:17" ht="13.2">
      <c r="B612" s="167"/>
      <c r="C612" s="162"/>
      <c r="D612" s="168"/>
      <c r="E612" s="162"/>
      <c r="F612" s="167"/>
      <c r="G612" s="167"/>
      <c r="H612" s="167"/>
      <c r="I612" s="167"/>
      <c r="J612" s="167"/>
      <c r="K612" s="167"/>
      <c r="L612" s="167"/>
      <c r="M612" s="167"/>
      <c r="N612" s="167"/>
      <c r="O612" s="167"/>
      <c r="Q612" s="163"/>
    </row>
    <row r="613" spans="2:17" ht="13.2">
      <c r="B613" s="167"/>
      <c r="C613" s="162"/>
      <c r="D613" s="168"/>
      <c r="E613" s="162"/>
      <c r="F613" s="167"/>
      <c r="G613" s="167"/>
      <c r="H613" s="167"/>
      <c r="I613" s="167"/>
      <c r="J613" s="167"/>
      <c r="K613" s="167"/>
      <c r="L613" s="167"/>
      <c r="M613" s="167"/>
      <c r="N613" s="167"/>
      <c r="O613" s="167"/>
      <c r="Q613" s="163"/>
    </row>
    <row r="614" spans="2:17" ht="13.2">
      <c r="B614" s="167"/>
      <c r="C614" s="162"/>
      <c r="D614" s="168"/>
      <c r="E614" s="162"/>
      <c r="F614" s="167"/>
      <c r="G614" s="167"/>
      <c r="H614" s="167"/>
      <c r="I614" s="167"/>
      <c r="J614" s="167"/>
      <c r="K614" s="167"/>
      <c r="L614" s="167"/>
      <c r="M614" s="167"/>
      <c r="N614" s="167"/>
      <c r="O614" s="167"/>
      <c r="Q614" s="163"/>
    </row>
    <row r="615" spans="2:17" ht="13.2">
      <c r="B615" s="167"/>
      <c r="C615" s="162"/>
      <c r="D615" s="168"/>
      <c r="E615" s="162"/>
      <c r="F615" s="167"/>
      <c r="G615" s="167"/>
      <c r="H615" s="167"/>
      <c r="I615" s="167"/>
      <c r="J615" s="167"/>
      <c r="K615" s="167"/>
      <c r="L615" s="167"/>
      <c r="M615" s="167"/>
      <c r="N615" s="167"/>
      <c r="O615" s="167"/>
      <c r="Q615" s="163"/>
    </row>
    <row r="616" spans="2:17" ht="13.2">
      <c r="B616" s="167"/>
      <c r="C616" s="162"/>
      <c r="D616" s="168"/>
      <c r="E616" s="162"/>
      <c r="F616" s="167"/>
      <c r="G616" s="167"/>
      <c r="H616" s="167"/>
      <c r="I616" s="167"/>
      <c r="J616" s="167"/>
      <c r="K616" s="167"/>
      <c r="L616" s="167"/>
      <c r="M616" s="167"/>
      <c r="N616" s="167"/>
      <c r="O616" s="167"/>
      <c r="Q616" s="163"/>
    </row>
    <row r="617" spans="2:17" ht="13.2">
      <c r="B617" s="167"/>
      <c r="C617" s="162"/>
      <c r="D617" s="168"/>
      <c r="E617" s="162"/>
      <c r="F617" s="167"/>
      <c r="G617" s="167"/>
      <c r="H617" s="167"/>
      <c r="I617" s="167"/>
      <c r="J617" s="167"/>
      <c r="K617" s="167"/>
      <c r="L617" s="167"/>
      <c r="M617" s="167"/>
      <c r="N617" s="167"/>
      <c r="O617" s="167"/>
      <c r="Q617" s="163"/>
    </row>
    <row r="618" spans="2:17" ht="13.2">
      <c r="B618" s="167"/>
      <c r="C618" s="162"/>
      <c r="D618" s="168"/>
      <c r="E618" s="162"/>
      <c r="F618" s="167"/>
      <c r="G618" s="167"/>
      <c r="H618" s="167"/>
      <c r="I618" s="167"/>
      <c r="J618" s="167"/>
      <c r="K618" s="167"/>
      <c r="L618" s="167"/>
      <c r="M618" s="167"/>
      <c r="N618" s="167"/>
      <c r="O618" s="167"/>
      <c r="Q618" s="163"/>
    </row>
    <row r="619" spans="2:17" ht="13.2">
      <c r="B619" s="167"/>
      <c r="C619" s="162"/>
      <c r="D619" s="168"/>
      <c r="E619" s="162"/>
      <c r="F619" s="167"/>
      <c r="G619" s="167"/>
      <c r="H619" s="167"/>
      <c r="I619" s="167"/>
      <c r="J619" s="167"/>
      <c r="K619" s="167"/>
      <c r="L619" s="167"/>
      <c r="M619" s="167"/>
      <c r="N619" s="167"/>
      <c r="O619" s="167"/>
      <c r="Q619" s="163"/>
    </row>
    <row r="620" spans="2:17" ht="13.2">
      <c r="B620" s="167"/>
      <c r="C620" s="162"/>
      <c r="D620" s="168"/>
      <c r="E620" s="162"/>
      <c r="F620" s="167"/>
      <c r="G620" s="167"/>
      <c r="H620" s="167"/>
      <c r="I620" s="167"/>
      <c r="J620" s="167"/>
      <c r="K620" s="167"/>
      <c r="L620" s="167"/>
      <c r="M620" s="167"/>
      <c r="N620" s="167"/>
      <c r="O620" s="167"/>
      <c r="Q620" s="163"/>
    </row>
    <row r="621" spans="2:17" ht="13.2">
      <c r="B621" s="167"/>
      <c r="C621" s="162"/>
      <c r="D621" s="168"/>
      <c r="E621" s="162"/>
      <c r="F621" s="167"/>
      <c r="G621" s="167"/>
      <c r="H621" s="167"/>
      <c r="I621" s="167"/>
      <c r="J621" s="167"/>
      <c r="K621" s="167"/>
      <c r="L621" s="167"/>
      <c r="M621" s="167"/>
      <c r="N621" s="167"/>
      <c r="O621" s="167"/>
      <c r="Q621" s="163"/>
    </row>
    <row r="622" spans="2:17" ht="13.2">
      <c r="B622" s="167"/>
      <c r="C622" s="162"/>
      <c r="D622" s="168"/>
      <c r="E622" s="162"/>
      <c r="F622" s="167"/>
      <c r="G622" s="167"/>
      <c r="H622" s="167"/>
      <c r="I622" s="167"/>
      <c r="J622" s="167"/>
      <c r="K622" s="167"/>
      <c r="L622" s="167"/>
      <c r="M622" s="167"/>
      <c r="N622" s="167"/>
      <c r="O622" s="167"/>
      <c r="Q622" s="163"/>
    </row>
    <row r="623" spans="2:17" ht="13.2">
      <c r="B623" s="167"/>
      <c r="C623" s="162"/>
      <c r="D623" s="168"/>
      <c r="E623" s="162"/>
      <c r="F623" s="167"/>
      <c r="G623" s="167"/>
      <c r="H623" s="167"/>
      <c r="I623" s="167"/>
      <c r="J623" s="167"/>
      <c r="K623" s="167"/>
      <c r="L623" s="167"/>
      <c r="M623" s="167"/>
      <c r="N623" s="167"/>
      <c r="O623" s="167"/>
      <c r="Q623" s="163"/>
    </row>
    <row r="624" spans="2:17" ht="13.2">
      <c r="B624" s="167"/>
      <c r="C624" s="162"/>
      <c r="D624" s="168"/>
      <c r="E624" s="162"/>
      <c r="F624" s="167"/>
      <c r="G624" s="167"/>
      <c r="H624" s="167"/>
      <c r="I624" s="167"/>
      <c r="J624" s="167"/>
      <c r="K624" s="167"/>
      <c r="L624" s="167"/>
      <c r="M624" s="167"/>
      <c r="N624" s="167"/>
      <c r="O624" s="167"/>
      <c r="Q624" s="163"/>
    </row>
    <row r="625" spans="2:17" ht="13.2">
      <c r="B625" s="167"/>
      <c r="C625" s="162"/>
      <c r="D625" s="168"/>
      <c r="E625" s="162"/>
      <c r="F625" s="167"/>
      <c r="G625" s="167"/>
      <c r="H625" s="167"/>
      <c r="I625" s="167"/>
      <c r="J625" s="167"/>
      <c r="K625" s="167"/>
      <c r="L625" s="167"/>
      <c r="M625" s="167"/>
      <c r="N625" s="167"/>
      <c r="O625" s="167"/>
      <c r="Q625" s="163"/>
    </row>
    <row r="626" spans="2:17" ht="13.2">
      <c r="B626" s="167"/>
      <c r="C626" s="162"/>
      <c r="D626" s="168"/>
      <c r="E626" s="162"/>
      <c r="F626" s="167"/>
      <c r="G626" s="167"/>
      <c r="H626" s="167"/>
      <c r="I626" s="167"/>
      <c r="J626" s="167"/>
      <c r="K626" s="167"/>
      <c r="L626" s="167"/>
      <c r="M626" s="167"/>
      <c r="N626" s="167"/>
      <c r="O626" s="167"/>
      <c r="Q626" s="163"/>
    </row>
    <row r="627" spans="2:17" ht="13.2">
      <c r="B627" s="167"/>
      <c r="C627" s="162"/>
      <c r="D627" s="168"/>
      <c r="E627" s="162"/>
      <c r="F627" s="167"/>
      <c r="G627" s="167"/>
      <c r="H627" s="167"/>
      <c r="I627" s="167"/>
      <c r="J627" s="167"/>
      <c r="K627" s="167"/>
      <c r="L627" s="167"/>
      <c r="M627" s="167"/>
      <c r="N627" s="167"/>
      <c r="O627" s="167"/>
      <c r="Q627" s="163"/>
    </row>
    <row r="628" spans="2:17" ht="13.2">
      <c r="B628" s="167"/>
      <c r="C628" s="162"/>
      <c r="D628" s="168"/>
      <c r="E628" s="162"/>
      <c r="F628" s="167"/>
      <c r="G628" s="167"/>
      <c r="H628" s="167"/>
      <c r="I628" s="167"/>
      <c r="J628" s="167"/>
      <c r="K628" s="167"/>
      <c r="L628" s="167"/>
      <c r="M628" s="167"/>
      <c r="N628" s="167"/>
      <c r="O628" s="167"/>
      <c r="Q628" s="163"/>
    </row>
    <row r="629" spans="2:17" ht="13.2">
      <c r="B629" s="167"/>
      <c r="C629" s="162"/>
      <c r="D629" s="168"/>
      <c r="E629" s="162"/>
      <c r="F629" s="167"/>
      <c r="G629" s="167"/>
      <c r="H629" s="167"/>
      <c r="I629" s="167"/>
      <c r="J629" s="167"/>
      <c r="K629" s="167"/>
      <c r="L629" s="167"/>
      <c r="M629" s="167"/>
      <c r="N629" s="167"/>
      <c r="O629" s="167"/>
      <c r="Q629" s="163"/>
    </row>
    <row r="630" spans="2:17" ht="13.2">
      <c r="B630" s="167"/>
      <c r="C630" s="162"/>
      <c r="D630" s="168"/>
      <c r="E630" s="162"/>
      <c r="F630" s="167"/>
      <c r="G630" s="167"/>
      <c r="H630" s="167"/>
      <c r="I630" s="167"/>
      <c r="J630" s="167"/>
      <c r="K630" s="167"/>
      <c r="L630" s="167"/>
      <c r="M630" s="167"/>
      <c r="N630" s="167"/>
      <c r="O630" s="167"/>
      <c r="Q630" s="163"/>
    </row>
    <row r="631" spans="2:17" ht="13.2">
      <c r="B631" s="167"/>
      <c r="C631" s="162"/>
      <c r="D631" s="168"/>
      <c r="E631" s="162"/>
      <c r="F631" s="167"/>
      <c r="G631" s="167"/>
      <c r="H631" s="167"/>
      <c r="I631" s="167"/>
      <c r="J631" s="167"/>
      <c r="K631" s="167"/>
      <c r="L631" s="167"/>
      <c r="M631" s="167"/>
      <c r="N631" s="167"/>
      <c r="O631" s="167"/>
      <c r="Q631" s="163"/>
    </row>
    <row r="632" spans="2:17" ht="13.2">
      <c r="B632" s="167"/>
      <c r="C632" s="162"/>
      <c r="D632" s="168"/>
      <c r="E632" s="162"/>
      <c r="F632" s="167"/>
      <c r="G632" s="167"/>
      <c r="H632" s="167"/>
      <c r="I632" s="167"/>
      <c r="J632" s="167"/>
      <c r="K632" s="167"/>
      <c r="L632" s="167"/>
      <c r="M632" s="167"/>
      <c r="N632" s="167"/>
      <c r="O632" s="167"/>
      <c r="Q632" s="163"/>
    </row>
    <row r="633" spans="2:17" ht="13.2">
      <c r="B633" s="167"/>
      <c r="C633" s="162"/>
      <c r="D633" s="168"/>
      <c r="E633" s="162"/>
      <c r="F633" s="167"/>
      <c r="G633" s="167"/>
      <c r="H633" s="167"/>
      <c r="I633" s="167"/>
      <c r="J633" s="167"/>
      <c r="K633" s="167"/>
      <c r="L633" s="167"/>
      <c r="M633" s="167"/>
      <c r="N633" s="167"/>
      <c r="O633" s="167"/>
      <c r="Q633" s="163"/>
    </row>
    <row r="634" spans="2:17" ht="13.2">
      <c r="B634" s="167"/>
      <c r="C634" s="162"/>
      <c r="D634" s="168"/>
      <c r="E634" s="162"/>
      <c r="F634" s="167"/>
      <c r="G634" s="167"/>
      <c r="H634" s="167"/>
      <c r="I634" s="167"/>
      <c r="J634" s="167"/>
      <c r="K634" s="167"/>
      <c r="L634" s="167"/>
      <c r="M634" s="167"/>
      <c r="N634" s="167"/>
      <c r="O634" s="167"/>
      <c r="Q634" s="163"/>
    </row>
    <row r="635" spans="2:17" ht="13.2">
      <c r="B635" s="167"/>
      <c r="C635" s="162"/>
      <c r="D635" s="168"/>
      <c r="E635" s="162"/>
      <c r="F635" s="167"/>
      <c r="G635" s="167"/>
      <c r="H635" s="167"/>
      <c r="I635" s="167"/>
      <c r="J635" s="167"/>
      <c r="K635" s="167"/>
      <c r="L635" s="167"/>
      <c r="M635" s="167"/>
      <c r="N635" s="167"/>
      <c r="O635" s="167"/>
      <c r="Q635" s="163"/>
    </row>
    <row r="636" spans="2:17" ht="13.2">
      <c r="B636" s="167"/>
      <c r="C636" s="162"/>
      <c r="D636" s="168"/>
      <c r="E636" s="162"/>
      <c r="F636" s="167"/>
      <c r="G636" s="167"/>
      <c r="H636" s="167"/>
      <c r="I636" s="167"/>
      <c r="J636" s="167"/>
      <c r="K636" s="167"/>
      <c r="L636" s="167"/>
      <c r="M636" s="167"/>
      <c r="N636" s="167"/>
      <c r="O636" s="167"/>
      <c r="Q636" s="163"/>
    </row>
    <row r="637" spans="2:17" ht="13.2">
      <c r="B637" s="167"/>
      <c r="C637" s="162"/>
      <c r="D637" s="168"/>
      <c r="E637" s="162"/>
      <c r="F637" s="167"/>
      <c r="G637" s="167"/>
      <c r="H637" s="167"/>
      <c r="I637" s="167"/>
      <c r="J637" s="167"/>
      <c r="K637" s="167"/>
      <c r="L637" s="167"/>
      <c r="M637" s="167"/>
      <c r="N637" s="167"/>
      <c r="O637" s="167"/>
      <c r="Q637" s="163"/>
    </row>
    <row r="638" spans="2:17" ht="13.2">
      <c r="B638" s="167"/>
      <c r="C638" s="162"/>
      <c r="D638" s="168"/>
      <c r="E638" s="162"/>
      <c r="F638" s="167"/>
      <c r="G638" s="167"/>
      <c r="H638" s="167"/>
      <c r="I638" s="167"/>
      <c r="J638" s="167"/>
      <c r="K638" s="167"/>
      <c r="L638" s="167"/>
      <c r="M638" s="167"/>
      <c r="N638" s="167"/>
      <c r="O638" s="167"/>
      <c r="Q638" s="163"/>
    </row>
    <row r="639" spans="2:17" ht="13.2">
      <c r="B639" s="167"/>
      <c r="C639" s="162"/>
      <c r="D639" s="168"/>
      <c r="E639" s="162"/>
      <c r="F639" s="167"/>
      <c r="G639" s="167"/>
      <c r="H639" s="167"/>
      <c r="I639" s="167"/>
      <c r="J639" s="167"/>
      <c r="K639" s="167"/>
      <c r="L639" s="167"/>
      <c r="M639" s="167"/>
      <c r="N639" s="167"/>
      <c r="O639" s="167"/>
      <c r="Q639" s="163"/>
    </row>
    <row r="640" spans="2:17" ht="13.2">
      <c r="B640" s="167"/>
      <c r="C640" s="162"/>
      <c r="D640" s="168"/>
      <c r="E640" s="162"/>
      <c r="F640" s="167"/>
      <c r="G640" s="167"/>
      <c r="H640" s="167"/>
      <c r="I640" s="167"/>
      <c r="J640" s="167"/>
      <c r="K640" s="167"/>
      <c r="L640" s="167"/>
      <c r="M640" s="167"/>
      <c r="N640" s="167"/>
      <c r="O640" s="167"/>
      <c r="Q640" s="163"/>
    </row>
    <row r="641" spans="2:17" ht="13.2">
      <c r="B641" s="167"/>
      <c r="C641" s="162"/>
      <c r="D641" s="168"/>
      <c r="E641" s="162"/>
      <c r="F641" s="167"/>
      <c r="G641" s="167"/>
      <c r="H641" s="167"/>
      <c r="I641" s="167"/>
      <c r="J641" s="167"/>
      <c r="K641" s="167"/>
      <c r="L641" s="167"/>
      <c r="M641" s="167"/>
      <c r="N641" s="167"/>
      <c r="O641" s="167"/>
      <c r="Q641" s="163"/>
    </row>
    <row r="642" spans="2:17" ht="13.2">
      <c r="B642" s="167"/>
      <c r="C642" s="162"/>
      <c r="D642" s="168"/>
      <c r="E642" s="162"/>
      <c r="F642" s="167"/>
      <c r="G642" s="167"/>
      <c r="H642" s="167"/>
      <c r="I642" s="167"/>
      <c r="J642" s="167"/>
      <c r="K642" s="167"/>
      <c r="L642" s="167"/>
      <c r="M642" s="167"/>
      <c r="N642" s="167"/>
      <c r="O642" s="167"/>
      <c r="Q642" s="163"/>
    </row>
    <row r="643" spans="2:17" ht="13.2">
      <c r="B643" s="167"/>
      <c r="C643" s="162"/>
      <c r="D643" s="168"/>
      <c r="E643" s="162"/>
      <c r="F643" s="167"/>
      <c r="G643" s="167"/>
      <c r="H643" s="167"/>
      <c r="I643" s="167"/>
      <c r="J643" s="167"/>
      <c r="K643" s="167"/>
      <c r="L643" s="167"/>
      <c r="M643" s="167"/>
      <c r="N643" s="167"/>
      <c r="O643" s="167"/>
      <c r="Q643" s="163"/>
    </row>
    <row r="644" spans="2:17" ht="13.2">
      <c r="B644" s="167"/>
      <c r="C644" s="162"/>
      <c r="D644" s="168"/>
      <c r="E644" s="162"/>
      <c r="F644" s="167"/>
      <c r="G644" s="167"/>
      <c r="H644" s="167"/>
      <c r="I644" s="167"/>
      <c r="J644" s="167"/>
      <c r="K644" s="167"/>
      <c r="L644" s="167"/>
      <c r="M644" s="167"/>
      <c r="N644" s="167"/>
      <c r="O644" s="167"/>
      <c r="Q644" s="163"/>
    </row>
    <row r="645" spans="2:17" ht="13.2">
      <c r="B645" s="167"/>
      <c r="C645" s="162"/>
      <c r="D645" s="168"/>
      <c r="E645" s="162"/>
      <c r="F645" s="167"/>
      <c r="G645" s="167"/>
      <c r="H645" s="167"/>
      <c r="I645" s="167"/>
      <c r="J645" s="167"/>
      <c r="K645" s="167"/>
      <c r="L645" s="167"/>
      <c r="M645" s="167"/>
      <c r="N645" s="167"/>
      <c r="O645" s="167"/>
      <c r="Q645" s="163"/>
    </row>
    <row r="646" spans="2:17" ht="13.2">
      <c r="B646" s="167"/>
      <c r="C646" s="162"/>
      <c r="D646" s="168"/>
      <c r="E646" s="162"/>
      <c r="F646" s="167"/>
      <c r="G646" s="167"/>
      <c r="H646" s="167"/>
      <c r="I646" s="167"/>
      <c r="J646" s="167"/>
      <c r="K646" s="167"/>
      <c r="L646" s="167"/>
      <c r="M646" s="167"/>
      <c r="N646" s="167"/>
      <c r="O646" s="167"/>
      <c r="Q646" s="163"/>
    </row>
    <row r="647" spans="2:17" ht="13.2">
      <c r="B647" s="167"/>
      <c r="C647" s="162"/>
      <c r="D647" s="168"/>
      <c r="E647" s="162"/>
      <c r="F647" s="167"/>
      <c r="G647" s="167"/>
      <c r="H647" s="167"/>
      <c r="I647" s="167"/>
      <c r="J647" s="167"/>
      <c r="K647" s="167"/>
      <c r="L647" s="167"/>
      <c r="M647" s="167"/>
      <c r="N647" s="167"/>
      <c r="O647" s="167"/>
      <c r="Q647" s="163"/>
    </row>
    <row r="648" spans="2:17" ht="13.2">
      <c r="B648" s="167"/>
      <c r="C648" s="162"/>
      <c r="D648" s="168"/>
      <c r="E648" s="162"/>
      <c r="F648" s="167"/>
      <c r="G648" s="167"/>
      <c r="H648" s="167"/>
      <c r="I648" s="167"/>
      <c r="J648" s="167"/>
      <c r="K648" s="167"/>
      <c r="L648" s="167"/>
      <c r="M648" s="167"/>
      <c r="N648" s="167"/>
      <c r="O648" s="167"/>
      <c r="Q648" s="163"/>
    </row>
    <row r="649" spans="2:17" ht="13.2">
      <c r="B649" s="167"/>
      <c r="C649" s="162"/>
      <c r="D649" s="168"/>
      <c r="E649" s="162"/>
      <c r="F649" s="167"/>
      <c r="G649" s="167"/>
      <c r="H649" s="167"/>
      <c r="I649" s="167"/>
      <c r="J649" s="167"/>
      <c r="K649" s="167"/>
      <c r="L649" s="167"/>
      <c r="M649" s="167"/>
      <c r="N649" s="167"/>
      <c r="O649" s="167"/>
      <c r="Q649" s="163"/>
    </row>
    <row r="650" spans="2:17" ht="13.2">
      <c r="B650" s="167"/>
      <c r="C650" s="162"/>
      <c r="D650" s="168"/>
      <c r="E650" s="162"/>
      <c r="F650" s="167"/>
      <c r="G650" s="167"/>
      <c r="H650" s="167"/>
      <c r="I650" s="167"/>
      <c r="J650" s="167"/>
      <c r="K650" s="167"/>
      <c r="L650" s="167"/>
      <c r="M650" s="167"/>
      <c r="N650" s="167"/>
      <c r="O650" s="167"/>
      <c r="Q650" s="163"/>
    </row>
    <row r="651" spans="2:17" ht="13.2">
      <c r="B651" s="167"/>
      <c r="C651" s="162"/>
      <c r="D651" s="168"/>
      <c r="E651" s="162"/>
      <c r="F651" s="167"/>
      <c r="G651" s="167"/>
      <c r="H651" s="167"/>
      <c r="I651" s="167"/>
      <c r="J651" s="167"/>
      <c r="K651" s="167"/>
      <c r="L651" s="167"/>
      <c r="M651" s="167"/>
      <c r="N651" s="167"/>
      <c r="O651" s="167"/>
      <c r="Q651" s="163"/>
    </row>
    <row r="652" spans="2:17" ht="13.2">
      <c r="B652" s="167"/>
      <c r="C652" s="162"/>
      <c r="D652" s="168"/>
      <c r="E652" s="162"/>
      <c r="F652" s="167"/>
      <c r="G652" s="167"/>
      <c r="H652" s="167"/>
      <c r="I652" s="167"/>
      <c r="J652" s="167"/>
      <c r="K652" s="167"/>
      <c r="L652" s="167"/>
      <c r="M652" s="167"/>
      <c r="N652" s="167"/>
      <c r="O652" s="167"/>
      <c r="Q652" s="163"/>
    </row>
    <row r="653" spans="2:17" ht="13.2">
      <c r="B653" s="167"/>
      <c r="C653" s="162"/>
      <c r="D653" s="168"/>
      <c r="E653" s="162"/>
      <c r="F653" s="167"/>
      <c r="G653" s="167"/>
      <c r="H653" s="167"/>
      <c r="I653" s="167"/>
      <c r="J653" s="167"/>
      <c r="K653" s="167"/>
      <c r="L653" s="167"/>
      <c r="M653" s="167"/>
      <c r="N653" s="167"/>
      <c r="O653" s="167"/>
      <c r="Q653" s="163"/>
    </row>
    <row r="654" spans="2:17" ht="13.2">
      <c r="B654" s="167"/>
      <c r="C654" s="162"/>
      <c r="D654" s="168"/>
      <c r="E654" s="162"/>
      <c r="F654" s="167"/>
      <c r="G654" s="167"/>
      <c r="H654" s="167"/>
      <c r="I654" s="167"/>
      <c r="J654" s="167"/>
      <c r="K654" s="167"/>
      <c r="L654" s="167"/>
      <c r="M654" s="167"/>
      <c r="N654" s="167"/>
      <c r="O654" s="167"/>
      <c r="Q654" s="163"/>
    </row>
    <row r="655" spans="2:17" ht="13.2">
      <c r="B655" s="167"/>
      <c r="C655" s="162"/>
      <c r="D655" s="168"/>
      <c r="E655" s="162"/>
      <c r="F655" s="167"/>
      <c r="G655" s="167"/>
      <c r="H655" s="167"/>
      <c r="I655" s="167"/>
      <c r="J655" s="167"/>
      <c r="K655" s="167"/>
      <c r="L655" s="167"/>
      <c r="M655" s="167"/>
      <c r="N655" s="167"/>
      <c r="O655" s="167"/>
      <c r="Q655" s="163"/>
    </row>
    <row r="656" spans="2:17" ht="13.2">
      <c r="B656" s="167"/>
      <c r="C656" s="162"/>
      <c r="D656" s="168"/>
      <c r="E656" s="162"/>
      <c r="F656" s="167"/>
      <c r="G656" s="167"/>
      <c r="H656" s="167"/>
      <c r="I656" s="167"/>
      <c r="J656" s="167"/>
      <c r="K656" s="167"/>
      <c r="L656" s="167"/>
      <c r="M656" s="167"/>
      <c r="N656" s="167"/>
      <c r="O656" s="167"/>
      <c r="Q656" s="163"/>
    </row>
    <row r="657" spans="2:17" ht="13.2">
      <c r="B657" s="167"/>
      <c r="C657" s="162"/>
      <c r="D657" s="168"/>
      <c r="E657" s="162"/>
      <c r="F657" s="167"/>
      <c r="G657" s="167"/>
      <c r="H657" s="167"/>
      <c r="I657" s="167"/>
      <c r="J657" s="167"/>
      <c r="K657" s="167"/>
      <c r="L657" s="167"/>
      <c r="M657" s="167"/>
      <c r="N657" s="167"/>
      <c r="O657" s="167"/>
      <c r="Q657" s="163"/>
    </row>
    <row r="658" spans="2:17" ht="13.2">
      <c r="B658" s="167"/>
      <c r="C658" s="162"/>
      <c r="D658" s="168"/>
      <c r="E658" s="162"/>
      <c r="F658" s="167"/>
      <c r="G658" s="167"/>
      <c r="H658" s="167"/>
      <c r="I658" s="167"/>
      <c r="J658" s="167"/>
      <c r="K658" s="167"/>
      <c r="L658" s="167"/>
      <c r="M658" s="167"/>
      <c r="N658" s="167"/>
      <c r="O658" s="167"/>
      <c r="Q658" s="163"/>
    </row>
    <row r="659" spans="2:17" ht="13.2">
      <c r="B659" s="167"/>
      <c r="C659" s="162"/>
      <c r="D659" s="168"/>
      <c r="E659" s="162"/>
      <c r="F659" s="167"/>
      <c r="G659" s="167"/>
      <c r="H659" s="167"/>
      <c r="I659" s="167"/>
      <c r="J659" s="167"/>
      <c r="K659" s="167"/>
      <c r="L659" s="167"/>
      <c r="M659" s="167"/>
      <c r="N659" s="167"/>
      <c r="O659" s="167"/>
      <c r="Q659" s="163"/>
    </row>
    <row r="660" spans="2:17" ht="13.2">
      <c r="B660" s="167"/>
      <c r="C660" s="162"/>
      <c r="D660" s="168"/>
      <c r="E660" s="162"/>
      <c r="F660" s="167"/>
      <c r="G660" s="167"/>
      <c r="H660" s="167"/>
      <c r="I660" s="167"/>
      <c r="J660" s="167"/>
      <c r="K660" s="167"/>
      <c r="L660" s="167"/>
      <c r="M660" s="167"/>
      <c r="N660" s="167"/>
      <c r="O660" s="167"/>
      <c r="Q660" s="163"/>
    </row>
    <row r="661" spans="2:17" ht="13.2">
      <c r="B661" s="167"/>
      <c r="C661" s="162"/>
      <c r="D661" s="168"/>
      <c r="E661" s="162"/>
      <c r="F661" s="167"/>
      <c r="G661" s="167"/>
      <c r="H661" s="167"/>
      <c r="I661" s="167"/>
      <c r="J661" s="167"/>
      <c r="K661" s="167"/>
      <c r="L661" s="167"/>
      <c r="M661" s="167"/>
      <c r="N661" s="167"/>
      <c r="O661" s="167"/>
      <c r="Q661" s="163"/>
    </row>
    <row r="662" spans="2:17" ht="13.2">
      <c r="B662" s="167"/>
      <c r="C662" s="162"/>
      <c r="D662" s="168"/>
      <c r="E662" s="162"/>
      <c r="F662" s="167"/>
      <c r="G662" s="167"/>
      <c r="H662" s="167"/>
      <c r="I662" s="167"/>
      <c r="J662" s="167"/>
      <c r="K662" s="167"/>
      <c r="L662" s="167"/>
      <c r="M662" s="167"/>
      <c r="N662" s="167"/>
      <c r="O662" s="167"/>
      <c r="Q662" s="163"/>
    </row>
    <row r="663" spans="2:17" ht="13.2">
      <c r="B663" s="167"/>
      <c r="C663" s="162"/>
      <c r="D663" s="168"/>
      <c r="E663" s="162"/>
      <c r="F663" s="167"/>
      <c r="G663" s="167"/>
      <c r="H663" s="167"/>
      <c r="I663" s="167"/>
      <c r="J663" s="167"/>
      <c r="K663" s="167"/>
      <c r="L663" s="167"/>
      <c r="M663" s="167"/>
      <c r="N663" s="167"/>
      <c r="O663" s="167"/>
      <c r="Q663" s="163"/>
    </row>
    <row r="664" spans="2:17" ht="13.2">
      <c r="B664" s="167"/>
      <c r="C664" s="162"/>
      <c r="D664" s="168"/>
      <c r="E664" s="162"/>
      <c r="F664" s="167"/>
      <c r="G664" s="167"/>
      <c r="H664" s="167"/>
      <c r="I664" s="167"/>
      <c r="J664" s="167"/>
      <c r="K664" s="167"/>
      <c r="L664" s="167"/>
      <c r="M664" s="167"/>
      <c r="N664" s="167"/>
      <c r="O664" s="167"/>
      <c r="Q664" s="163"/>
    </row>
    <row r="665" spans="2:17" ht="13.2">
      <c r="B665" s="167"/>
      <c r="C665" s="162"/>
      <c r="D665" s="168"/>
      <c r="E665" s="162"/>
      <c r="F665" s="167"/>
      <c r="G665" s="167"/>
      <c r="H665" s="167"/>
      <c r="I665" s="167"/>
      <c r="J665" s="167"/>
      <c r="K665" s="167"/>
      <c r="L665" s="167"/>
      <c r="M665" s="167"/>
      <c r="N665" s="167"/>
      <c r="O665" s="167"/>
      <c r="Q665" s="163"/>
    </row>
    <row r="666" spans="2:17" ht="13.2">
      <c r="B666" s="167"/>
      <c r="C666" s="162"/>
      <c r="D666" s="168"/>
      <c r="E666" s="162"/>
      <c r="F666" s="167"/>
      <c r="G666" s="167"/>
      <c r="H666" s="167"/>
      <c r="I666" s="167"/>
      <c r="J666" s="167"/>
      <c r="K666" s="167"/>
      <c r="L666" s="167"/>
      <c r="M666" s="167"/>
      <c r="N666" s="167"/>
      <c r="O666" s="167"/>
      <c r="Q666" s="163"/>
    </row>
    <row r="667" spans="2:17" ht="13.2">
      <c r="B667" s="167"/>
      <c r="C667" s="162"/>
      <c r="D667" s="168"/>
      <c r="E667" s="162"/>
      <c r="F667" s="167"/>
      <c r="G667" s="167"/>
      <c r="H667" s="167"/>
      <c r="I667" s="167"/>
      <c r="J667" s="167"/>
      <c r="K667" s="167"/>
      <c r="L667" s="167"/>
      <c r="M667" s="167"/>
      <c r="N667" s="167"/>
      <c r="O667" s="167"/>
      <c r="Q667" s="163"/>
    </row>
    <row r="668" spans="2:17" ht="13.2">
      <c r="B668" s="167"/>
      <c r="C668" s="162"/>
      <c r="D668" s="168"/>
      <c r="E668" s="162"/>
      <c r="F668" s="167"/>
      <c r="G668" s="167"/>
      <c r="H668" s="167"/>
      <c r="I668" s="167"/>
      <c r="J668" s="167"/>
      <c r="K668" s="167"/>
      <c r="L668" s="167"/>
      <c r="M668" s="167"/>
      <c r="N668" s="167"/>
      <c r="O668" s="167"/>
      <c r="Q668" s="163"/>
    </row>
    <row r="669" spans="2:17" ht="13.2">
      <c r="B669" s="167"/>
      <c r="C669" s="162"/>
      <c r="D669" s="168"/>
      <c r="E669" s="162"/>
      <c r="F669" s="167"/>
      <c r="G669" s="167"/>
      <c r="H669" s="167"/>
      <c r="I669" s="167"/>
      <c r="J669" s="167"/>
      <c r="K669" s="167"/>
      <c r="L669" s="167"/>
      <c r="M669" s="167"/>
      <c r="N669" s="167"/>
      <c r="O669" s="167"/>
      <c r="Q669" s="163"/>
    </row>
    <row r="670" spans="2:17" ht="13.2">
      <c r="B670" s="167"/>
      <c r="C670" s="162"/>
      <c r="D670" s="168"/>
      <c r="E670" s="162"/>
      <c r="F670" s="167"/>
      <c r="G670" s="167"/>
      <c r="H670" s="167"/>
      <c r="I670" s="167"/>
      <c r="J670" s="167"/>
      <c r="K670" s="167"/>
      <c r="L670" s="167"/>
      <c r="M670" s="167"/>
      <c r="N670" s="167"/>
      <c r="O670" s="167"/>
      <c r="Q670" s="163"/>
    </row>
    <row r="671" spans="2:17" ht="13.2">
      <c r="B671" s="167"/>
      <c r="C671" s="162"/>
      <c r="D671" s="168"/>
      <c r="E671" s="162"/>
      <c r="F671" s="167"/>
      <c r="G671" s="167"/>
      <c r="H671" s="167"/>
      <c r="I671" s="167"/>
      <c r="J671" s="167"/>
      <c r="K671" s="167"/>
      <c r="L671" s="167"/>
      <c r="M671" s="167"/>
      <c r="N671" s="167"/>
      <c r="O671" s="167"/>
      <c r="Q671" s="163"/>
    </row>
    <row r="672" spans="2:17" ht="13.2">
      <c r="B672" s="167"/>
      <c r="C672" s="162"/>
      <c r="D672" s="168"/>
      <c r="E672" s="162"/>
      <c r="F672" s="167"/>
      <c r="G672" s="167"/>
      <c r="H672" s="167"/>
      <c r="I672" s="167"/>
      <c r="J672" s="167"/>
      <c r="K672" s="167"/>
      <c r="L672" s="167"/>
      <c r="M672" s="167"/>
      <c r="N672" s="167"/>
      <c r="O672" s="167"/>
      <c r="Q672" s="163"/>
    </row>
    <row r="673" spans="2:17" ht="13.2">
      <c r="B673" s="167"/>
      <c r="C673" s="162"/>
      <c r="D673" s="168"/>
      <c r="E673" s="162"/>
      <c r="F673" s="167"/>
      <c r="G673" s="167"/>
      <c r="H673" s="167"/>
      <c r="I673" s="167"/>
      <c r="J673" s="167"/>
      <c r="K673" s="167"/>
      <c r="L673" s="167"/>
      <c r="M673" s="167"/>
      <c r="N673" s="167"/>
      <c r="O673" s="167"/>
      <c r="Q673" s="163"/>
    </row>
    <row r="674" spans="2:17" ht="13.2">
      <c r="B674" s="167"/>
      <c r="C674" s="162"/>
      <c r="D674" s="168"/>
      <c r="E674" s="162"/>
      <c r="F674" s="167"/>
      <c r="G674" s="167"/>
      <c r="H674" s="167"/>
      <c r="I674" s="167"/>
      <c r="J674" s="167"/>
      <c r="K674" s="167"/>
      <c r="L674" s="167"/>
      <c r="M674" s="167"/>
      <c r="N674" s="167"/>
      <c r="O674" s="167"/>
      <c r="Q674" s="163"/>
    </row>
    <row r="675" spans="2:17" ht="13.2">
      <c r="B675" s="167"/>
      <c r="C675" s="162"/>
      <c r="D675" s="168"/>
      <c r="E675" s="162"/>
      <c r="F675" s="167"/>
      <c r="G675" s="167"/>
      <c r="H675" s="167"/>
      <c r="I675" s="167"/>
      <c r="J675" s="167"/>
      <c r="K675" s="167"/>
      <c r="L675" s="167"/>
      <c r="M675" s="167"/>
      <c r="N675" s="167"/>
      <c r="O675" s="167"/>
      <c r="Q675" s="163"/>
    </row>
    <row r="676" spans="2:17" ht="13.2">
      <c r="B676" s="167"/>
      <c r="C676" s="162"/>
      <c r="D676" s="168"/>
      <c r="E676" s="162"/>
      <c r="F676" s="167"/>
      <c r="G676" s="167"/>
      <c r="H676" s="167"/>
      <c r="I676" s="167"/>
      <c r="J676" s="167"/>
      <c r="K676" s="167"/>
      <c r="L676" s="167"/>
      <c r="M676" s="167"/>
      <c r="N676" s="167"/>
      <c r="O676" s="167"/>
      <c r="Q676" s="163"/>
    </row>
    <row r="677" spans="2:17" ht="13.2">
      <c r="B677" s="167"/>
      <c r="C677" s="162"/>
      <c r="D677" s="168"/>
      <c r="E677" s="162"/>
      <c r="F677" s="167"/>
      <c r="G677" s="167"/>
      <c r="H677" s="167"/>
      <c r="I677" s="167"/>
      <c r="J677" s="167"/>
      <c r="K677" s="167"/>
      <c r="L677" s="167"/>
      <c r="M677" s="167"/>
      <c r="N677" s="167"/>
      <c r="O677" s="167"/>
      <c r="Q677" s="163"/>
    </row>
    <row r="678" spans="2:17" ht="13.2">
      <c r="B678" s="167"/>
      <c r="C678" s="162"/>
      <c r="D678" s="168"/>
      <c r="E678" s="162"/>
      <c r="F678" s="167"/>
      <c r="G678" s="167"/>
      <c r="H678" s="167"/>
      <c r="I678" s="167"/>
      <c r="J678" s="167"/>
      <c r="K678" s="167"/>
      <c r="L678" s="167"/>
      <c r="M678" s="167"/>
      <c r="N678" s="167"/>
      <c r="O678" s="167"/>
      <c r="Q678" s="163"/>
    </row>
    <row r="679" spans="2:17" ht="13.2">
      <c r="B679" s="167"/>
      <c r="C679" s="162"/>
      <c r="D679" s="168"/>
      <c r="E679" s="162"/>
      <c r="F679" s="167"/>
      <c r="G679" s="167"/>
      <c r="H679" s="167"/>
      <c r="I679" s="167"/>
      <c r="J679" s="167"/>
      <c r="K679" s="167"/>
      <c r="L679" s="167"/>
      <c r="M679" s="167"/>
      <c r="N679" s="167"/>
      <c r="O679" s="167"/>
      <c r="Q679" s="163"/>
    </row>
    <row r="680" spans="2:17" ht="13.2">
      <c r="B680" s="167"/>
      <c r="C680" s="162"/>
      <c r="D680" s="168"/>
      <c r="E680" s="162"/>
      <c r="F680" s="167"/>
      <c r="G680" s="167"/>
      <c r="H680" s="167"/>
      <c r="I680" s="167"/>
      <c r="J680" s="167"/>
      <c r="K680" s="167"/>
      <c r="L680" s="167"/>
      <c r="M680" s="167"/>
      <c r="N680" s="167"/>
      <c r="O680" s="167"/>
      <c r="Q680" s="163"/>
    </row>
    <row r="681" spans="2:17" ht="13.2">
      <c r="B681" s="167"/>
      <c r="C681" s="162"/>
      <c r="D681" s="168"/>
      <c r="E681" s="162"/>
      <c r="F681" s="167"/>
      <c r="G681" s="167"/>
      <c r="H681" s="167"/>
      <c r="I681" s="167"/>
      <c r="J681" s="167"/>
      <c r="K681" s="167"/>
      <c r="L681" s="167"/>
      <c r="M681" s="167"/>
      <c r="N681" s="167"/>
      <c r="O681" s="167"/>
      <c r="Q681" s="163"/>
    </row>
    <row r="682" spans="2:17" ht="13.2">
      <c r="B682" s="167"/>
      <c r="C682" s="162"/>
      <c r="D682" s="168"/>
      <c r="E682" s="162"/>
      <c r="F682" s="167"/>
      <c r="G682" s="167"/>
      <c r="H682" s="167"/>
      <c r="I682" s="167"/>
      <c r="J682" s="167"/>
      <c r="K682" s="167"/>
      <c r="L682" s="167"/>
      <c r="M682" s="167"/>
      <c r="N682" s="167"/>
      <c r="O682" s="167"/>
      <c r="Q682" s="163"/>
    </row>
    <row r="683" spans="2:17" ht="13.2">
      <c r="B683" s="167"/>
      <c r="C683" s="162"/>
      <c r="D683" s="168"/>
      <c r="E683" s="162"/>
      <c r="F683" s="167"/>
      <c r="G683" s="167"/>
      <c r="H683" s="167"/>
      <c r="I683" s="167"/>
      <c r="J683" s="167"/>
      <c r="K683" s="167"/>
      <c r="L683" s="167"/>
      <c r="M683" s="167"/>
      <c r="N683" s="167"/>
      <c r="O683" s="167"/>
      <c r="Q683" s="163"/>
    </row>
    <row r="684" spans="2:17" ht="13.2">
      <c r="B684" s="167"/>
      <c r="C684" s="162"/>
      <c r="D684" s="168"/>
      <c r="E684" s="162"/>
      <c r="F684" s="167"/>
      <c r="G684" s="167"/>
      <c r="H684" s="167"/>
      <c r="I684" s="167"/>
      <c r="J684" s="167"/>
      <c r="K684" s="167"/>
      <c r="L684" s="167"/>
      <c r="M684" s="167"/>
      <c r="N684" s="167"/>
      <c r="O684" s="167"/>
      <c r="Q684" s="163"/>
    </row>
    <row r="685" spans="2:17" ht="13.2">
      <c r="B685" s="167"/>
      <c r="C685" s="162"/>
      <c r="D685" s="168"/>
      <c r="E685" s="162"/>
      <c r="F685" s="167"/>
      <c r="G685" s="167"/>
      <c r="H685" s="167"/>
      <c r="I685" s="167"/>
      <c r="J685" s="167"/>
      <c r="K685" s="167"/>
      <c r="L685" s="167"/>
      <c r="M685" s="167"/>
      <c r="N685" s="167"/>
      <c r="O685" s="167"/>
      <c r="Q685" s="163"/>
    </row>
    <row r="686" spans="2:17" ht="13.2">
      <c r="B686" s="167"/>
      <c r="C686" s="162"/>
      <c r="D686" s="168"/>
      <c r="E686" s="162"/>
      <c r="F686" s="167"/>
      <c r="G686" s="167"/>
      <c r="H686" s="167"/>
      <c r="I686" s="167"/>
      <c r="J686" s="167"/>
      <c r="K686" s="167"/>
      <c r="L686" s="167"/>
      <c r="M686" s="167"/>
      <c r="N686" s="167"/>
      <c r="O686" s="167"/>
      <c r="Q686" s="163"/>
    </row>
    <row r="687" spans="2:17" ht="13.2">
      <c r="B687" s="167"/>
      <c r="C687" s="162"/>
      <c r="D687" s="168"/>
      <c r="E687" s="162"/>
      <c r="F687" s="167"/>
      <c r="G687" s="167"/>
      <c r="H687" s="167"/>
      <c r="I687" s="167"/>
      <c r="J687" s="167"/>
      <c r="K687" s="167"/>
      <c r="L687" s="167"/>
      <c r="M687" s="167"/>
      <c r="N687" s="167"/>
      <c r="O687" s="167"/>
      <c r="Q687" s="163"/>
    </row>
    <row r="688" spans="2:17" ht="13.2">
      <c r="B688" s="167"/>
      <c r="C688" s="162"/>
      <c r="D688" s="168"/>
      <c r="E688" s="162"/>
      <c r="F688" s="167"/>
      <c r="G688" s="167"/>
      <c r="H688" s="167"/>
      <c r="I688" s="167"/>
      <c r="J688" s="167"/>
      <c r="K688" s="167"/>
      <c r="L688" s="167"/>
      <c r="M688" s="167"/>
      <c r="N688" s="167"/>
      <c r="O688" s="167"/>
      <c r="Q688" s="163"/>
    </row>
    <row r="689" spans="2:17" ht="13.2">
      <c r="B689" s="167"/>
      <c r="C689" s="162"/>
      <c r="D689" s="168"/>
      <c r="E689" s="162"/>
      <c r="F689" s="167"/>
      <c r="G689" s="167"/>
      <c r="H689" s="167"/>
      <c r="I689" s="167"/>
      <c r="J689" s="167"/>
      <c r="K689" s="167"/>
      <c r="L689" s="167"/>
      <c r="M689" s="167"/>
      <c r="N689" s="167"/>
      <c r="O689" s="167"/>
      <c r="Q689" s="163"/>
    </row>
    <row r="690" spans="2:17" ht="13.2">
      <c r="B690" s="167"/>
      <c r="C690" s="162"/>
      <c r="D690" s="168"/>
      <c r="E690" s="162"/>
      <c r="F690" s="167"/>
      <c r="G690" s="167"/>
      <c r="H690" s="167"/>
      <c r="I690" s="167"/>
      <c r="J690" s="167"/>
      <c r="K690" s="167"/>
      <c r="L690" s="167"/>
      <c r="M690" s="167"/>
      <c r="N690" s="167"/>
      <c r="O690" s="167"/>
      <c r="Q690" s="163"/>
    </row>
    <row r="691" spans="2:17" ht="13.2">
      <c r="B691" s="167"/>
      <c r="C691" s="162"/>
      <c r="D691" s="168"/>
      <c r="E691" s="162"/>
      <c r="F691" s="167"/>
      <c r="G691" s="167"/>
      <c r="H691" s="167"/>
      <c r="I691" s="167"/>
      <c r="J691" s="167"/>
      <c r="K691" s="167"/>
      <c r="L691" s="167"/>
      <c r="M691" s="167"/>
      <c r="N691" s="167"/>
      <c r="O691" s="167"/>
      <c r="Q691" s="163"/>
    </row>
    <row r="692" spans="2:17" ht="13.2">
      <c r="B692" s="167"/>
      <c r="C692" s="162"/>
      <c r="D692" s="168"/>
      <c r="E692" s="162"/>
      <c r="F692" s="167"/>
      <c r="G692" s="167"/>
      <c r="H692" s="167"/>
      <c r="I692" s="167"/>
      <c r="J692" s="167"/>
      <c r="K692" s="167"/>
      <c r="L692" s="167"/>
      <c r="M692" s="167"/>
      <c r="N692" s="167"/>
      <c r="O692" s="167"/>
      <c r="Q692" s="163"/>
    </row>
    <row r="693" spans="2:17" ht="13.2">
      <c r="B693" s="167"/>
      <c r="C693" s="162"/>
      <c r="D693" s="168"/>
      <c r="E693" s="162"/>
      <c r="F693" s="167"/>
      <c r="G693" s="167"/>
      <c r="H693" s="167"/>
      <c r="I693" s="167"/>
      <c r="J693" s="167"/>
      <c r="K693" s="167"/>
      <c r="L693" s="167"/>
      <c r="M693" s="167"/>
      <c r="N693" s="167"/>
      <c r="O693" s="167"/>
      <c r="Q693" s="163"/>
    </row>
    <row r="694" spans="2:17" ht="13.2">
      <c r="B694" s="167"/>
      <c r="C694" s="162"/>
      <c r="D694" s="168"/>
      <c r="E694" s="162"/>
      <c r="F694" s="167"/>
      <c r="G694" s="167"/>
      <c r="H694" s="167"/>
      <c r="I694" s="167"/>
      <c r="J694" s="167"/>
      <c r="K694" s="167"/>
      <c r="L694" s="167"/>
      <c r="M694" s="167"/>
      <c r="N694" s="167"/>
      <c r="O694" s="167"/>
      <c r="Q694" s="163"/>
    </row>
    <row r="695" spans="2:17" ht="13.2">
      <c r="B695" s="167"/>
      <c r="C695" s="162"/>
      <c r="D695" s="168"/>
      <c r="E695" s="162"/>
      <c r="F695" s="167"/>
      <c r="G695" s="167"/>
      <c r="H695" s="167"/>
      <c r="I695" s="167"/>
      <c r="J695" s="167"/>
      <c r="K695" s="167"/>
      <c r="L695" s="167"/>
      <c r="M695" s="167"/>
      <c r="N695" s="167"/>
      <c r="O695" s="167"/>
      <c r="Q695" s="163"/>
    </row>
    <row r="696" spans="2:17" ht="13.2">
      <c r="B696" s="167"/>
      <c r="C696" s="162"/>
      <c r="D696" s="168"/>
      <c r="E696" s="162"/>
      <c r="F696" s="167"/>
      <c r="G696" s="167"/>
      <c r="H696" s="167"/>
      <c r="I696" s="167"/>
      <c r="J696" s="167"/>
      <c r="K696" s="167"/>
      <c r="L696" s="167"/>
      <c r="M696" s="167"/>
      <c r="N696" s="167"/>
      <c r="O696" s="167"/>
      <c r="Q696" s="163"/>
    </row>
    <row r="697" spans="2:17" ht="13.2">
      <c r="B697" s="167"/>
      <c r="C697" s="162"/>
      <c r="D697" s="168"/>
      <c r="E697" s="162"/>
      <c r="F697" s="167"/>
      <c r="G697" s="167"/>
      <c r="H697" s="167"/>
      <c r="I697" s="167"/>
      <c r="J697" s="167"/>
      <c r="K697" s="167"/>
      <c r="L697" s="167"/>
      <c r="M697" s="167"/>
      <c r="N697" s="167"/>
      <c r="O697" s="167"/>
      <c r="Q697" s="163"/>
    </row>
    <row r="698" spans="2:17" ht="13.2">
      <c r="B698" s="167"/>
      <c r="C698" s="162"/>
      <c r="D698" s="168"/>
      <c r="E698" s="162"/>
      <c r="F698" s="167"/>
      <c r="G698" s="167"/>
      <c r="H698" s="167"/>
      <c r="I698" s="167"/>
      <c r="J698" s="167"/>
      <c r="K698" s="167"/>
      <c r="L698" s="167"/>
      <c r="M698" s="167"/>
      <c r="N698" s="167"/>
      <c r="O698" s="167"/>
      <c r="Q698" s="163"/>
    </row>
    <row r="699" spans="2:17" ht="13.2">
      <c r="B699" s="167"/>
      <c r="C699" s="162"/>
      <c r="D699" s="168"/>
      <c r="E699" s="162"/>
      <c r="F699" s="167"/>
      <c r="G699" s="167"/>
      <c r="H699" s="167"/>
      <c r="I699" s="167"/>
      <c r="J699" s="167"/>
      <c r="K699" s="167"/>
      <c r="L699" s="167"/>
      <c r="M699" s="167"/>
      <c r="N699" s="167"/>
      <c r="O699" s="167"/>
      <c r="Q699" s="163"/>
    </row>
    <row r="700" spans="2:17" ht="13.2">
      <c r="B700" s="167"/>
      <c r="C700" s="162"/>
      <c r="D700" s="168"/>
      <c r="E700" s="162"/>
      <c r="F700" s="167"/>
      <c r="G700" s="167"/>
      <c r="H700" s="167"/>
      <c r="I700" s="167"/>
      <c r="J700" s="167"/>
      <c r="K700" s="167"/>
      <c r="L700" s="167"/>
      <c r="M700" s="167"/>
      <c r="N700" s="167"/>
      <c r="O700" s="167"/>
      <c r="Q700" s="163"/>
    </row>
    <row r="701" spans="2:17" ht="13.2">
      <c r="B701" s="167"/>
      <c r="C701" s="162"/>
      <c r="D701" s="168"/>
      <c r="E701" s="162"/>
      <c r="F701" s="167"/>
      <c r="G701" s="167"/>
      <c r="H701" s="167"/>
      <c r="I701" s="167"/>
      <c r="J701" s="167"/>
      <c r="K701" s="167"/>
      <c r="L701" s="167"/>
      <c r="M701" s="167"/>
      <c r="N701" s="167"/>
      <c r="O701" s="167"/>
      <c r="Q701" s="163"/>
    </row>
    <row r="702" spans="2:17" ht="13.2">
      <c r="B702" s="167"/>
      <c r="C702" s="162"/>
      <c r="D702" s="168"/>
      <c r="E702" s="162"/>
      <c r="F702" s="167"/>
      <c r="G702" s="167"/>
      <c r="H702" s="167"/>
      <c r="I702" s="167"/>
      <c r="J702" s="167"/>
      <c r="K702" s="167"/>
      <c r="L702" s="167"/>
      <c r="M702" s="167"/>
      <c r="N702" s="167"/>
      <c r="O702" s="167"/>
      <c r="Q702" s="163"/>
    </row>
    <row r="703" spans="2:17" ht="13.2">
      <c r="B703" s="167"/>
      <c r="C703" s="162"/>
      <c r="D703" s="168"/>
      <c r="E703" s="162"/>
      <c r="F703" s="167"/>
      <c r="G703" s="167"/>
      <c r="H703" s="167"/>
      <c r="I703" s="167"/>
      <c r="J703" s="167"/>
      <c r="K703" s="167"/>
      <c r="L703" s="167"/>
      <c r="M703" s="167"/>
      <c r="N703" s="167"/>
      <c r="O703" s="167"/>
      <c r="Q703" s="163"/>
    </row>
    <row r="704" spans="2:17" ht="13.2">
      <c r="B704" s="167"/>
      <c r="C704" s="162"/>
      <c r="D704" s="168"/>
      <c r="E704" s="162"/>
      <c r="F704" s="167"/>
      <c r="G704" s="167"/>
      <c r="H704" s="167"/>
      <c r="I704" s="167"/>
      <c r="J704" s="167"/>
      <c r="K704" s="167"/>
      <c r="L704" s="167"/>
      <c r="M704" s="167"/>
      <c r="N704" s="167"/>
      <c r="O704" s="167"/>
      <c r="Q704" s="163"/>
    </row>
    <row r="705" spans="2:17" ht="13.2">
      <c r="B705" s="167"/>
      <c r="C705" s="162"/>
      <c r="D705" s="168"/>
      <c r="E705" s="162"/>
      <c r="F705" s="167"/>
      <c r="G705" s="167"/>
      <c r="H705" s="167"/>
      <c r="I705" s="167"/>
      <c r="J705" s="167"/>
      <c r="K705" s="167"/>
      <c r="L705" s="167"/>
      <c r="M705" s="167"/>
      <c r="N705" s="167"/>
      <c r="O705" s="167"/>
      <c r="Q705" s="163"/>
    </row>
    <row r="706" spans="2:17" ht="13.2">
      <c r="B706" s="167"/>
      <c r="C706" s="162"/>
      <c r="D706" s="168"/>
      <c r="E706" s="162"/>
      <c r="F706" s="167"/>
      <c r="G706" s="167"/>
      <c r="H706" s="167"/>
      <c r="I706" s="167"/>
      <c r="J706" s="167"/>
      <c r="K706" s="167"/>
      <c r="L706" s="167"/>
      <c r="M706" s="167"/>
      <c r="N706" s="167"/>
      <c r="O706" s="167"/>
      <c r="Q706" s="163"/>
    </row>
    <row r="707" spans="2:17" ht="13.2">
      <c r="B707" s="167"/>
      <c r="C707" s="162"/>
      <c r="D707" s="168"/>
      <c r="E707" s="162"/>
      <c r="F707" s="167"/>
      <c r="G707" s="167"/>
      <c r="H707" s="167"/>
      <c r="I707" s="167"/>
      <c r="J707" s="167"/>
      <c r="K707" s="167"/>
      <c r="L707" s="167"/>
      <c r="M707" s="167"/>
      <c r="N707" s="167"/>
      <c r="O707" s="167"/>
      <c r="Q707" s="163"/>
    </row>
    <row r="708" spans="2:17" ht="13.2">
      <c r="B708" s="167"/>
      <c r="C708" s="162"/>
      <c r="D708" s="168"/>
      <c r="E708" s="162"/>
      <c r="F708" s="167"/>
      <c r="G708" s="167"/>
      <c r="H708" s="167"/>
      <c r="I708" s="167"/>
      <c r="J708" s="167"/>
      <c r="K708" s="167"/>
      <c r="L708" s="167"/>
      <c r="M708" s="167"/>
      <c r="N708" s="167"/>
      <c r="O708" s="167"/>
      <c r="Q708" s="163"/>
    </row>
    <row r="709" spans="2:17" ht="13.2">
      <c r="B709" s="167"/>
      <c r="C709" s="162"/>
      <c r="D709" s="168"/>
      <c r="E709" s="162"/>
      <c r="F709" s="167"/>
      <c r="G709" s="167"/>
      <c r="H709" s="167"/>
      <c r="I709" s="167"/>
      <c r="J709" s="167"/>
      <c r="K709" s="167"/>
      <c r="L709" s="167"/>
      <c r="M709" s="167"/>
      <c r="N709" s="167"/>
      <c r="O709" s="167"/>
      <c r="Q709" s="163"/>
    </row>
    <row r="710" spans="2:17" ht="13.2">
      <c r="B710" s="167"/>
      <c r="C710" s="162"/>
      <c r="D710" s="168"/>
      <c r="E710" s="162"/>
      <c r="F710" s="167"/>
      <c r="G710" s="167"/>
      <c r="H710" s="167"/>
      <c r="I710" s="167"/>
      <c r="J710" s="167"/>
      <c r="K710" s="167"/>
      <c r="L710" s="167"/>
      <c r="M710" s="167"/>
      <c r="N710" s="167"/>
      <c r="O710" s="167"/>
      <c r="Q710" s="163"/>
    </row>
    <row r="711" spans="2:17" ht="13.2">
      <c r="B711" s="167"/>
      <c r="C711" s="162"/>
      <c r="D711" s="168"/>
      <c r="E711" s="162"/>
      <c r="F711" s="167"/>
      <c r="G711" s="167"/>
      <c r="H711" s="167"/>
      <c r="I711" s="167"/>
      <c r="J711" s="167"/>
      <c r="K711" s="167"/>
      <c r="L711" s="167"/>
      <c r="M711" s="167"/>
      <c r="N711" s="167"/>
      <c r="O711" s="167"/>
      <c r="Q711" s="163"/>
    </row>
    <row r="712" spans="2:17" ht="13.2">
      <c r="B712" s="167"/>
      <c r="C712" s="162"/>
      <c r="D712" s="168"/>
      <c r="E712" s="162"/>
      <c r="F712" s="167"/>
      <c r="G712" s="167"/>
      <c r="H712" s="167"/>
      <c r="I712" s="167"/>
      <c r="J712" s="167"/>
      <c r="K712" s="167"/>
      <c r="L712" s="167"/>
      <c r="M712" s="167"/>
      <c r="N712" s="167"/>
      <c r="O712" s="167"/>
      <c r="Q712" s="163"/>
    </row>
    <row r="713" spans="2:17" ht="13.2">
      <c r="B713" s="167"/>
      <c r="C713" s="162"/>
      <c r="D713" s="168"/>
      <c r="E713" s="162"/>
      <c r="F713" s="167"/>
      <c r="G713" s="167"/>
      <c r="H713" s="167"/>
      <c r="I713" s="167"/>
      <c r="J713" s="167"/>
      <c r="K713" s="167"/>
      <c r="L713" s="167"/>
      <c r="M713" s="167"/>
      <c r="N713" s="167"/>
      <c r="O713" s="167"/>
      <c r="Q713" s="163"/>
    </row>
    <row r="714" spans="2:17" ht="13.2">
      <c r="B714" s="167"/>
      <c r="C714" s="162"/>
      <c r="D714" s="168"/>
      <c r="E714" s="162"/>
      <c r="F714" s="167"/>
      <c r="G714" s="167"/>
      <c r="H714" s="167"/>
      <c r="I714" s="167"/>
      <c r="J714" s="167"/>
      <c r="K714" s="167"/>
      <c r="L714" s="167"/>
      <c r="M714" s="167"/>
      <c r="N714" s="167"/>
      <c r="O714" s="167"/>
      <c r="Q714" s="163"/>
    </row>
    <row r="715" spans="2:17" ht="13.2">
      <c r="B715" s="167"/>
      <c r="C715" s="162"/>
      <c r="D715" s="168"/>
      <c r="E715" s="162"/>
      <c r="F715" s="167"/>
      <c r="G715" s="167"/>
      <c r="H715" s="167"/>
      <c r="I715" s="167"/>
      <c r="J715" s="167"/>
      <c r="K715" s="167"/>
      <c r="L715" s="167"/>
      <c r="M715" s="167"/>
      <c r="N715" s="167"/>
      <c r="O715" s="167"/>
      <c r="Q715" s="163"/>
    </row>
    <row r="716" spans="2:17" ht="13.2">
      <c r="B716" s="167"/>
      <c r="C716" s="162"/>
      <c r="D716" s="168"/>
      <c r="E716" s="162"/>
      <c r="F716" s="167"/>
      <c r="G716" s="167"/>
      <c r="H716" s="167"/>
      <c r="I716" s="167"/>
      <c r="J716" s="167"/>
      <c r="K716" s="167"/>
      <c r="L716" s="167"/>
      <c r="M716" s="167"/>
      <c r="N716" s="167"/>
      <c r="O716" s="167"/>
      <c r="Q716" s="163"/>
    </row>
    <row r="717" spans="2:17" ht="13.2">
      <c r="B717" s="167"/>
      <c r="C717" s="162"/>
      <c r="D717" s="168"/>
      <c r="E717" s="162"/>
      <c r="F717" s="167"/>
      <c r="G717" s="167"/>
      <c r="H717" s="167"/>
      <c r="I717" s="167"/>
      <c r="J717" s="167"/>
      <c r="K717" s="167"/>
      <c r="L717" s="167"/>
      <c r="M717" s="167"/>
      <c r="N717" s="167"/>
      <c r="O717" s="167"/>
      <c r="Q717" s="163"/>
    </row>
    <row r="718" spans="2:17" ht="13.2">
      <c r="B718" s="167"/>
      <c r="C718" s="162"/>
      <c r="D718" s="168"/>
      <c r="E718" s="162"/>
      <c r="F718" s="167"/>
      <c r="G718" s="167"/>
      <c r="H718" s="167"/>
      <c r="I718" s="167"/>
      <c r="J718" s="167"/>
      <c r="K718" s="167"/>
      <c r="L718" s="167"/>
      <c r="M718" s="167"/>
      <c r="N718" s="167"/>
      <c r="O718" s="167"/>
      <c r="Q718" s="163"/>
    </row>
    <row r="719" spans="2:17" ht="13.2">
      <c r="B719" s="167"/>
      <c r="C719" s="162"/>
      <c r="D719" s="168"/>
      <c r="E719" s="162"/>
      <c r="F719" s="167"/>
      <c r="G719" s="167"/>
      <c r="H719" s="167"/>
      <c r="I719" s="167"/>
      <c r="J719" s="167"/>
      <c r="K719" s="167"/>
      <c r="L719" s="167"/>
      <c r="M719" s="167"/>
      <c r="N719" s="167"/>
      <c r="O719" s="167"/>
      <c r="Q719" s="163"/>
    </row>
    <row r="720" spans="2:17" ht="13.2">
      <c r="B720" s="167"/>
      <c r="C720" s="162"/>
      <c r="D720" s="168"/>
      <c r="E720" s="162"/>
      <c r="F720" s="167"/>
      <c r="G720" s="167"/>
      <c r="H720" s="167"/>
      <c r="I720" s="167"/>
      <c r="J720" s="167"/>
      <c r="K720" s="167"/>
      <c r="L720" s="167"/>
      <c r="M720" s="167"/>
      <c r="N720" s="167"/>
      <c r="O720" s="167"/>
      <c r="Q720" s="163"/>
    </row>
    <row r="721" spans="2:17" ht="13.2">
      <c r="B721" s="167"/>
      <c r="C721" s="162"/>
      <c r="D721" s="168"/>
      <c r="E721" s="162"/>
      <c r="F721" s="167"/>
      <c r="G721" s="167"/>
      <c r="H721" s="167"/>
      <c r="I721" s="167"/>
      <c r="J721" s="167"/>
      <c r="K721" s="167"/>
      <c r="L721" s="167"/>
      <c r="M721" s="167"/>
      <c r="N721" s="167"/>
      <c r="O721" s="167"/>
      <c r="Q721" s="163"/>
    </row>
    <row r="722" spans="2:17" ht="13.2">
      <c r="B722" s="167"/>
      <c r="C722" s="162"/>
      <c r="D722" s="168"/>
      <c r="E722" s="162"/>
      <c r="F722" s="167"/>
      <c r="G722" s="167"/>
      <c r="H722" s="167"/>
      <c r="I722" s="167"/>
      <c r="J722" s="167"/>
      <c r="K722" s="167"/>
      <c r="L722" s="167"/>
      <c r="M722" s="167"/>
      <c r="N722" s="167"/>
      <c r="O722" s="167"/>
      <c r="Q722" s="163"/>
    </row>
    <row r="723" spans="2:17" ht="13.2">
      <c r="B723" s="167"/>
      <c r="C723" s="162"/>
      <c r="D723" s="168"/>
      <c r="E723" s="162"/>
      <c r="F723" s="167"/>
      <c r="G723" s="167"/>
      <c r="H723" s="167"/>
      <c r="I723" s="167"/>
      <c r="J723" s="167"/>
      <c r="K723" s="167"/>
      <c r="L723" s="167"/>
      <c r="M723" s="167"/>
      <c r="N723" s="167"/>
      <c r="O723" s="167"/>
      <c r="Q723" s="163"/>
    </row>
    <row r="724" spans="2:17" ht="13.2">
      <c r="B724" s="167"/>
      <c r="C724" s="162"/>
      <c r="D724" s="168"/>
      <c r="E724" s="162"/>
      <c r="F724" s="167"/>
      <c r="G724" s="167"/>
      <c r="H724" s="167"/>
      <c r="I724" s="167"/>
      <c r="J724" s="167"/>
      <c r="K724" s="167"/>
      <c r="L724" s="167"/>
      <c r="M724" s="167"/>
      <c r="N724" s="167"/>
      <c r="O724" s="167"/>
      <c r="Q724" s="163"/>
    </row>
    <row r="725" spans="2:17" ht="13.2">
      <c r="B725" s="167"/>
      <c r="C725" s="162"/>
      <c r="D725" s="168"/>
      <c r="E725" s="162"/>
      <c r="F725" s="167"/>
      <c r="G725" s="167"/>
      <c r="H725" s="167"/>
      <c r="I725" s="167"/>
      <c r="J725" s="167"/>
      <c r="K725" s="167"/>
      <c r="L725" s="167"/>
      <c r="M725" s="167"/>
      <c r="N725" s="167"/>
      <c r="O725" s="167"/>
      <c r="Q725" s="163"/>
    </row>
    <row r="726" spans="2:17" ht="13.2">
      <c r="B726" s="167"/>
      <c r="C726" s="162"/>
      <c r="D726" s="168"/>
      <c r="E726" s="162"/>
      <c r="F726" s="167"/>
      <c r="G726" s="167"/>
      <c r="H726" s="167"/>
      <c r="I726" s="167"/>
      <c r="J726" s="167"/>
      <c r="K726" s="167"/>
      <c r="L726" s="167"/>
      <c r="M726" s="167"/>
      <c r="N726" s="167"/>
      <c r="O726" s="167"/>
      <c r="Q726" s="163"/>
    </row>
    <row r="727" spans="2:17" ht="13.2">
      <c r="B727" s="167"/>
      <c r="C727" s="162"/>
      <c r="D727" s="168"/>
      <c r="E727" s="162"/>
      <c r="F727" s="167"/>
      <c r="G727" s="167"/>
      <c r="H727" s="167"/>
      <c r="I727" s="167"/>
      <c r="J727" s="167"/>
      <c r="K727" s="167"/>
      <c r="L727" s="167"/>
      <c r="M727" s="167"/>
      <c r="N727" s="167"/>
      <c r="O727" s="167"/>
      <c r="Q727" s="163"/>
    </row>
    <row r="728" spans="2:17" ht="13.2">
      <c r="B728" s="167"/>
      <c r="C728" s="162"/>
      <c r="D728" s="168"/>
      <c r="E728" s="162"/>
      <c r="F728" s="167"/>
      <c r="G728" s="167"/>
      <c r="H728" s="167"/>
      <c r="I728" s="167"/>
      <c r="J728" s="167"/>
      <c r="K728" s="167"/>
      <c r="L728" s="167"/>
      <c r="M728" s="167"/>
      <c r="N728" s="167"/>
      <c r="O728" s="167"/>
      <c r="Q728" s="163"/>
    </row>
    <row r="729" spans="2:17" ht="13.2">
      <c r="B729" s="167"/>
      <c r="C729" s="162"/>
      <c r="D729" s="168"/>
      <c r="E729" s="162"/>
      <c r="F729" s="167"/>
      <c r="G729" s="167"/>
      <c r="H729" s="167"/>
      <c r="I729" s="167"/>
      <c r="J729" s="167"/>
      <c r="K729" s="167"/>
      <c r="L729" s="167"/>
      <c r="M729" s="167"/>
      <c r="N729" s="167"/>
      <c r="O729" s="167"/>
      <c r="Q729" s="163"/>
    </row>
    <row r="730" spans="2:17" ht="13.2">
      <c r="B730" s="167"/>
      <c r="C730" s="162"/>
      <c r="D730" s="168"/>
      <c r="E730" s="162"/>
      <c r="F730" s="167"/>
      <c r="G730" s="167"/>
      <c r="H730" s="167"/>
      <c r="I730" s="167"/>
      <c r="J730" s="167"/>
      <c r="K730" s="167"/>
      <c r="L730" s="167"/>
      <c r="M730" s="167"/>
      <c r="N730" s="167"/>
      <c r="O730" s="167"/>
      <c r="Q730" s="163"/>
    </row>
    <row r="731" spans="2:17" ht="13.2">
      <c r="B731" s="167"/>
      <c r="C731" s="162"/>
      <c r="D731" s="168"/>
      <c r="E731" s="162"/>
      <c r="F731" s="167"/>
      <c r="G731" s="167"/>
      <c r="H731" s="167"/>
      <c r="I731" s="167"/>
      <c r="J731" s="167"/>
      <c r="K731" s="167"/>
      <c r="L731" s="167"/>
      <c r="M731" s="167"/>
      <c r="N731" s="167"/>
      <c r="O731" s="167"/>
      <c r="Q731" s="163"/>
    </row>
    <row r="732" spans="2:17" ht="13.2">
      <c r="B732" s="167"/>
      <c r="C732" s="162"/>
      <c r="D732" s="168"/>
      <c r="E732" s="162"/>
      <c r="F732" s="167"/>
      <c r="G732" s="167"/>
      <c r="H732" s="167"/>
      <c r="I732" s="167"/>
      <c r="J732" s="167"/>
      <c r="K732" s="167"/>
      <c r="L732" s="167"/>
      <c r="M732" s="167"/>
      <c r="N732" s="167"/>
      <c r="O732" s="167"/>
      <c r="Q732" s="163"/>
    </row>
    <row r="733" spans="2:17" ht="13.2">
      <c r="B733" s="167"/>
      <c r="C733" s="162"/>
      <c r="D733" s="168"/>
      <c r="E733" s="162"/>
      <c r="F733" s="167"/>
      <c r="G733" s="167"/>
      <c r="H733" s="167"/>
      <c r="I733" s="167"/>
      <c r="J733" s="167"/>
      <c r="K733" s="167"/>
      <c r="L733" s="167"/>
      <c r="M733" s="167"/>
      <c r="N733" s="167"/>
      <c r="O733" s="167"/>
      <c r="Q733" s="163"/>
    </row>
    <row r="734" spans="2:17" ht="13.2">
      <c r="B734" s="167"/>
      <c r="C734" s="162"/>
      <c r="D734" s="168"/>
      <c r="E734" s="162"/>
      <c r="F734" s="167"/>
      <c r="G734" s="167"/>
      <c r="H734" s="167"/>
      <c r="I734" s="167"/>
      <c r="J734" s="167"/>
      <c r="K734" s="167"/>
      <c r="L734" s="167"/>
      <c r="M734" s="167"/>
      <c r="N734" s="167"/>
      <c r="O734" s="167"/>
      <c r="Q734" s="163"/>
    </row>
    <row r="735" spans="2:17" ht="13.2">
      <c r="B735" s="167"/>
      <c r="C735" s="162"/>
      <c r="D735" s="168"/>
      <c r="E735" s="162"/>
      <c r="F735" s="167"/>
      <c r="G735" s="167"/>
      <c r="H735" s="167"/>
      <c r="I735" s="167"/>
      <c r="J735" s="167"/>
      <c r="K735" s="167"/>
      <c r="L735" s="167"/>
      <c r="M735" s="167"/>
      <c r="N735" s="167"/>
      <c r="O735" s="167"/>
      <c r="Q735" s="163"/>
    </row>
    <row r="736" spans="2:17" ht="13.2">
      <c r="B736" s="167"/>
      <c r="C736" s="162"/>
      <c r="D736" s="168"/>
      <c r="E736" s="162"/>
      <c r="F736" s="167"/>
      <c r="G736" s="167"/>
      <c r="H736" s="167"/>
      <c r="I736" s="167"/>
      <c r="J736" s="167"/>
      <c r="K736" s="167"/>
      <c r="L736" s="167"/>
      <c r="M736" s="167"/>
      <c r="N736" s="167"/>
      <c r="O736" s="167"/>
      <c r="Q736" s="163"/>
    </row>
    <row r="737" spans="2:17" ht="13.2">
      <c r="B737" s="167"/>
      <c r="C737" s="162"/>
      <c r="D737" s="168"/>
      <c r="E737" s="162"/>
      <c r="F737" s="167"/>
      <c r="G737" s="167"/>
      <c r="H737" s="167"/>
      <c r="I737" s="167"/>
      <c r="J737" s="167"/>
      <c r="K737" s="167"/>
      <c r="L737" s="167"/>
      <c r="M737" s="167"/>
      <c r="N737" s="167"/>
      <c r="O737" s="167"/>
      <c r="Q737" s="163"/>
    </row>
    <row r="738" spans="2:17" ht="13.2">
      <c r="B738" s="167"/>
      <c r="C738" s="162"/>
      <c r="D738" s="168"/>
      <c r="E738" s="162"/>
      <c r="F738" s="167"/>
      <c r="G738" s="167"/>
      <c r="H738" s="167"/>
      <c r="I738" s="167"/>
      <c r="J738" s="167"/>
      <c r="K738" s="167"/>
      <c r="L738" s="167"/>
      <c r="M738" s="167"/>
      <c r="N738" s="167"/>
      <c r="O738" s="167"/>
      <c r="Q738" s="163"/>
    </row>
    <row r="739" spans="2:17" ht="13.2">
      <c r="B739" s="167"/>
      <c r="C739" s="162"/>
      <c r="D739" s="168"/>
      <c r="E739" s="162"/>
      <c r="F739" s="167"/>
      <c r="G739" s="167"/>
      <c r="H739" s="167"/>
      <c r="I739" s="167"/>
      <c r="J739" s="167"/>
      <c r="K739" s="167"/>
      <c r="L739" s="167"/>
      <c r="M739" s="167"/>
      <c r="N739" s="167"/>
      <c r="O739" s="167"/>
      <c r="Q739" s="163"/>
    </row>
    <row r="740" spans="2:17" ht="13.2">
      <c r="B740" s="167"/>
      <c r="C740" s="162"/>
      <c r="D740" s="168"/>
      <c r="E740" s="162"/>
      <c r="F740" s="167"/>
      <c r="G740" s="167"/>
      <c r="H740" s="167"/>
      <c r="I740" s="167"/>
      <c r="J740" s="167"/>
      <c r="K740" s="167"/>
      <c r="L740" s="167"/>
      <c r="M740" s="167"/>
      <c r="N740" s="167"/>
      <c r="O740" s="167"/>
      <c r="Q740" s="163"/>
    </row>
    <row r="741" spans="2:17" ht="13.2">
      <c r="B741" s="167"/>
      <c r="C741" s="162"/>
      <c r="D741" s="168"/>
      <c r="E741" s="162"/>
      <c r="F741" s="167"/>
      <c r="G741" s="167"/>
      <c r="H741" s="167"/>
      <c r="I741" s="167"/>
      <c r="J741" s="167"/>
      <c r="K741" s="167"/>
      <c r="L741" s="167"/>
      <c r="M741" s="167"/>
      <c r="N741" s="167"/>
      <c r="O741" s="167"/>
      <c r="Q741" s="163"/>
    </row>
    <row r="742" spans="2:17" ht="13.2">
      <c r="B742" s="167"/>
      <c r="C742" s="162"/>
      <c r="D742" s="168"/>
      <c r="E742" s="162"/>
      <c r="F742" s="167"/>
      <c r="G742" s="167"/>
      <c r="H742" s="167"/>
      <c r="I742" s="167"/>
      <c r="J742" s="167"/>
      <c r="K742" s="167"/>
      <c r="L742" s="167"/>
      <c r="M742" s="167"/>
      <c r="N742" s="167"/>
      <c r="O742" s="167"/>
      <c r="Q742" s="163"/>
    </row>
    <row r="743" spans="2:17" ht="13.2">
      <c r="B743" s="167"/>
      <c r="C743" s="162"/>
      <c r="D743" s="168"/>
      <c r="E743" s="162"/>
      <c r="F743" s="167"/>
      <c r="G743" s="167"/>
      <c r="H743" s="167"/>
      <c r="I743" s="167"/>
      <c r="J743" s="167"/>
      <c r="K743" s="167"/>
      <c r="L743" s="167"/>
      <c r="M743" s="167"/>
      <c r="N743" s="167"/>
      <c r="O743" s="167"/>
      <c r="Q743" s="163"/>
    </row>
    <row r="744" spans="2:17" ht="13.2">
      <c r="B744" s="167"/>
      <c r="C744" s="162"/>
      <c r="D744" s="168"/>
      <c r="E744" s="162"/>
      <c r="F744" s="167"/>
      <c r="G744" s="167"/>
      <c r="H744" s="167"/>
      <c r="I744" s="167"/>
      <c r="J744" s="167"/>
      <c r="K744" s="167"/>
      <c r="L744" s="167"/>
      <c r="M744" s="167"/>
      <c r="N744" s="167"/>
      <c r="O744" s="167"/>
      <c r="Q744" s="163"/>
    </row>
    <row r="745" spans="2:17" ht="13.2">
      <c r="B745" s="167"/>
      <c r="C745" s="162"/>
      <c r="D745" s="168"/>
      <c r="E745" s="162"/>
      <c r="F745" s="167"/>
      <c r="G745" s="167"/>
      <c r="H745" s="167"/>
      <c r="I745" s="167"/>
      <c r="J745" s="167"/>
      <c r="K745" s="167"/>
      <c r="L745" s="167"/>
      <c r="M745" s="167"/>
      <c r="N745" s="167"/>
      <c r="O745" s="167"/>
      <c r="Q745" s="163"/>
    </row>
    <row r="746" spans="2:17" ht="13.2">
      <c r="B746" s="167"/>
      <c r="C746" s="162"/>
      <c r="D746" s="168"/>
      <c r="E746" s="162"/>
      <c r="F746" s="167"/>
      <c r="G746" s="167"/>
      <c r="H746" s="167"/>
      <c r="I746" s="167"/>
      <c r="J746" s="167"/>
      <c r="K746" s="167"/>
      <c r="L746" s="167"/>
      <c r="M746" s="167"/>
      <c r="N746" s="167"/>
      <c r="O746" s="167"/>
      <c r="Q746" s="163"/>
    </row>
    <row r="747" spans="2:17" ht="13.2">
      <c r="B747" s="167"/>
      <c r="C747" s="162"/>
      <c r="D747" s="168"/>
      <c r="E747" s="162"/>
      <c r="F747" s="167"/>
      <c r="G747" s="167"/>
      <c r="H747" s="167"/>
      <c r="I747" s="167"/>
      <c r="J747" s="167"/>
      <c r="K747" s="167"/>
      <c r="L747" s="167"/>
      <c r="M747" s="167"/>
      <c r="N747" s="167"/>
      <c r="O747" s="167"/>
      <c r="Q747" s="163"/>
    </row>
    <row r="748" spans="2:17" ht="13.2">
      <c r="B748" s="167"/>
      <c r="C748" s="162"/>
      <c r="D748" s="168"/>
      <c r="E748" s="162"/>
      <c r="F748" s="167"/>
      <c r="G748" s="167"/>
      <c r="H748" s="167"/>
      <c r="I748" s="167"/>
      <c r="J748" s="167"/>
      <c r="K748" s="167"/>
      <c r="L748" s="167"/>
      <c r="M748" s="167"/>
      <c r="N748" s="167"/>
      <c r="O748" s="167"/>
      <c r="Q748" s="163"/>
    </row>
    <row r="749" spans="2:17" ht="13.2">
      <c r="B749" s="167"/>
      <c r="C749" s="162"/>
      <c r="D749" s="168"/>
      <c r="E749" s="162"/>
      <c r="F749" s="167"/>
      <c r="G749" s="167"/>
      <c r="H749" s="167"/>
      <c r="I749" s="167"/>
      <c r="J749" s="167"/>
      <c r="K749" s="167"/>
      <c r="L749" s="167"/>
      <c r="M749" s="167"/>
      <c r="N749" s="167"/>
      <c r="O749" s="167"/>
      <c r="Q749" s="163"/>
    </row>
    <row r="750" spans="2:17" ht="13.2">
      <c r="B750" s="167"/>
      <c r="C750" s="162"/>
      <c r="D750" s="168"/>
      <c r="E750" s="162"/>
      <c r="F750" s="167"/>
      <c r="G750" s="167"/>
      <c r="H750" s="167"/>
      <c r="I750" s="167"/>
      <c r="J750" s="167"/>
      <c r="K750" s="167"/>
      <c r="L750" s="167"/>
      <c r="M750" s="167"/>
      <c r="N750" s="167"/>
      <c r="O750" s="167"/>
      <c r="Q750" s="163"/>
    </row>
    <row r="751" spans="2:17" ht="13.2">
      <c r="B751" s="167"/>
      <c r="C751" s="162"/>
      <c r="D751" s="168"/>
      <c r="E751" s="162"/>
      <c r="F751" s="167"/>
      <c r="G751" s="167"/>
      <c r="H751" s="167"/>
      <c r="I751" s="167"/>
      <c r="J751" s="167"/>
      <c r="K751" s="167"/>
      <c r="L751" s="167"/>
      <c r="M751" s="167"/>
      <c r="N751" s="167"/>
      <c r="O751" s="167"/>
      <c r="Q751" s="163"/>
    </row>
    <row r="752" spans="2:17" ht="13.2">
      <c r="B752" s="167"/>
      <c r="C752" s="162"/>
      <c r="D752" s="168"/>
      <c r="E752" s="162"/>
      <c r="F752" s="167"/>
      <c r="G752" s="167"/>
      <c r="H752" s="167"/>
      <c r="I752" s="167"/>
      <c r="J752" s="167"/>
      <c r="K752" s="167"/>
      <c r="L752" s="167"/>
      <c r="M752" s="167"/>
      <c r="N752" s="167"/>
      <c r="O752" s="167"/>
      <c r="Q752" s="163"/>
    </row>
    <row r="753" spans="2:17" ht="13.2">
      <c r="B753" s="167"/>
      <c r="C753" s="162"/>
      <c r="D753" s="168"/>
      <c r="E753" s="162"/>
      <c r="F753" s="167"/>
      <c r="G753" s="167"/>
      <c r="H753" s="167"/>
      <c r="I753" s="167"/>
      <c r="J753" s="167"/>
      <c r="K753" s="167"/>
      <c r="L753" s="167"/>
      <c r="M753" s="167"/>
      <c r="N753" s="167"/>
      <c r="O753" s="167"/>
      <c r="Q753" s="163"/>
    </row>
    <row r="754" spans="2:17" ht="13.2">
      <c r="B754" s="167"/>
      <c r="C754" s="162"/>
      <c r="D754" s="168"/>
      <c r="E754" s="162"/>
      <c r="F754" s="167"/>
      <c r="G754" s="167"/>
      <c r="H754" s="167"/>
      <c r="I754" s="167"/>
      <c r="J754" s="167"/>
      <c r="K754" s="167"/>
      <c r="L754" s="167"/>
      <c r="M754" s="167"/>
      <c r="N754" s="167"/>
      <c r="O754" s="167"/>
      <c r="Q754" s="163"/>
    </row>
    <row r="755" spans="2:17" ht="13.2">
      <c r="B755" s="167"/>
      <c r="C755" s="162"/>
      <c r="D755" s="168"/>
      <c r="E755" s="162"/>
      <c r="F755" s="167"/>
      <c r="G755" s="167"/>
      <c r="H755" s="167"/>
      <c r="I755" s="167"/>
      <c r="J755" s="167"/>
      <c r="K755" s="167"/>
      <c r="L755" s="167"/>
      <c r="M755" s="167"/>
      <c r="N755" s="167"/>
      <c r="O755" s="167"/>
      <c r="Q755" s="163"/>
    </row>
    <row r="756" spans="2:17" ht="13.2">
      <c r="B756" s="167"/>
      <c r="C756" s="162"/>
      <c r="D756" s="168"/>
      <c r="E756" s="162"/>
      <c r="F756" s="167"/>
      <c r="G756" s="167"/>
      <c r="H756" s="167"/>
      <c r="I756" s="167"/>
      <c r="J756" s="167"/>
      <c r="K756" s="167"/>
      <c r="L756" s="167"/>
      <c r="M756" s="167"/>
      <c r="N756" s="167"/>
      <c r="O756" s="167"/>
      <c r="Q756" s="163"/>
    </row>
    <row r="757" spans="2:17" ht="13.2">
      <c r="B757" s="167"/>
      <c r="C757" s="162"/>
      <c r="D757" s="168"/>
      <c r="E757" s="162"/>
      <c r="F757" s="167"/>
      <c r="G757" s="167"/>
      <c r="H757" s="167"/>
      <c r="I757" s="167"/>
      <c r="J757" s="167"/>
      <c r="K757" s="167"/>
      <c r="L757" s="167"/>
      <c r="M757" s="167"/>
      <c r="N757" s="167"/>
      <c r="O757" s="167"/>
      <c r="Q757" s="163"/>
    </row>
    <row r="758" spans="2:17" ht="13.2">
      <c r="B758" s="167"/>
      <c r="C758" s="162"/>
      <c r="D758" s="168"/>
      <c r="E758" s="162"/>
      <c r="F758" s="167"/>
      <c r="G758" s="167"/>
      <c r="H758" s="167"/>
      <c r="I758" s="167"/>
      <c r="J758" s="167"/>
      <c r="K758" s="167"/>
      <c r="L758" s="167"/>
      <c r="M758" s="167"/>
      <c r="N758" s="167"/>
      <c r="O758" s="167"/>
      <c r="Q758" s="163"/>
    </row>
    <row r="759" spans="2:17" ht="13.2">
      <c r="B759" s="167"/>
      <c r="C759" s="162"/>
      <c r="D759" s="168"/>
      <c r="E759" s="162"/>
      <c r="F759" s="167"/>
      <c r="G759" s="167"/>
      <c r="H759" s="167"/>
      <c r="I759" s="167"/>
      <c r="J759" s="167"/>
      <c r="K759" s="167"/>
      <c r="L759" s="167"/>
      <c r="M759" s="167"/>
      <c r="N759" s="167"/>
      <c r="O759" s="167"/>
      <c r="Q759" s="163"/>
    </row>
    <row r="760" spans="2:17" ht="13.2">
      <c r="B760" s="167"/>
      <c r="C760" s="162"/>
      <c r="D760" s="168"/>
      <c r="E760" s="162"/>
      <c r="F760" s="167"/>
      <c r="G760" s="167"/>
      <c r="H760" s="167"/>
      <c r="I760" s="167"/>
      <c r="J760" s="167"/>
      <c r="K760" s="167"/>
      <c r="L760" s="167"/>
      <c r="M760" s="167"/>
      <c r="N760" s="167"/>
      <c r="O760" s="167"/>
      <c r="Q760" s="163"/>
    </row>
    <row r="761" spans="2:17" ht="13.2">
      <c r="B761" s="167"/>
      <c r="C761" s="162"/>
      <c r="D761" s="168"/>
      <c r="E761" s="162"/>
      <c r="F761" s="167"/>
      <c r="G761" s="167"/>
      <c r="H761" s="167"/>
      <c r="I761" s="167"/>
      <c r="J761" s="167"/>
      <c r="K761" s="167"/>
      <c r="L761" s="167"/>
      <c r="M761" s="167"/>
      <c r="N761" s="167"/>
      <c r="O761" s="167"/>
      <c r="Q761" s="163"/>
    </row>
    <row r="762" spans="2:17" ht="13.2">
      <c r="B762" s="167"/>
      <c r="C762" s="162"/>
      <c r="D762" s="168"/>
      <c r="E762" s="162"/>
      <c r="F762" s="167"/>
      <c r="G762" s="167"/>
      <c r="H762" s="167"/>
      <c r="I762" s="167"/>
      <c r="J762" s="167"/>
      <c r="K762" s="167"/>
      <c r="L762" s="167"/>
      <c r="M762" s="167"/>
      <c r="N762" s="167"/>
      <c r="O762" s="167"/>
      <c r="Q762" s="163"/>
    </row>
    <row r="763" spans="2:17" ht="13.2">
      <c r="B763" s="167"/>
      <c r="C763" s="162"/>
      <c r="D763" s="168"/>
      <c r="E763" s="162"/>
      <c r="F763" s="167"/>
      <c r="G763" s="167"/>
      <c r="H763" s="167"/>
      <c r="I763" s="167"/>
      <c r="J763" s="167"/>
      <c r="K763" s="167"/>
      <c r="L763" s="167"/>
      <c r="M763" s="167"/>
      <c r="N763" s="167"/>
      <c r="O763" s="167"/>
      <c r="Q763" s="163"/>
    </row>
    <row r="764" spans="2:17" ht="13.2">
      <c r="B764" s="167"/>
      <c r="C764" s="162"/>
      <c r="D764" s="168"/>
      <c r="E764" s="162"/>
      <c r="F764" s="167"/>
      <c r="G764" s="167"/>
      <c r="H764" s="167"/>
      <c r="I764" s="167"/>
      <c r="J764" s="167"/>
      <c r="K764" s="167"/>
      <c r="L764" s="167"/>
      <c r="M764" s="167"/>
      <c r="N764" s="167"/>
      <c r="O764" s="167"/>
      <c r="Q764" s="163"/>
    </row>
    <row r="765" spans="2:17" ht="13.2">
      <c r="B765" s="167"/>
      <c r="C765" s="162"/>
      <c r="D765" s="168"/>
      <c r="E765" s="162"/>
      <c r="F765" s="167"/>
      <c r="G765" s="167"/>
      <c r="H765" s="167"/>
      <c r="I765" s="167"/>
      <c r="J765" s="167"/>
      <c r="K765" s="167"/>
      <c r="L765" s="167"/>
      <c r="M765" s="167"/>
      <c r="N765" s="167"/>
      <c r="O765" s="167"/>
      <c r="Q765" s="163"/>
    </row>
    <row r="766" spans="2:17" ht="13.2">
      <c r="B766" s="167"/>
      <c r="C766" s="162"/>
      <c r="D766" s="168"/>
      <c r="E766" s="162"/>
      <c r="F766" s="167"/>
      <c r="G766" s="167"/>
      <c r="H766" s="167"/>
      <c r="I766" s="167"/>
      <c r="J766" s="167"/>
      <c r="K766" s="167"/>
      <c r="L766" s="167"/>
      <c r="M766" s="167"/>
      <c r="N766" s="167"/>
      <c r="O766" s="167"/>
      <c r="Q766" s="163"/>
    </row>
    <row r="767" spans="2:17" ht="13.2">
      <c r="B767" s="167"/>
      <c r="C767" s="162"/>
      <c r="D767" s="168"/>
      <c r="E767" s="162"/>
      <c r="F767" s="167"/>
      <c r="G767" s="167"/>
      <c r="H767" s="167"/>
      <c r="I767" s="167"/>
      <c r="J767" s="167"/>
      <c r="K767" s="167"/>
      <c r="L767" s="167"/>
      <c r="M767" s="167"/>
      <c r="N767" s="167"/>
      <c r="O767" s="167"/>
      <c r="Q767" s="163"/>
    </row>
    <row r="768" spans="2:17" ht="13.2">
      <c r="B768" s="167"/>
      <c r="C768" s="162"/>
      <c r="D768" s="168"/>
      <c r="E768" s="162"/>
      <c r="F768" s="167"/>
      <c r="G768" s="167"/>
      <c r="H768" s="167"/>
      <c r="I768" s="167"/>
      <c r="J768" s="167"/>
      <c r="K768" s="167"/>
      <c r="L768" s="167"/>
      <c r="M768" s="167"/>
      <c r="N768" s="167"/>
      <c r="O768" s="167"/>
      <c r="Q768" s="163"/>
    </row>
    <row r="769" spans="2:17" ht="13.2">
      <c r="B769" s="167"/>
      <c r="C769" s="162"/>
      <c r="D769" s="168"/>
      <c r="E769" s="162"/>
      <c r="F769" s="167"/>
      <c r="G769" s="167"/>
      <c r="H769" s="167"/>
      <c r="I769" s="167"/>
      <c r="J769" s="167"/>
      <c r="K769" s="167"/>
      <c r="L769" s="167"/>
      <c r="M769" s="167"/>
      <c r="N769" s="167"/>
      <c r="O769" s="167"/>
      <c r="Q769" s="163"/>
    </row>
    <row r="770" spans="2:17" ht="13.2">
      <c r="B770" s="167"/>
      <c r="C770" s="162"/>
      <c r="D770" s="168"/>
      <c r="E770" s="162"/>
      <c r="F770" s="167"/>
      <c r="G770" s="167"/>
      <c r="H770" s="167"/>
      <c r="I770" s="167"/>
      <c r="J770" s="167"/>
      <c r="K770" s="167"/>
      <c r="L770" s="167"/>
      <c r="M770" s="167"/>
      <c r="N770" s="167"/>
      <c r="O770" s="167"/>
      <c r="Q770" s="163"/>
    </row>
    <row r="771" spans="2:17" ht="13.2">
      <c r="B771" s="167"/>
      <c r="C771" s="162"/>
      <c r="D771" s="168"/>
      <c r="E771" s="162"/>
      <c r="F771" s="167"/>
      <c r="G771" s="167"/>
      <c r="H771" s="167"/>
      <c r="I771" s="167"/>
      <c r="J771" s="167"/>
      <c r="K771" s="167"/>
      <c r="L771" s="167"/>
      <c r="M771" s="167"/>
      <c r="N771" s="167"/>
      <c r="O771" s="167"/>
      <c r="Q771" s="163"/>
    </row>
    <row r="772" spans="2:17" ht="13.2">
      <c r="B772" s="167"/>
      <c r="C772" s="162"/>
      <c r="D772" s="168"/>
      <c r="E772" s="162"/>
      <c r="F772" s="167"/>
      <c r="G772" s="167"/>
      <c r="H772" s="167"/>
      <c r="I772" s="167"/>
      <c r="J772" s="167"/>
      <c r="K772" s="167"/>
      <c r="L772" s="167"/>
      <c r="M772" s="167"/>
      <c r="N772" s="167"/>
      <c r="O772" s="167"/>
      <c r="Q772" s="163"/>
    </row>
    <row r="773" spans="2:17" ht="13.2">
      <c r="B773" s="167"/>
      <c r="C773" s="162"/>
      <c r="D773" s="168"/>
      <c r="E773" s="162"/>
      <c r="F773" s="167"/>
      <c r="G773" s="167"/>
      <c r="H773" s="167"/>
      <c r="I773" s="167"/>
      <c r="J773" s="167"/>
      <c r="K773" s="167"/>
      <c r="L773" s="167"/>
      <c r="M773" s="167"/>
      <c r="N773" s="167"/>
      <c r="O773" s="167"/>
      <c r="Q773" s="163"/>
    </row>
    <row r="774" spans="2:17" ht="13.2">
      <c r="B774" s="167"/>
      <c r="C774" s="162"/>
      <c r="D774" s="168"/>
      <c r="E774" s="162"/>
      <c r="F774" s="167"/>
      <c r="G774" s="167"/>
      <c r="H774" s="167"/>
      <c r="I774" s="167"/>
      <c r="J774" s="167"/>
      <c r="K774" s="167"/>
      <c r="L774" s="167"/>
      <c r="M774" s="167"/>
      <c r="N774" s="167"/>
      <c r="O774" s="167"/>
      <c r="Q774" s="163"/>
    </row>
    <row r="775" spans="2:17" ht="13.2">
      <c r="B775" s="167"/>
      <c r="C775" s="162"/>
      <c r="D775" s="168"/>
      <c r="E775" s="162"/>
      <c r="F775" s="167"/>
      <c r="G775" s="167"/>
      <c r="H775" s="167"/>
      <c r="I775" s="167"/>
      <c r="J775" s="167"/>
      <c r="K775" s="167"/>
      <c r="L775" s="167"/>
      <c r="M775" s="167"/>
      <c r="N775" s="167"/>
      <c r="O775" s="167"/>
      <c r="Q775" s="163"/>
    </row>
    <row r="776" spans="2:17" ht="13.2">
      <c r="B776" s="167"/>
      <c r="C776" s="162"/>
      <c r="D776" s="168"/>
      <c r="E776" s="162"/>
      <c r="F776" s="167"/>
      <c r="G776" s="167"/>
      <c r="H776" s="167"/>
      <c r="I776" s="167"/>
      <c r="J776" s="167"/>
      <c r="K776" s="167"/>
      <c r="L776" s="167"/>
      <c r="M776" s="167"/>
      <c r="N776" s="167"/>
      <c r="O776" s="167"/>
      <c r="Q776" s="163"/>
    </row>
    <row r="777" spans="2:17" ht="13.2">
      <c r="B777" s="167"/>
      <c r="C777" s="162"/>
      <c r="D777" s="168"/>
      <c r="E777" s="162"/>
      <c r="F777" s="167"/>
      <c r="G777" s="167"/>
      <c r="H777" s="167"/>
      <c r="I777" s="167"/>
      <c r="J777" s="167"/>
      <c r="K777" s="167"/>
      <c r="L777" s="167"/>
      <c r="M777" s="167"/>
      <c r="N777" s="167"/>
      <c r="O777" s="167"/>
      <c r="Q777" s="163"/>
    </row>
    <row r="778" spans="2:17" ht="13.2">
      <c r="B778" s="167"/>
      <c r="C778" s="162"/>
      <c r="D778" s="168"/>
      <c r="E778" s="162"/>
      <c r="F778" s="167"/>
      <c r="G778" s="167"/>
      <c r="H778" s="167"/>
      <c r="I778" s="167"/>
      <c r="J778" s="167"/>
      <c r="K778" s="167"/>
      <c r="L778" s="167"/>
      <c r="M778" s="167"/>
      <c r="N778" s="167"/>
      <c r="O778" s="167"/>
      <c r="Q778" s="163"/>
    </row>
    <row r="779" spans="2:17" ht="13.2">
      <c r="B779" s="167"/>
      <c r="C779" s="162"/>
      <c r="D779" s="168"/>
      <c r="E779" s="162"/>
      <c r="F779" s="167"/>
      <c r="G779" s="167"/>
      <c r="H779" s="167"/>
      <c r="I779" s="167"/>
      <c r="J779" s="167"/>
      <c r="K779" s="167"/>
      <c r="L779" s="167"/>
      <c r="M779" s="167"/>
      <c r="N779" s="167"/>
      <c r="O779" s="167"/>
      <c r="Q779" s="163"/>
    </row>
    <row r="780" spans="2:17" ht="13.2">
      <c r="B780" s="167"/>
      <c r="C780" s="162"/>
      <c r="D780" s="168"/>
      <c r="E780" s="162"/>
      <c r="F780" s="167"/>
      <c r="G780" s="167"/>
      <c r="H780" s="167"/>
      <c r="I780" s="167"/>
      <c r="J780" s="167"/>
      <c r="K780" s="167"/>
      <c r="L780" s="167"/>
      <c r="M780" s="167"/>
      <c r="N780" s="167"/>
      <c r="O780" s="167"/>
      <c r="Q780" s="163"/>
    </row>
    <row r="781" spans="2:17" ht="13.2">
      <c r="B781" s="167"/>
      <c r="C781" s="162"/>
      <c r="D781" s="168"/>
      <c r="E781" s="162"/>
      <c r="F781" s="167"/>
      <c r="G781" s="167"/>
      <c r="H781" s="167"/>
      <c r="I781" s="167"/>
      <c r="J781" s="167"/>
      <c r="K781" s="167"/>
      <c r="L781" s="167"/>
      <c r="M781" s="167"/>
      <c r="N781" s="167"/>
      <c r="O781" s="167"/>
      <c r="Q781" s="163"/>
    </row>
    <row r="782" spans="2:17" ht="13.2">
      <c r="B782" s="167"/>
      <c r="C782" s="162"/>
      <c r="D782" s="168"/>
      <c r="E782" s="162"/>
      <c r="F782" s="167"/>
      <c r="G782" s="167"/>
      <c r="H782" s="167"/>
      <c r="I782" s="167"/>
      <c r="J782" s="167"/>
      <c r="K782" s="167"/>
      <c r="L782" s="167"/>
      <c r="M782" s="167"/>
      <c r="N782" s="167"/>
      <c r="O782" s="167"/>
      <c r="Q782" s="163"/>
    </row>
    <row r="783" spans="2:17" ht="13.2">
      <c r="B783" s="167"/>
      <c r="C783" s="162"/>
      <c r="D783" s="168"/>
      <c r="E783" s="162"/>
      <c r="F783" s="167"/>
      <c r="G783" s="167"/>
      <c r="H783" s="167"/>
      <c r="I783" s="167"/>
      <c r="J783" s="167"/>
      <c r="K783" s="167"/>
      <c r="L783" s="167"/>
      <c r="M783" s="167"/>
      <c r="N783" s="167"/>
      <c r="O783" s="167"/>
      <c r="Q783" s="163"/>
    </row>
    <row r="784" spans="2:17" ht="13.2">
      <c r="B784" s="167"/>
      <c r="C784" s="162"/>
      <c r="D784" s="168"/>
      <c r="E784" s="162"/>
      <c r="F784" s="167"/>
      <c r="G784" s="167"/>
      <c r="H784" s="167"/>
      <c r="I784" s="167"/>
      <c r="J784" s="167"/>
      <c r="K784" s="167"/>
      <c r="L784" s="167"/>
      <c r="M784" s="167"/>
      <c r="N784" s="167"/>
      <c r="O784" s="167"/>
      <c r="Q784" s="163"/>
    </row>
    <row r="785" spans="2:17" ht="13.2">
      <c r="B785" s="167"/>
      <c r="C785" s="162"/>
      <c r="D785" s="168"/>
      <c r="E785" s="162"/>
      <c r="F785" s="167"/>
      <c r="G785" s="167"/>
      <c r="H785" s="167"/>
      <c r="I785" s="167"/>
      <c r="J785" s="167"/>
      <c r="K785" s="167"/>
      <c r="L785" s="167"/>
      <c r="M785" s="167"/>
      <c r="N785" s="167"/>
      <c r="O785" s="167"/>
      <c r="Q785" s="163"/>
    </row>
    <row r="786" spans="2:17" ht="13.2">
      <c r="B786" s="167"/>
      <c r="C786" s="162"/>
      <c r="D786" s="168"/>
      <c r="E786" s="162"/>
      <c r="F786" s="167"/>
      <c r="G786" s="167"/>
      <c r="H786" s="167"/>
      <c r="I786" s="167"/>
      <c r="J786" s="167"/>
      <c r="K786" s="167"/>
      <c r="L786" s="167"/>
      <c r="M786" s="167"/>
      <c r="N786" s="167"/>
      <c r="O786" s="167"/>
      <c r="Q786" s="163"/>
    </row>
    <row r="787" spans="2:17" ht="13.2">
      <c r="B787" s="167"/>
      <c r="C787" s="162"/>
      <c r="D787" s="168"/>
      <c r="E787" s="162"/>
      <c r="F787" s="167"/>
      <c r="G787" s="167"/>
      <c r="H787" s="167"/>
      <c r="I787" s="167"/>
      <c r="J787" s="167"/>
      <c r="K787" s="167"/>
      <c r="L787" s="167"/>
      <c r="M787" s="167"/>
      <c r="N787" s="167"/>
      <c r="O787" s="167"/>
      <c r="Q787" s="163"/>
    </row>
    <row r="788" spans="2:17" ht="13.2">
      <c r="B788" s="167"/>
      <c r="C788" s="162"/>
      <c r="D788" s="168"/>
      <c r="E788" s="162"/>
      <c r="F788" s="167"/>
      <c r="G788" s="167"/>
      <c r="H788" s="167"/>
      <c r="I788" s="167"/>
      <c r="J788" s="167"/>
      <c r="K788" s="167"/>
      <c r="L788" s="167"/>
      <c r="M788" s="167"/>
      <c r="N788" s="167"/>
      <c r="O788" s="167"/>
      <c r="Q788" s="163"/>
    </row>
    <row r="789" spans="2:17" ht="13.2">
      <c r="B789" s="167"/>
      <c r="C789" s="162"/>
      <c r="D789" s="168"/>
      <c r="E789" s="162"/>
      <c r="F789" s="167"/>
      <c r="G789" s="167"/>
      <c r="H789" s="167"/>
      <c r="I789" s="167"/>
      <c r="J789" s="167"/>
      <c r="K789" s="167"/>
      <c r="L789" s="167"/>
      <c r="M789" s="167"/>
      <c r="N789" s="167"/>
      <c r="O789" s="167"/>
      <c r="Q789" s="163"/>
    </row>
    <row r="790" spans="2:17" ht="13.2">
      <c r="B790" s="167"/>
      <c r="C790" s="162"/>
      <c r="D790" s="168"/>
      <c r="E790" s="162"/>
      <c r="F790" s="167"/>
      <c r="G790" s="167"/>
      <c r="H790" s="167"/>
      <c r="I790" s="167"/>
      <c r="J790" s="167"/>
      <c r="K790" s="167"/>
      <c r="L790" s="167"/>
      <c r="M790" s="167"/>
      <c r="N790" s="167"/>
      <c r="O790" s="167"/>
      <c r="Q790" s="163"/>
    </row>
    <row r="791" spans="2:17" ht="13.2">
      <c r="B791" s="167"/>
      <c r="C791" s="162"/>
      <c r="D791" s="168"/>
      <c r="E791" s="162"/>
      <c r="F791" s="167"/>
      <c r="G791" s="167"/>
      <c r="H791" s="167"/>
      <c r="I791" s="167"/>
      <c r="J791" s="167"/>
      <c r="K791" s="167"/>
      <c r="L791" s="167"/>
      <c r="M791" s="167"/>
      <c r="N791" s="167"/>
      <c r="O791" s="167"/>
      <c r="Q791" s="163"/>
    </row>
    <row r="792" spans="2:17" ht="13.2">
      <c r="B792" s="167"/>
      <c r="C792" s="162"/>
      <c r="D792" s="168"/>
      <c r="E792" s="162"/>
      <c r="F792" s="167"/>
      <c r="G792" s="167"/>
      <c r="H792" s="167"/>
      <c r="I792" s="167"/>
      <c r="J792" s="167"/>
      <c r="K792" s="167"/>
      <c r="L792" s="167"/>
      <c r="M792" s="167"/>
      <c r="N792" s="167"/>
      <c r="O792" s="167"/>
      <c r="Q792" s="163"/>
    </row>
    <row r="793" spans="2:17" ht="13.2">
      <c r="B793" s="167"/>
      <c r="C793" s="162"/>
      <c r="D793" s="168"/>
      <c r="E793" s="162"/>
      <c r="F793" s="167"/>
      <c r="G793" s="167"/>
      <c r="H793" s="167"/>
      <c r="I793" s="167"/>
      <c r="J793" s="167"/>
      <c r="K793" s="167"/>
      <c r="L793" s="167"/>
      <c r="M793" s="167"/>
      <c r="N793" s="167"/>
      <c r="O793" s="167"/>
      <c r="Q793" s="163"/>
    </row>
    <row r="794" spans="2:17" ht="13.2">
      <c r="B794" s="167"/>
      <c r="C794" s="162"/>
      <c r="D794" s="168"/>
      <c r="E794" s="162"/>
      <c r="F794" s="167"/>
      <c r="G794" s="167"/>
      <c r="H794" s="167"/>
      <c r="I794" s="167"/>
      <c r="J794" s="167"/>
      <c r="K794" s="167"/>
      <c r="L794" s="167"/>
      <c r="M794" s="167"/>
      <c r="N794" s="167"/>
      <c r="O794" s="167"/>
      <c r="Q794" s="163"/>
    </row>
    <row r="795" spans="2:17" ht="13.2">
      <c r="B795" s="167"/>
      <c r="C795" s="162"/>
      <c r="D795" s="168"/>
      <c r="E795" s="162"/>
      <c r="F795" s="167"/>
      <c r="G795" s="167"/>
      <c r="H795" s="167"/>
      <c r="I795" s="167"/>
      <c r="J795" s="167"/>
      <c r="K795" s="167"/>
      <c r="L795" s="167"/>
      <c r="M795" s="167"/>
      <c r="N795" s="167"/>
      <c r="O795" s="167"/>
      <c r="Q795" s="163"/>
    </row>
    <row r="796" spans="2:17" ht="13.2">
      <c r="B796" s="167"/>
      <c r="C796" s="162"/>
      <c r="D796" s="168"/>
      <c r="E796" s="162"/>
      <c r="F796" s="167"/>
      <c r="G796" s="167"/>
      <c r="H796" s="167"/>
      <c r="I796" s="167"/>
      <c r="J796" s="167"/>
      <c r="K796" s="167"/>
      <c r="L796" s="167"/>
      <c r="M796" s="167"/>
      <c r="N796" s="167"/>
      <c r="O796" s="167"/>
      <c r="Q796" s="163"/>
    </row>
    <row r="797" spans="2:17" ht="13.2">
      <c r="B797" s="167"/>
      <c r="C797" s="162"/>
      <c r="D797" s="168"/>
      <c r="E797" s="162"/>
      <c r="F797" s="167"/>
      <c r="G797" s="167"/>
      <c r="H797" s="167"/>
      <c r="I797" s="167"/>
      <c r="J797" s="167"/>
      <c r="K797" s="167"/>
      <c r="L797" s="167"/>
      <c r="M797" s="167"/>
      <c r="N797" s="167"/>
      <c r="O797" s="167"/>
      <c r="Q797" s="163"/>
    </row>
    <row r="798" spans="2:17" ht="13.2">
      <c r="B798" s="167"/>
      <c r="C798" s="162"/>
      <c r="D798" s="168"/>
      <c r="E798" s="162"/>
      <c r="F798" s="167"/>
      <c r="G798" s="167"/>
      <c r="H798" s="167"/>
      <c r="I798" s="167"/>
      <c r="J798" s="167"/>
      <c r="K798" s="167"/>
      <c r="L798" s="167"/>
      <c r="M798" s="167"/>
      <c r="N798" s="167"/>
      <c r="O798" s="167"/>
      <c r="Q798" s="163"/>
    </row>
    <row r="799" spans="2:17" ht="13.2">
      <c r="B799" s="167"/>
      <c r="C799" s="162"/>
      <c r="D799" s="168"/>
      <c r="E799" s="162"/>
      <c r="F799" s="167"/>
      <c r="G799" s="167"/>
      <c r="H799" s="167"/>
      <c r="I799" s="167"/>
      <c r="J799" s="167"/>
      <c r="K799" s="167"/>
      <c r="L799" s="167"/>
      <c r="M799" s="167"/>
      <c r="N799" s="167"/>
      <c r="O799" s="167"/>
      <c r="Q799" s="163"/>
    </row>
    <row r="800" spans="2:17" ht="13.2">
      <c r="B800" s="167"/>
      <c r="C800" s="162"/>
      <c r="D800" s="168"/>
      <c r="E800" s="162"/>
      <c r="F800" s="167"/>
      <c r="G800" s="167"/>
      <c r="H800" s="167"/>
      <c r="I800" s="167"/>
      <c r="J800" s="167"/>
      <c r="K800" s="167"/>
      <c r="L800" s="167"/>
      <c r="M800" s="167"/>
      <c r="N800" s="167"/>
      <c r="O800" s="167"/>
      <c r="Q800" s="163"/>
    </row>
    <row r="801" spans="2:17" ht="13.2">
      <c r="B801" s="167"/>
      <c r="C801" s="162"/>
      <c r="D801" s="168"/>
      <c r="E801" s="162"/>
      <c r="F801" s="167"/>
      <c r="G801" s="167"/>
      <c r="H801" s="167"/>
      <c r="I801" s="167"/>
      <c r="J801" s="167"/>
      <c r="K801" s="167"/>
      <c r="L801" s="167"/>
      <c r="M801" s="167"/>
      <c r="N801" s="167"/>
      <c r="O801" s="167"/>
      <c r="Q801" s="163"/>
    </row>
    <row r="802" spans="2:17" ht="13.2">
      <c r="B802" s="167"/>
      <c r="C802" s="162"/>
      <c r="D802" s="168"/>
      <c r="E802" s="162"/>
      <c r="F802" s="167"/>
      <c r="G802" s="167"/>
      <c r="H802" s="167"/>
      <c r="I802" s="167"/>
      <c r="J802" s="167"/>
      <c r="K802" s="167"/>
      <c r="L802" s="167"/>
      <c r="M802" s="167"/>
      <c r="N802" s="167"/>
      <c r="O802" s="167"/>
      <c r="Q802" s="163"/>
    </row>
    <row r="803" spans="2:17" ht="13.2">
      <c r="B803" s="167"/>
      <c r="C803" s="162"/>
      <c r="D803" s="168"/>
      <c r="E803" s="162"/>
      <c r="F803" s="167"/>
      <c r="G803" s="167"/>
      <c r="H803" s="167"/>
      <c r="I803" s="167"/>
      <c r="J803" s="167"/>
      <c r="K803" s="167"/>
      <c r="L803" s="167"/>
      <c r="M803" s="167"/>
      <c r="N803" s="167"/>
      <c r="O803" s="167"/>
      <c r="Q803" s="163"/>
    </row>
    <row r="804" spans="2:17" ht="13.2">
      <c r="B804" s="167"/>
      <c r="C804" s="162"/>
      <c r="D804" s="168"/>
      <c r="E804" s="162"/>
      <c r="F804" s="167"/>
      <c r="G804" s="167"/>
      <c r="H804" s="167"/>
      <c r="I804" s="167"/>
      <c r="J804" s="167"/>
      <c r="K804" s="167"/>
      <c r="L804" s="167"/>
      <c r="M804" s="167"/>
      <c r="N804" s="167"/>
      <c r="O804" s="167"/>
      <c r="Q804" s="163"/>
    </row>
    <row r="805" spans="2:17" ht="13.2">
      <c r="B805" s="167"/>
      <c r="C805" s="162"/>
      <c r="D805" s="168"/>
      <c r="E805" s="162"/>
      <c r="F805" s="167"/>
      <c r="G805" s="167"/>
      <c r="H805" s="167"/>
      <c r="I805" s="167"/>
      <c r="J805" s="167"/>
      <c r="K805" s="167"/>
      <c r="L805" s="167"/>
      <c r="M805" s="167"/>
      <c r="N805" s="167"/>
      <c r="O805" s="167"/>
      <c r="Q805" s="163"/>
    </row>
    <row r="806" spans="2:17" ht="13.2">
      <c r="B806" s="167"/>
      <c r="C806" s="162"/>
      <c r="D806" s="168"/>
      <c r="E806" s="162"/>
      <c r="F806" s="167"/>
      <c r="G806" s="167"/>
      <c r="H806" s="167"/>
      <c r="I806" s="167"/>
      <c r="J806" s="167"/>
      <c r="K806" s="167"/>
      <c r="L806" s="167"/>
      <c r="M806" s="167"/>
      <c r="N806" s="167"/>
      <c r="O806" s="167"/>
      <c r="Q806" s="163"/>
    </row>
    <row r="807" spans="2:17" ht="13.2">
      <c r="B807" s="167"/>
      <c r="C807" s="162"/>
      <c r="D807" s="168"/>
      <c r="E807" s="162"/>
      <c r="F807" s="167"/>
      <c r="G807" s="167"/>
      <c r="H807" s="167"/>
      <c r="I807" s="167"/>
      <c r="J807" s="167"/>
      <c r="K807" s="167"/>
      <c r="L807" s="167"/>
      <c r="M807" s="167"/>
      <c r="N807" s="167"/>
      <c r="O807" s="167"/>
      <c r="Q807" s="163"/>
    </row>
    <row r="808" spans="2:17" ht="13.2">
      <c r="B808" s="167"/>
      <c r="C808" s="162"/>
      <c r="D808" s="168"/>
      <c r="E808" s="162"/>
      <c r="F808" s="167"/>
      <c r="G808" s="167"/>
      <c r="H808" s="167"/>
      <c r="I808" s="167"/>
      <c r="J808" s="167"/>
      <c r="K808" s="167"/>
      <c r="L808" s="167"/>
      <c r="M808" s="167"/>
      <c r="N808" s="167"/>
      <c r="O808" s="167"/>
      <c r="Q808" s="163"/>
    </row>
    <row r="809" spans="2:17" ht="13.2">
      <c r="B809" s="167"/>
      <c r="C809" s="162"/>
      <c r="D809" s="168"/>
      <c r="E809" s="162"/>
      <c r="F809" s="167"/>
      <c r="G809" s="167"/>
      <c r="H809" s="167"/>
      <c r="I809" s="167"/>
      <c r="J809" s="167"/>
      <c r="K809" s="167"/>
      <c r="L809" s="167"/>
      <c r="M809" s="167"/>
      <c r="N809" s="167"/>
      <c r="O809" s="167"/>
      <c r="Q809" s="163"/>
    </row>
    <row r="810" spans="2:17" ht="13.2">
      <c r="B810" s="167"/>
      <c r="C810" s="162"/>
      <c r="D810" s="168"/>
      <c r="E810" s="162"/>
      <c r="F810" s="167"/>
      <c r="G810" s="167"/>
      <c r="H810" s="167"/>
      <c r="I810" s="167"/>
      <c r="J810" s="167"/>
      <c r="K810" s="167"/>
      <c r="L810" s="167"/>
      <c r="M810" s="167"/>
      <c r="N810" s="167"/>
      <c r="O810" s="167"/>
      <c r="Q810" s="163"/>
    </row>
    <row r="811" spans="2:17" ht="13.2">
      <c r="B811" s="167"/>
      <c r="C811" s="162"/>
      <c r="D811" s="168"/>
      <c r="E811" s="162"/>
      <c r="F811" s="167"/>
      <c r="G811" s="167"/>
      <c r="H811" s="167"/>
      <c r="I811" s="167"/>
      <c r="J811" s="167"/>
      <c r="K811" s="167"/>
      <c r="L811" s="167"/>
      <c r="M811" s="167"/>
      <c r="N811" s="167"/>
      <c r="O811" s="167"/>
      <c r="Q811" s="163"/>
    </row>
    <row r="812" spans="2:17" ht="13.2">
      <c r="B812" s="167"/>
      <c r="C812" s="162"/>
      <c r="D812" s="168"/>
      <c r="E812" s="162"/>
      <c r="F812" s="167"/>
      <c r="G812" s="167"/>
      <c r="H812" s="167"/>
      <c r="I812" s="167"/>
      <c r="J812" s="167"/>
      <c r="K812" s="167"/>
      <c r="L812" s="167"/>
      <c r="M812" s="167"/>
      <c r="N812" s="167"/>
      <c r="O812" s="167"/>
      <c r="Q812" s="163"/>
    </row>
    <row r="813" spans="2:17" ht="13.2">
      <c r="B813" s="167"/>
      <c r="C813" s="162"/>
      <c r="D813" s="168"/>
      <c r="E813" s="162"/>
      <c r="F813" s="167"/>
      <c r="G813" s="167"/>
      <c r="H813" s="167"/>
      <c r="I813" s="167"/>
      <c r="J813" s="167"/>
      <c r="K813" s="167"/>
      <c r="L813" s="167"/>
      <c r="M813" s="167"/>
      <c r="N813" s="167"/>
      <c r="O813" s="167"/>
      <c r="Q813" s="163"/>
    </row>
    <row r="814" spans="2:17" ht="13.2">
      <c r="B814" s="167"/>
      <c r="C814" s="162"/>
      <c r="D814" s="168"/>
      <c r="E814" s="162"/>
      <c r="F814" s="167"/>
      <c r="G814" s="167"/>
      <c r="H814" s="167"/>
      <c r="I814" s="167"/>
      <c r="J814" s="167"/>
      <c r="K814" s="167"/>
      <c r="L814" s="167"/>
      <c r="M814" s="167"/>
      <c r="N814" s="167"/>
      <c r="O814" s="167"/>
      <c r="Q814" s="163"/>
    </row>
    <row r="815" spans="2:17" ht="13.2">
      <c r="B815" s="167"/>
      <c r="C815" s="162"/>
      <c r="D815" s="168"/>
      <c r="E815" s="162"/>
      <c r="F815" s="167"/>
      <c r="G815" s="167"/>
      <c r="H815" s="167"/>
      <c r="I815" s="167"/>
      <c r="J815" s="167"/>
      <c r="K815" s="167"/>
      <c r="L815" s="167"/>
      <c r="M815" s="167"/>
      <c r="N815" s="167"/>
      <c r="O815" s="167"/>
      <c r="Q815" s="163"/>
    </row>
    <row r="816" spans="2:17" ht="13.2">
      <c r="B816" s="167"/>
      <c r="C816" s="162"/>
      <c r="D816" s="168"/>
      <c r="E816" s="162"/>
      <c r="F816" s="167"/>
      <c r="G816" s="167"/>
      <c r="H816" s="167"/>
      <c r="I816" s="167"/>
      <c r="J816" s="167"/>
      <c r="K816" s="167"/>
      <c r="L816" s="167"/>
      <c r="M816" s="167"/>
      <c r="N816" s="167"/>
      <c r="O816" s="167"/>
      <c r="Q816" s="163"/>
    </row>
    <row r="817" spans="2:17" ht="13.2">
      <c r="B817" s="167"/>
      <c r="C817" s="162"/>
      <c r="D817" s="168"/>
      <c r="E817" s="162"/>
      <c r="F817" s="167"/>
      <c r="G817" s="167"/>
      <c r="H817" s="167"/>
      <c r="I817" s="167"/>
      <c r="J817" s="167"/>
      <c r="K817" s="167"/>
      <c r="L817" s="167"/>
      <c r="M817" s="167"/>
      <c r="N817" s="167"/>
      <c r="O817" s="167"/>
      <c r="Q817" s="163"/>
    </row>
    <row r="818" spans="2:17" ht="13.2">
      <c r="B818" s="167"/>
      <c r="C818" s="162"/>
      <c r="D818" s="168"/>
      <c r="E818" s="162"/>
      <c r="F818" s="167"/>
      <c r="G818" s="167"/>
      <c r="H818" s="167"/>
      <c r="I818" s="167"/>
      <c r="J818" s="167"/>
      <c r="K818" s="167"/>
      <c r="L818" s="167"/>
      <c r="M818" s="167"/>
      <c r="N818" s="167"/>
      <c r="O818" s="167"/>
      <c r="Q818" s="163"/>
    </row>
    <row r="819" spans="2:17" ht="13.2">
      <c r="B819" s="167"/>
      <c r="C819" s="162"/>
      <c r="D819" s="168"/>
      <c r="E819" s="162"/>
      <c r="F819" s="167"/>
      <c r="G819" s="167"/>
      <c r="H819" s="167"/>
      <c r="I819" s="167"/>
      <c r="J819" s="167"/>
      <c r="K819" s="167"/>
      <c r="L819" s="167"/>
      <c r="M819" s="167"/>
      <c r="N819" s="167"/>
      <c r="O819" s="167"/>
      <c r="Q819" s="163"/>
    </row>
    <row r="820" spans="2:17" ht="13.2">
      <c r="B820" s="167"/>
      <c r="C820" s="162"/>
      <c r="D820" s="168"/>
      <c r="E820" s="162"/>
      <c r="F820" s="167"/>
      <c r="G820" s="167"/>
      <c r="H820" s="167"/>
      <c r="I820" s="167"/>
      <c r="J820" s="167"/>
      <c r="K820" s="167"/>
      <c r="L820" s="167"/>
      <c r="M820" s="167"/>
      <c r="N820" s="167"/>
      <c r="O820" s="167"/>
      <c r="Q820" s="163"/>
    </row>
    <row r="821" spans="2:17" ht="13.2">
      <c r="B821" s="167"/>
      <c r="C821" s="162"/>
      <c r="D821" s="168"/>
      <c r="E821" s="162"/>
      <c r="F821" s="167"/>
      <c r="G821" s="167"/>
      <c r="H821" s="167"/>
      <c r="I821" s="167"/>
      <c r="J821" s="167"/>
      <c r="K821" s="167"/>
      <c r="L821" s="167"/>
      <c r="M821" s="167"/>
      <c r="N821" s="167"/>
      <c r="O821" s="167"/>
      <c r="Q821" s="163"/>
    </row>
    <row r="822" spans="2:17" ht="13.2">
      <c r="B822" s="167"/>
      <c r="C822" s="162"/>
      <c r="D822" s="168"/>
      <c r="E822" s="162"/>
      <c r="F822" s="167"/>
      <c r="G822" s="167"/>
      <c r="H822" s="167"/>
      <c r="I822" s="167"/>
      <c r="J822" s="167"/>
      <c r="K822" s="167"/>
      <c r="L822" s="167"/>
      <c r="M822" s="167"/>
      <c r="N822" s="167"/>
      <c r="O822" s="167"/>
      <c r="Q822" s="163"/>
    </row>
    <row r="823" spans="2:17" ht="13.2">
      <c r="B823" s="167"/>
      <c r="C823" s="162"/>
      <c r="D823" s="168"/>
      <c r="E823" s="162"/>
      <c r="F823" s="167"/>
      <c r="G823" s="167"/>
      <c r="H823" s="167"/>
      <c r="I823" s="167"/>
      <c r="J823" s="167"/>
      <c r="K823" s="167"/>
      <c r="L823" s="167"/>
      <c r="M823" s="167"/>
      <c r="N823" s="167"/>
      <c r="O823" s="167"/>
      <c r="Q823" s="163"/>
    </row>
    <row r="824" spans="2:17" ht="13.2">
      <c r="B824" s="167"/>
      <c r="C824" s="162"/>
      <c r="D824" s="168"/>
      <c r="E824" s="162"/>
      <c r="F824" s="167"/>
      <c r="G824" s="167"/>
      <c r="H824" s="167"/>
      <c r="I824" s="167"/>
      <c r="J824" s="167"/>
      <c r="K824" s="167"/>
      <c r="L824" s="167"/>
      <c r="M824" s="167"/>
      <c r="N824" s="167"/>
      <c r="O824" s="167"/>
      <c r="Q824" s="163"/>
    </row>
    <row r="825" spans="2:17" ht="13.2">
      <c r="B825" s="167"/>
      <c r="C825" s="162"/>
      <c r="D825" s="168"/>
      <c r="E825" s="162"/>
      <c r="F825" s="167"/>
      <c r="G825" s="167"/>
      <c r="H825" s="167"/>
      <c r="I825" s="167"/>
      <c r="J825" s="167"/>
      <c r="K825" s="167"/>
      <c r="L825" s="167"/>
      <c r="M825" s="167"/>
      <c r="N825" s="167"/>
      <c r="O825" s="167"/>
      <c r="Q825" s="163"/>
    </row>
    <row r="826" spans="2:17" ht="13.2">
      <c r="B826" s="167"/>
      <c r="C826" s="162"/>
      <c r="D826" s="168"/>
      <c r="E826" s="162"/>
      <c r="F826" s="167"/>
      <c r="G826" s="167"/>
      <c r="H826" s="167"/>
      <c r="I826" s="167"/>
      <c r="J826" s="167"/>
      <c r="K826" s="167"/>
      <c r="L826" s="167"/>
      <c r="M826" s="167"/>
      <c r="N826" s="167"/>
      <c r="O826" s="167"/>
      <c r="Q826" s="163"/>
    </row>
    <row r="827" spans="2:17" ht="13.2">
      <c r="B827" s="167"/>
      <c r="C827" s="162"/>
      <c r="D827" s="168"/>
      <c r="E827" s="162"/>
      <c r="F827" s="167"/>
      <c r="G827" s="167"/>
      <c r="H827" s="167"/>
      <c r="I827" s="167"/>
      <c r="J827" s="167"/>
      <c r="K827" s="167"/>
      <c r="L827" s="167"/>
      <c r="M827" s="167"/>
      <c r="N827" s="167"/>
      <c r="O827" s="167"/>
      <c r="Q827" s="163"/>
    </row>
    <row r="828" spans="2:17" ht="13.2">
      <c r="B828" s="167"/>
      <c r="C828" s="162"/>
      <c r="D828" s="168"/>
      <c r="E828" s="162"/>
      <c r="F828" s="167"/>
      <c r="G828" s="167"/>
      <c r="H828" s="167"/>
      <c r="I828" s="167"/>
      <c r="J828" s="167"/>
      <c r="K828" s="167"/>
      <c r="L828" s="167"/>
      <c r="M828" s="167"/>
      <c r="N828" s="167"/>
      <c r="O828" s="167"/>
      <c r="Q828" s="163"/>
    </row>
    <row r="829" spans="2:17" ht="13.2">
      <c r="B829" s="167"/>
      <c r="C829" s="162"/>
      <c r="D829" s="168"/>
      <c r="E829" s="162"/>
      <c r="F829" s="167"/>
      <c r="G829" s="167"/>
      <c r="H829" s="167"/>
      <c r="I829" s="167"/>
      <c r="J829" s="167"/>
      <c r="K829" s="167"/>
      <c r="L829" s="167"/>
      <c r="M829" s="167"/>
      <c r="N829" s="167"/>
      <c r="O829" s="167"/>
      <c r="Q829" s="163"/>
    </row>
    <row r="830" spans="2:17" ht="13.2">
      <c r="B830" s="167"/>
      <c r="C830" s="162"/>
      <c r="D830" s="168"/>
      <c r="E830" s="162"/>
      <c r="F830" s="167"/>
      <c r="G830" s="167"/>
      <c r="H830" s="167"/>
      <c r="I830" s="167"/>
      <c r="J830" s="167"/>
      <c r="K830" s="167"/>
      <c r="L830" s="167"/>
      <c r="M830" s="167"/>
      <c r="N830" s="167"/>
      <c r="O830" s="167"/>
      <c r="Q830" s="163"/>
    </row>
    <row r="831" spans="2:17" ht="13.2">
      <c r="B831" s="167"/>
      <c r="C831" s="162"/>
      <c r="D831" s="168"/>
      <c r="E831" s="162"/>
      <c r="F831" s="167"/>
      <c r="G831" s="167"/>
      <c r="H831" s="167"/>
      <c r="I831" s="167"/>
      <c r="J831" s="167"/>
      <c r="K831" s="167"/>
      <c r="L831" s="167"/>
      <c r="M831" s="167"/>
      <c r="N831" s="167"/>
      <c r="O831" s="167"/>
      <c r="Q831" s="163"/>
    </row>
    <row r="832" spans="2:17" ht="13.2">
      <c r="B832" s="167"/>
      <c r="C832" s="162"/>
      <c r="D832" s="168"/>
      <c r="E832" s="162"/>
      <c r="F832" s="167"/>
      <c r="G832" s="167"/>
      <c r="H832" s="167"/>
      <c r="I832" s="167"/>
      <c r="J832" s="167"/>
      <c r="K832" s="167"/>
      <c r="L832" s="167"/>
      <c r="M832" s="167"/>
      <c r="N832" s="167"/>
      <c r="O832" s="167"/>
      <c r="Q832" s="163"/>
    </row>
    <row r="833" spans="2:17" ht="13.2">
      <c r="B833" s="167"/>
      <c r="C833" s="162"/>
      <c r="D833" s="168"/>
      <c r="E833" s="162"/>
      <c r="F833" s="167"/>
      <c r="G833" s="167"/>
      <c r="H833" s="167"/>
      <c r="I833" s="167"/>
      <c r="J833" s="167"/>
      <c r="K833" s="167"/>
      <c r="L833" s="167"/>
      <c r="M833" s="167"/>
      <c r="N833" s="167"/>
      <c r="O833" s="167"/>
      <c r="Q833" s="163"/>
    </row>
    <row r="834" spans="2:17" ht="13.2">
      <c r="B834" s="167"/>
      <c r="C834" s="162"/>
      <c r="D834" s="168"/>
      <c r="E834" s="162"/>
      <c r="F834" s="167"/>
      <c r="G834" s="167"/>
      <c r="H834" s="167"/>
      <c r="I834" s="167"/>
      <c r="J834" s="167"/>
      <c r="K834" s="167"/>
      <c r="L834" s="167"/>
      <c r="M834" s="167"/>
      <c r="N834" s="167"/>
      <c r="O834" s="167"/>
      <c r="Q834" s="163"/>
    </row>
    <row r="835" spans="2:17" ht="13.2">
      <c r="B835" s="167"/>
      <c r="C835" s="162"/>
      <c r="D835" s="168"/>
      <c r="E835" s="162"/>
      <c r="F835" s="167"/>
      <c r="G835" s="167"/>
      <c r="H835" s="167"/>
      <c r="I835" s="167"/>
      <c r="J835" s="167"/>
      <c r="K835" s="167"/>
      <c r="L835" s="167"/>
      <c r="M835" s="167"/>
      <c r="N835" s="167"/>
      <c r="O835" s="167"/>
      <c r="Q835" s="163"/>
    </row>
    <row r="836" spans="2:17" ht="13.2">
      <c r="B836" s="167"/>
      <c r="C836" s="162"/>
      <c r="D836" s="168"/>
      <c r="E836" s="162"/>
      <c r="F836" s="167"/>
      <c r="G836" s="167"/>
      <c r="H836" s="167"/>
      <c r="I836" s="167"/>
      <c r="J836" s="167"/>
      <c r="K836" s="167"/>
      <c r="L836" s="167"/>
      <c r="M836" s="167"/>
      <c r="N836" s="167"/>
      <c r="O836" s="167"/>
      <c r="Q836" s="163"/>
    </row>
    <row r="837" spans="2:17" ht="13.2">
      <c r="B837" s="167"/>
      <c r="C837" s="162"/>
      <c r="D837" s="168"/>
      <c r="E837" s="162"/>
      <c r="F837" s="167"/>
      <c r="G837" s="167"/>
      <c r="H837" s="167"/>
      <c r="I837" s="167"/>
      <c r="J837" s="167"/>
      <c r="K837" s="167"/>
      <c r="L837" s="167"/>
      <c r="M837" s="167"/>
      <c r="N837" s="167"/>
      <c r="O837" s="167"/>
      <c r="Q837" s="163"/>
    </row>
    <row r="838" spans="2:17" ht="13.2">
      <c r="B838" s="167"/>
      <c r="C838" s="162"/>
      <c r="D838" s="168"/>
      <c r="E838" s="162"/>
      <c r="F838" s="167"/>
      <c r="G838" s="167"/>
      <c r="H838" s="167"/>
      <c r="I838" s="167"/>
      <c r="J838" s="167"/>
      <c r="K838" s="167"/>
      <c r="L838" s="167"/>
      <c r="M838" s="167"/>
      <c r="N838" s="167"/>
      <c r="O838" s="167"/>
      <c r="Q838" s="163"/>
    </row>
    <row r="839" spans="2:17" ht="13.2">
      <c r="B839" s="167"/>
      <c r="C839" s="162"/>
      <c r="D839" s="168"/>
      <c r="E839" s="162"/>
      <c r="F839" s="167"/>
      <c r="G839" s="167"/>
      <c r="H839" s="167"/>
      <c r="I839" s="167"/>
      <c r="J839" s="167"/>
      <c r="K839" s="167"/>
      <c r="L839" s="167"/>
      <c r="M839" s="167"/>
      <c r="N839" s="167"/>
      <c r="O839" s="167"/>
      <c r="Q839" s="163"/>
    </row>
    <row r="840" spans="2:17" ht="13.2">
      <c r="B840" s="167"/>
      <c r="C840" s="162"/>
      <c r="D840" s="168"/>
      <c r="E840" s="162"/>
      <c r="F840" s="167"/>
      <c r="G840" s="167"/>
      <c r="H840" s="167"/>
      <c r="I840" s="167"/>
      <c r="J840" s="167"/>
      <c r="K840" s="167"/>
      <c r="L840" s="167"/>
      <c r="M840" s="167"/>
      <c r="N840" s="167"/>
      <c r="O840" s="167"/>
      <c r="Q840" s="163"/>
    </row>
    <row r="841" spans="2:17" ht="13.2">
      <c r="B841" s="167"/>
      <c r="C841" s="162"/>
      <c r="D841" s="168"/>
      <c r="E841" s="162"/>
      <c r="F841" s="167"/>
      <c r="G841" s="167"/>
      <c r="H841" s="167"/>
      <c r="I841" s="167"/>
      <c r="J841" s="167"/>
      <c r="K841" s="167"/>
      <c r="L841" s="167"/>
      <c r="M841" s="167"/>
      <c r="N841" s="167"/>
      <c r="O841" s="167"/>
      <c r="Q841" s="163"/>
    </row>
    <row r="842" spans="2:17" ht="13.2">
      <c r="B842" s="167"/>
      <c r="C842" s="162"/>
      <c r="D842" s="168"/>
      <c r="E842" s="162"/>
      <c r="F842" s="167"/>
      <c r="G842" s="167"/>
      <c r="H842" s="167"/>
      <c r="I842" s="167"/>
      <c r="J842" s="167"/>
      <c r="K842" s="167"/>
      <c r="L842" s="167"/>
      <c r="M842" s="167"/>
      <c r="N842" s="167"/>
      <c r="O842" s="167"/>
      <c r="Q842" s="163"/>
    </row>
    <row r="843" spans="2:17" ht="13.2">
      <c r="B843" s="167"/>
      <c r="C843" s="162"/>
      <c r="D843" s="168"/>
      <c r="E843" s="162"/>
      <c r="F843" s="167"/>
      <c r="G843" s="167"/>
      <c r="H843" s="167"/>
      <c r="I843" s="167"/>
      <c r="J843" s="167"/>
      <c r="K843" s="167"/>
      <c r="L843" s="167"/>
      <c r="M843" s="167"/>
      <c r="N843" s="167"/>
      <c r="O843" s="167"/>
      <c r="Q843" s="163"/>
    </row>
    <row r="844" spans="2:17" ht="13.2">
      <c r="B844" s="167"/>
      <c r="C844" s="162"/>
      <c r="D844" s="168"/>
      <c r="E844" s="162"/>
      <c r="F844" s="167"/>
      <c r="G844" s="167"/>
      <c r="H844" s="167"/>
      <c r="I844" s="167"/>
      <c r="J844" s="167"/>
      <c r="K844" s="167"/>
      <c r="L844" s="167"/>
      <c r="M844" s="167"/>
      <c r="N844" s="167"/>
      <c r="O844" s="167"/>
      <c r="Q844" s="163"/>
    </row>
    <row r="845" spans="2:17" ht="13.2">
      <c r="B845" s="167"/>
      <c r="C845" s="162"/>
      <c r="D845" s="168"/>
      <c r="E845" s="162"/>
      <c r="F845" s="167"/>
      <c r="G845" s="167"/>
      <c r="H845" s="167"/>
      <c r="I845" s="167"/>
      <c r="J845" s="167"/>
      <c r="K845" s="167"/>
      <c r="L845" s="167"/>
      <c r="M845" s="167"/>
      <c r="N845" s="167"/>
      <c r="O845" s="167"/>
      <c r="Q845" s="163"/>
    </row>
    <row r="846" spans="2:17" ht="13.2">
      <c r="B846" s="167"/>
      <c r="C846" s="162"/>
      <c r="D846" s="168"/>
      <c r="E846" s="162"/>
      <c r="F846" s="167"/>
      <c r="G846" s="167"/>
      <c r="H846" s="167"/>
      <c r="I846" s="167"/>
      <c r="J846" s="167"/>
      <c r="K846" s="167"/>
      <c r="L846" s="167"/>
      <c r="M846" s="167"/>
      <c r="N846" s="167"/>
      <c r="O846" s="167"/>
      <c r="Q846" s="163"/>
    </row>
    <row r="847" spans="2:17" ht="13.2">
      <c r="B847" s="167"/>
      <c r="C847" s="162"/>
      <c r="D847" s="168"/>
      <c r="E847" s="162"/>
      <c r="F847" s="167"/>
      <c r="G847" s="167"/>
      <c r="H847" s="167"/>
      <c r="I847" s="167"/>
      <c r="J847" s="167"/>
      <c r="K847" s="167"/>
      <c r="L847" s="167"/>
      <c r="M847" s="167"/>
      <c r="N847" s="167"/>
      <c r="O847" s="167"/>
      <c r="Q847" s="163"/>
    </row>
    <row r="848" spans="2:17" ht="13.2">
      <c r="B848" s="167"/>
      <c r="C848" s="162"/>
      <c r="D848" s="168"/>
      <c r="E848" s="162"/>
      <c r="F848" s="167"/>
      <c r="G848" s="167"/>
      <c r="H848" s="167"/>
      <c r="I848" s="167"/>
      <c r="J848" s="167"/>
      <c r="K848" s="167"/>
      <c r="L848" s="167"/>
      <c r="M848" s="167"/>
      <c r="N848" s="167"/>
      <c r="O848" s="167"/>
      <c r="Q848" s="163"/>
    </row>
    <row r="849" spans="2:17" ht="13.2">
      <c r="B849" s="167"/>
      <c r="C849" s="162"/>
      <c r="D849" s="168"/>
      <c r="E849" s="162"/>
      <c r="F849" s="167"/>
      <c r="G849" s="167"/>
      <c r="H849" s="167"/>
      <c r="I849" s="167"/>
      <c r="J849" s="167"/>
      <c r="K849" s="167"/>
      <c r="L849" s="167"/>
      <c r="M849" s="167"/>
      <c r="N849" s="167"/>
      <c r="O849" s="167"/>
      <c r="Q849" s="163"/>
    </row>
    <row r="850" spans="2:17" ht="13.2">
      <c r="B850" s="167"/>
      <c r="C850" s="162"/>
      <c r="D850" s="168"/>
      <c r="E850" s="162"/>
      <c r="F850" s="167"/>
      <c r="G850" s="167"/>
      <c r="H850" s="167"/>
      <c r="I850" s="167"/>
      <c r="J850" s="167"/>
      <c r="K850" s="167"/>
      <c r="L850" s="167"/>
      <c r="M850" s="167"/>
      <c r="N850" s="167"/>
      <c r="O850" s="167"/>
      <c r="Q850" s="163"/>
    </row>
    <row r="851" spans="2:17" ht="13.2">
      <c r="B851" s="167"/>
      <c r="C851" s="162"/>
      <c r="D851" s="168"/>
      <c r="E851" s="162"/>
      <c r="F851" s="167"/>
      <c r="G851" s="167"/>
      <c r="H851" s="167"/>
      <c r="I851" s="167"/>
      <c r="J851" s="167"/>
      <c r="K851" s="167"/>
      <c r="L851" s="167"/>
      <c r="M851" s="167"/>
      <c r="N851" s="167"/>
      <c r="O851" s="167"/>
      <c r="Q851" s="163"/>
    </row>
    <row r="852" spans="2:17" ht="13.2">
      <c r="B852" s="167"/>
      <c r="C852" s="162"/>
      <c r="D852" s="168"/>
      <c r="E852" s="162"/>
      <c r="F852" s="167"/>
      <c r="G852" s="167"/>
      <c r="H852" s="167"/>
      <c r="I852" s="167"/>
      <c r="J852" s="167"/>
      <c r="K852" s="167"/>
      <c r="L852" s="167"/>
      <c r="M852" s="167"/>
      <c r="N852" s="167"/>
      <c r="O852" s="167"/>
      <c r="Q852" s="163"/>
    </row>
    <row r="853" spans="2:17" ht="13.2">
      <c r="B853" s="167"/>
      <c r="C853" s="162"/>
      <c r="D853" s="168"/>
      <c r="E853" s="162"/>
      <c r="F853" s="167"/>
      <c r="G853" s="167"/>
      <c r="H853" s="167"/>
      <c r="I853" s="167"/>
      <c r="J853" s="167"/>
      <c r="K853" s="167"/>
      <c r="L853" s="167"/>
      <c r="M853" s="167"/>
      <c r="N853" s="167"/>
      <c r="O853" s="167"/>
      <c r="Q853" s="163"/>
    </row>
    <row r="854" spans="2:17" ht="13.2">
      <c r="B854" s="167"/>
      <c r="C854" s="162"/>
      <c r="D854" s="168"/>
      <c r="E854" s="162"/>
      <c r="F854" s="167"/>
      <c r="G854" s="167"/>
      <c r="H854" s="167"/>
      <c r="I854" s="167"/>
      <c r="J854" s="167"/>
      <c r="K854" s="167"/>
      <c r="L854" s="167"/>
      <c r="M854" s="167"/>
      <c r="N854" s="167"/>
      <c r="O854" s="167"/>
      <c r="Q854" s="163"/>
    </row>
    <row r="855" spans="2:17" ht="13.2">
      <c r="B855" s="167"/>
      <c r="C855" s="162"/>
      <c r="D855" s="168"/>
      <c r="E855" s="162"/>
      <c r="F855" s="167"/>
      <c r="G855" s="167"/>
      <c r="H855" s="167"/>
      <c r="I855" s="167"/>
      <c r="J855" s="167"/>
      <c r="K855" s="167"/>
      <c r="L855" s="167"/>
      <c r="M855" s="167"/>
      <c r="N855" s="167"/>
      <c r="O855" s="167"/>
      <c r="Q855" s="163"/>
    </row>
    <row r="856" spans="2:17" ht="13.2">
      <c r="B856" s="167"/>
      <c r="C856" s="162"/>
      <c r="D856" s="168"/>
      <c r="E856" s="162"/>
      <c r="F856" s="167"/>
      <c r="G856" s="167"/>
      <c r="H856" s="167"/>
      <c r="I856" s="167"/>
      <c r="J856" s="167"/>
      <c r="K856" s="167"/>
      <c r="L856" s="167"/>
      <c r="M856" s="167"/>
      <c r="N856" s="167"/>
      <c r="O856" s="167"/>
      <c r="Q856" s="163"/>
    </row>
    <row r="857" spans="2:17" ht="13.2">
      <c r="B857" s="167"/>
      <c r="C857" s="162"/>
      <c r="D857" s="168"/>
      <c r="E857" s="162"/>
      <c r="F857" s="167"/>
      <c r="G857" s="167"/>
      <c r="H857" s="167"/>
      <c r="I857" s="167"/>
      <c r="J857" s="167"/>
      <c r="K857" s="167"/>
      <c r="L857" s="167"/>
      <c r="M857" s="167"/>
      <c r="N857" s="167"/>
      <c r="O857" s="167"/>
      <c r="Q857" s="163"/>
    </row>
    <row r="858" spans="2:17" ht="13.2">
      <c r="B858" s="167"/>
      <c r="C858" s="162"/>
      <c r="D858" s="168"/>
      <c r="E858" s="162"/>
      <c r="F858" s="167"/>
      <c r="G858" s="167"/>
      <c r="H858" s="167"/>
      <c r="I858" s="167"/>
      <c r="J858" s="167"/>
      <c r="K858" s="167"/>
      <c r="L858" s="167"/>
      <c r="M858" s="167"/>
      <c r="N858" s="167"/>
      <c r="O858" s="167"/>
      <c r="Q858" s="163"/>
    </row>
    <row r="859" spans="2:17" ht="13.2">
      <c r="B859" s="167"/>
      <c r="C859" s="162"/>
      <c r="D859" s="168"/>
      <c r="E859" s="162"/>
      <c r="F859" s="167"/>
      <c r="G859" s="167"/>
      <c r="H859" s="167"/>
      <c r="I859" s="167"/>
      <c r="J859" s="167"/>
      <c r="K859" s="167"/>
      <c r="L859" s="167"/>
      <c r="M859" s="167"/>
      <c r="N859" s="167"/>
      <c r="O859" s="167"/>
      <c r="Q859" s="163"/>
    </row>
    <row r="860" spans="2:17" ht="13.2">
      <c r="B860" s="167"/>
      <c r="C860" s="162"/>
      <c r="D860" s="168"/>
      <c r="E860" s="162"/>
      <c r="F860" s="167"/>
      <c r="G860" s="167"/>
      <c r="H860" s="167"/>
      <c r="I860" s="167"/>
      <c r="J860" s="167"/>
      <c r="K860" s="167"/>
      <c r="L860" s="167"/>
      <c r="M860" s="167"/>
      <c r="N860" s="167"/>
      <c r="O860" s="167"/>
      <c r="Q860" s="163"/>
    </row>
    <row r="861" spans="2:17" ht="13.2">
      <c r="B861" s="167"/>
      <c r="C861" s="162"/>
      <c r="D861" s="168"/>
      <c r="E861" s="162"/>
      <c r="F861" s="167"/>
      <c r="G861" s="167"/>
      <c r="H861" s="167"/>
      <c r="I861" s="167"/>
      <c r="J861" s="167"/>
      <c r="K861" s="167"/>
      <c r="L861" s="167"/>
      <c r="M861" s="167"/>
      <c r="N861" s="167"/>
      <c r="O861" s="167"/>
      <c r="Q861" s="163"/>
    </row>
    <row r="862" spans="2:17" ht="13.2">
      <c r="B862" s="167"/>
      <c r="C862" s="162"/>
      <c r="D862" s="168"/>
      <c r="E862" s="162"/>
      <c r="F862" s="167"/>
      <c r="G862" s="167"/>
      <c r="H862" s="167"/>
      <c r="I862" s="167"/>
      <c r="J862" s="167"/>
      <c r="K862" s="167"/>
      <c r="L862" s="167"/>
      <c r="M862" s="167"/>
      <c r="N862" s="167"/>
      <c r="O862" s="167"/>
      <c r="Q862" s="163"/>
    </row>
    <row r="863" spans="2:17" ht="13.2">
      <c r="B863" s="167"/>
      <c r="C863" s="162"/>
      <c r="D863" s="168"/>
      <c r="E863" s="162"/>
      <c r="F863" s="167"/>
      <c r="G863" s="167"/>
      <c r="H863" s="167"/>
      <c r="I863" s="167"/>
      <c r="J863" s="167"/>
      <c r="K863" s="167"/>
      <c r="L863" s="167"/>
      <c r="M863" s="167"/>
      <c r="N863" s="167"/>
      <c r="O863" s="167"/>
      <c r="Q863" s="163"/>
    </row>
    <row r="864" spans="2:17" ht="13.2">
      <c r="B864" s="167"/>
      <c r="C864" s="162"/>
      <c r="D864" s="168"/>
      <c r="E864" s="162"/>
      <c r="F864" s="167"/>
      <c r="G864" s="167"/>
      <c r="H864" s="167"/>
      <c r="I864" s="167"/>
      <c r="J864" s="167"/>
      <c r="K864" s="167"/>
      <c r="L864" s="167"/>
      <c r="M864" s="167"/>
      <c r="N864" s="167"/>
      <c r="O864" s="167"/>
      <c r="Q864" s="163"/>
    </row>
    <row r="865" spans="2:17" ht="13.2">
      <c r="B865" s="167"/>
      <c r="C865" s="162"/>
      <c r="D865" s="168"/>
      <c r="E865" s="162"/>
      <c r="F865" s="167"/>
      <c r="G865" s="167"/>
      <c r="H865" s="167"/>
      <c r="I865" s="167"/>
      <c r="J865" s="167"/>
      <c r="K865" s="167"/>
      <c r="L865" s="167"/>
      <c r="M865" s="167"/>
      <c r="N865" s="167"/>
      <c r="O865" s="167"/>
      <c r="Q865" s="163"/>
    </row>
    <row r="866" spans="2:17" ht="13.2">
      <c r="B866" s="167"/>
      <c r="C866" s="162"/>
      <c r="D866" s="168"/>
      <c r="E866" s="162"/>
      <c r="F866" s="167"/>
      <c r="G866" s="167"/>
      <c r="H866" s="167"/>
      <c r="I866" s="167"/>
      <c r="J866" s="167"/>
      <c r="K866" s="167"/>
      <c r="L866" s="167"/>
      <c r="M866" s="167"/>
      <c r="N866" s="167"/>
      <c r="O866" s="167"/>
      <c r="Q866" s="163"/>
    </row>
    <row r="867" spans="2:17" ht="13.2">
      <c r="B867" s="167"/>
      <c r="C867" s="162"/>
      <c r="D867" s="168"/>
      <c r="E867" s="162"/>
      <c r="F867" s="167"/>
      <c r="G867" s="167"/>
      <c r="H867" s="167"/>
      <c r="I867" s="167"/>
      <c r="J867" s="167"/>
      <c r="K867" s="167"/>
      <c r="L867" s="167"/>
      <c r="M867" s="167"/>
      <c r="N867" s="167"/>
      <c r="O867" s="167"/>
      <c r="Q867" s="163"/>
    </row>
    <row r="868" spans="2:17" ht="13.2">
      <c r="B868" s="167"/>
      <c r="C868" s="162"/>
      <c r="D868" s="168"/>
      <c r="E868" s="162"/>
      <c r="F868" s="167"/>
      <c r="G868" s="167"/>
      <c r="H868" s="167"/>
      <c r="I868" s="167"/>
      <c r="J868" s="167"/>
      <c r="K868" s="167"/>
      <c r="L868" s="167"/>
      <c r="M868" s="167"/>
      <c r="N868" s="167"/>
      <c r="O868" s="167"/>
      <c r="Q868" s="163"/>
    </row>
    <row r="869" spans="2:17" ht="13.2">
      <c r="B869" s="167"/>
      <c r="C869" s="162"/>
      <c r="D869" s="168"/>
      <c r="E869" s="162"/>
      <c r="F869" s="167"/>
      <c r="G869" s="167"/>
      <c r="H869" s="167"/>
      <c r="I869" s="167"/>
      <c r="J869" s="167"/>
      <c r="K869" s="167"/>
      <c r="L869" s="167"/>
      <c r="M869" s="167"/>
      <c r="N869" s="167"/>
      <c r="O869" s="167"/>
      <c r="Q869" s="163"/>
    </row>
    <row r="870" spans="2:17" ht="13.2">
      <c r="B870" s="167"/>
      <c r="C870" s="162"/>
      <c r="D870" s="168"/>
      <c r="E870" s="162"/>
      <c r="F870" s="167"/>
      <c r="G870" s="167"/>
      <c r="H870" s="167"/>
      <c r="I870" s="167"/>
      <c r="J870" s="167"/>
      <c r="K870" s="167"/>
      <c r="L870" s="167"/>
      <c r="M870" s="167"/>
      <c r="N870" s="167"/>
      <c r="O870" s="167"/>
      <c r="Q870" s="163"/>
    </row>
    <row r="871" spans="2:17" ht="13.2">
      <c r="B871" s="167"/>
      <c r="C871" s="162"/>
      <c r="D871" s="168"/>
      <c r="E871" s="162"/>
      <c r="F871" s="167"/>
      <c r="G871" s="167"/>
      <c r="H871" s="167"/>
      <c r="I871" s="167"/>
      <c r="J871" s="167"/>
      <c r="K871" s="167"/>
      <c r="L871" s="167"/>
      <c r="M871" s="167"/>
      <c r="N871" s="167"/>
      <c r="O871" s="167"/>
      <c r="Q871" s="163"/>
    </row>
    <row r="872" spans="2:17" ht="13.2">
      <c r="B872" s="167"/>
      <c r="C872" s="162"/>
      <c r="D872" s="168"/>
      <c r="E872" s="162"/>
      <c r="F872" s="167"/>
      <c r="G872" s="167"/>
      <c r="H872" s="167"/>
      <c r="I872" s="167"/>
      <c r="J872" s="167"/>
      <c r="K872" s="167"/>
      <c r="L872" s="167"/>
      <c r="M872" s="167"/>
      <c r="N872" s="167"/>
      <c r="O872" s="167"/>
      <c r="Q872" s="163"/>
    </row>
    <row r="873" spans="2:17" ht="13.2">
      <c r="B873" s="167"/>
      <c r="C873" s="162"/>
      <c r="D873" s="168"/>
      <c r="E873" s="162"/>
      <c r="F873" s="167"/>
      <c r="G873" s="167"/>
      <c r="H873" s="167"/>
      <c r="I873" s="167"/>
      <c r="J873" s="167"/>
      <c r="K873" s="167"/>
      <c r="L873" s="167"/>
      <c r="M873" s="167"/>
      <c r="N873" s="167"/>
      <c r="O873" s="167"/>
      <c r="Q873" s="163"/>
    </row>
    <row r="874" spans="2:17" ht="13.2">
      <c r="B874" s="167"/>
      <c r="C874" s="162"/>
      <c r="D874" s="168"/>
      <c r="E874" s="162"/>
      <c r="F874" s="167"/>
      <c r="G874" s="167"/>
      <c r="H874" s="167"/>
      <c r="I874" s="167"/>
      <c r="J874" s="167"/>
      <c r="K874" s="167"/>
      <c r="L874" s="167"/>
      <c r="M874" s="167"/>
      <c r="N874" s="167"/>
      <c r="O874" s="167"/>
      <c r="Q874" s="163"/>
    </row>
    <row r="875" spans="2:17" ht="13.2">
      <c r="B875" s="167"/>
      <c r="C875" s="162"/>
      <c r="D875" s="168"/>
      <c r="E875" s="162"/>
      <c r="F875" s="167"/>
      <c r="G875" s="167"/>
      <c r="H875" s="167"/>
      <c r="I875" s="167"/>
      <c r="J875" s="167"/>
      <c r="K875" s="167"/>
      <c r="L875" s="167"/>
      <c r="M875" s="167"/>
      <c r="N875" s="167"/>
      <c r="O875" s="167"/>
      <c r="Q875" s="163"/>
    </row>
    <row r="876" spans="2:17" ht="13.2">
      <c r="B876" s="167"/>
      <c r="C876" s="162"/>
      <c r="D876" s="168"/>
      <c r="E876" s="162"/>
      <c r="F876" s="167"/>
      <c r="G876" s="167"/>
      <c r="H876" s="167"/>
      <c r="I876" s="167"/>
      <c r="J876" s="167"/>
      <c r="K876" s="167"/>
      <c r="L876" s="167"/>
      <c r="M876" s="167"/>
      <c r="N876" s="167"/>
      <c r="O876" s="167"/>
      <c r="Q876" s="163"/>
    </row>
    <row r="877" spans="2:17" ht="13.2">
      <c r="B877" s="167"/>
      <c r="C877" s="162"/>
      <c r="D877" s="168"/>
      <c r="E877" s="162"/>
      <c r="F877" s="167"/>
      <c r="G877" s="167"/>
      <c r="H877" s="167"/>
      <c r="I877" s="167"/>
      <c r="J877" s="167"/>
      <c r="K877" s="167"/>
      <c r="L877" s="167"/>
      <c r="M877" s="167"/>
      <c r="N877" s="167"/>
      <c r="O877" s="167"/>
      <c r="Q877" s="163"/>
    </row>
    <row r="878" spans="2:17" ht="13.2">
      <c r="B878" s="167"/>
      <c r="C878" s="162"/>
      <c r="D878" s="168"/>
      <c r="E878" s="162"/>
      <c r="F878" s="167"/>
      <c r="G878" s="167"/>
      <c r="H878" s="167"/>
      <c r="I878" s="167"/>
      <c r="J878" s="167"/>
      <c r="K878" s="167"/>
      <c r="L878" s="167"/>
      <c r="M878" s="167"/>
      <c r="N878" s="167"/>
      <c r="O878" s="167"/>
      <c r="Q878" s="163"/>
    </row>
    <row r="879" spans="2:17" ht="13.2">
      <c r="B879" s="167"/>
      <c r="C879" s="162"/>
      <c r="D879" s="168"/>
      <c r="E879" s="162"/>
      <c r="F879" s="167"/>
      <c r="G879" s="167"/>
      <c r="H879" s="167"/>
      <c r="I879" s="167"/>
      <c r="J879" s="167"/>
      <c r="K879" s="167"/>
      <c r="L879" s="167"/>
      <c r="M879" s="167"/>
      <c r="N879" s="167"/>
      <c r="O879" s="167"/>
      <c r="Q879" s="163"/>
    </row>
    <row r="880" spans="2:17" ht="13.2">
      <c r="B880" s="167"/>
      <c r="C880" s="162"/>
      <c r="D880" s="168"/>
      <c r="E880" s="162"/>
      <c r="F880" s="167"/>
      <c r="G880" s="167"/>
      <c r="H880" s="167"/>
      <c r="I880" s="167"/>
      <c r="J880" s="167"/>
      <c r="K880" s="167"/>
      <c r="L880" s="167"/>
      <c r="M880" s="167"/>
      <c r="N880" s="167"/>
      <c r="O880" s="167"/>
      <c r="Q880" s="163"/>
    </row>
    <row r="881" spans="2:17" ht="13.2">
      <c r="B881" s="167"/>
      <c r="C881" s="162"/>
      <c r="D881" s="168"/>
      <c r="E881" s="162"/>
      <c r="F881" s="167"/>
      <c r="G881" s="167"/>
      <c r="H881" s="167"/>
      <c r="I881" s="167"/>
      <c r="J881" s="167"/>
      <c r="K881" s="167"/>
      <c r="L881" s="167"/>
      <c r="M881" s="167"/>
      <c r="N881" s="167"/>
      <c r="O881" s="167"/>
      <c r="Q881" s="163"/>
    </row>
    <row r="882" spans="2:17" ht="13.2">
      <c r="B882" s="167"/>
      <c r="C882" s="162"/>
      <c r="D882" s="168"/>
      <c r="E882" s="162"/>
      <c r="F882" s="167"/>
      <c r="G882" s="167"/>
      <c r="H882" s="167"/>
      <c r="I882" s="167"/>
      <c r="J882" s="167"/>
      <c r="K882" s="167"/>
      <c r="L882" s="167"/>
      <c r="M882" s="167"/>
      <c r="N882" s="167"/>
      <c r="O882" s="167"/>
      <c r="Q882" s="163"/>
    </row>
    <row r="883" spans="2:17" ht="13.2">
      <c r="B883" s="167"/>
      <c r="C883" s="162"/>
      <c r="D883" s="168"/>
      <c r="E883" s="162"/>
      <c r="F883" s="167"/>
      <c r="G883" s="167"/>
      <c r="H883" s="167"/>
      <c r="I883" s="167"/>
      <c r="J883" s="167"/>
      <c r="K883" s="167"/>
      <c r="L883" s="167"/>
      <c r="M883" s="167"/>
      <c r="N883" s="167"/>
      <c r="O883" s="167"/>
      <c r="Q883" s="163"/>
    </row>
    <row r="884" spans="2:17" ht="13.2">
      <c r="B884" s="167"/>
      <c r="C884" s="162"/>
      <c r="D884" s="168"/>
      <c r="E884" s="162"/>
      <c r="F884" s="167"/>
      <c r="G884" s="167"/>
      <c r="H884" s="167"/>
      <c r="I884" s="167"/>
      <c r="J884" s="167"/>
      <c r="K884" s="167"/>
      <c r="L884" s="167"/>
      <c r="M884" s="167"/>
      <c r="N884" s="167"/>
      <c r="O884" s="167"/>
      <c r="Q884" s="163"/>
    </row>
    <row r="885" spans="2:17" ht="13.2">
      <c r="B885" s="167"/>
      <c r="C885" s="162"/>
      <c r="D885" s="168"/>
      <c r="E885" s="162"/>
      <c r="F885" s="167"/>
      <c r="G885" s="167"/>
      <c r="H885" s="167"/>
      <c r="I885" s="167"/>
      <c r="J885" s="167"/>
      <c r="K885" s="167"/>
      <c r="L885" s="167"/>
      <c r="M885" s="167"/>
      <c r="N885" s="167"/>
      <c r="O885" s="167"/>
      <c r="Q885" s="163"/>
    </row>
    <row r="886" spans="2:17" ht="13.2">
      <c r="B886" s="167"/>
      <c r="C886" s="162"/>
      <c r="D886" s="168"/>
      <c r="E886" s="162"/>
      <c r="F886" s="167"/>
      <c r="G886" s="167"/>
      <c r="H886" s="167"/>
      <c r="I886" s="167"/>
      <c r="J886" s="167"/>
      <c r="K886" s="167"/>
      <c r="L886" s="167"/>
      <c r="M886" s="167"/>
      <c r="N886" s="167"/>
      <c r="O886" s="167"/>
      <c r="Q886" s="163"/>
    </row>
    <row r="887" spans="2:17" ht="13.2">
      <c r="B887" s="167"/>
      <c r="C887" s="162"/>
      <c r="D887" s="168"/>
      <c r="E887" s="162"/>
      <c r="F887" s="167"/>
      <c r="G887" s="167"/>
      <c r="H887" s="167"/>
      <c r="I887" s="167"/>
      <c r="J887" s="167"/>
      <c r="K887" s="167"/>
      <c r="L887" s="167"/>
      <c r="M887" s="167"/>
      <c r="N887" s="167"/>
      <c r="O887" s="167"/>
      <c r="Q887" s="163"/>
    </row>
    <row r="888" spans="2:17" ht="13.2">
      <c r="B888" s="167"/>
      <c r="C888" s="162"/>
      <c r="D888" s="168"/>
      <c r="E888" s="162"/>
      <c r="F888" s="167"/>
      <c r="G888" s="167"/>
      <c r="H888" s="167"/>
      <c r="I888" s="167"/>
      <c r="J888" s="167"/>
      <c r="K888" s="167"/>
      <c r="L888" s="167"/>
      <c r="M888" s="167"/>
      <c r="N888" s="167"/>
      <c r="O888" s="167"/>
      <c r="Q888" s="163"/>
    </row>
    <row r="889" spans="2:17" ht="13.2">
      <c r="B889" s="167"/>
      <c r="C889" s="162"/>
      <c r="D889" s="168"/>
      <c r="E889" s="162"/>
      <c r="F889" s="167"/>
      <c r="G889" s="167"/>
      <c r="H889" s="167"/>
      <c r="I889" s="167"/>
      <c r="J889" s="167"/>
      <c r="K889" s="167"/>
      <c r="L889" s="167"/>
      <c r="M889" s="167"/>
      <c r="N889" s="167"/>
      <c r="O889" s="167"/>
      <c r="Q889" s="163"/>
    </row>
    <row r="890" spans="2:17" ht="13.2">
      <c r="B890" s="167"/>
      <c r="C890" s="162"/>
      <c r="D890" s="168"/>
      <c r="E890" s="162"/>
      <c r="F890" s="167"/>
      <c r="G890" s="167"/>
      <c r="H890" s="167"/>
      <c r="I890" s="167"/>
      <c r="J890" s="167"/>
      <c r="K890" s="167"/>
      <c r="L890" s="167"/>
      <c r="M890" s="167"/>
      <c r="N890" s="167"/>
      <c r="O890" s="167"/>
      <c r="Q890" s="163"/>
    </row>
    <row r="891" spans="2:17" ht="13.2">
      <c r="B891" s="167"/>
      <c r="C891" s="162"/>
      <c r="D891" s="168"/>
      <c r="E891" s="162"/>
      <c r="F891" s="167"/>
      <c r="G891" s="167"/>
      <c r="H891" s="167"/>
      <c r="I891" s="167"/>
      <c r="J891" s="167"/>
      <c r="K891" s="167"/>
      <c r="L891" s="167"/>
      <c r="M891" s="167"/>
      <c r="N891" s="167"/>
      <c r="O891" s="167"/>
      <c r="Q891" s="163"/>
    </row>
    <row r="892" spans="2:17" ht="13.2">
      <c r="B892" s="167"/>
      <c r="C892" s="162"/>
      <c r="D892" s="168"/>
      <c r="E892" s="162"/>
      <c r="F892" s="167"/>
      <c r="G892" s="167"/>
      <c r="H892" s="167"/>
      <c r="I892" s="167"/>
      <c r="J892" s="167"/>
      <c r="K892" s="167"/>
      <c r="L892" s="167"/>
      <c r="M892" s="167"/>
      <c r="N892" s="167"/>
      <c r="O892" s="167"/>
      <c r="Q892" s="163"/>
    </row>
    <row r="893" spans="2:17" ht="13.2">
      <c r="B893" s="167"/>
      <c r="C893" s="162"/>
      <c r="D893" s="168"/>
      <c r="E893" s="162"/>
      <c r="F893" s="167"/>
      <c r="G893" s="167"/>
      <c r="H893" s="167"/>
      <c r="I893" s="167"/>
      <c r="J893" s="167"/>
      <c r="K893" s="167"/>
      <c r="L893" s="167"/>
      <c r="M893" s="167"/>
      <c r="N893" s="167"/>
      <c r="O893" s="167"/>
      <c r="Q893" s="163"/>
    </row>
    <row r="894" spans="2:17" ht="13.2">
      <c r="B894" s="167"/>
      <c r="C894" s="162"/>
      <c r="D894" s="168"/>
      <c r="E894" s="162"/>
      <c r="F894" s="167"/>
      <c r="G894" s="167"/>
      <c r="H894" s="167"/>
      <c r="I894" s="167"/>
      <c r="J894" s="167"/>
      <c r="K894" s="167"/>
      <c r="L894" s="167"/>
      <c r="M894" s="167"/>
      <c r="N894" s="167"/>
      <c r="O894" s="167"/>
      <c r="Q894" s="163"/>
    </row>
    <row r="895" spans="2:17" ht="13.2">
      <c r="B895" s="167"/>
      <c r="C895" s="162"/>
      <c r="D895" s="168"/>
      <c r="E895" s="162"/>
      <c r="F895" s="167"/>
      <c r="G895" s="167"/>
      <c r="H895" s="167"/>
      <c r="I895" s="167"/>
      <c r="J895" s="167"/>
      <c r="K895" s="167"/>
      <c r="L895" s="167"/>
      <c r="M895" s="167"/>
      <c r="N895" s="167"/>
      <c r="O895" s="167"/>
      <c r="Q895" s="163"/>
    </row>
    <row r="896" spans="2:17" ht="13.2">
      <c r="B896" s="167"/>
      <c r="C896" s="162"/>
      <c r="D896" s="168"/>
      <c r="E896" s="162"/>
      <c r="F896" s="167"/>
      <c r="G896" s="167"/>
      <c r="H896" s="167"/>
      <c r="I896" s="167"/>
      <c r="J896" s="167"/>
      <c r="K896" s="167"/>
      <c r="L896" s="167"/>
      <c r="M896" s="167"/>
      <c r="N896" s="167"/>
      <c r="O896" s="167"/>
      <c r="Q896" s="163"/>
    </row>
    <row r="897" spans="2:17" ht="13.2">
      <c r="B897" s="167"/>
      <c r="C897" s="162"/>
      <c r="D897" s="168"/>
      <c r="E897" s="162"/>
      <c r="F897" s="167"/>
      <c r="G897" s="167"/>
      <c r="H897" s="167"/>
      <c r="I897" s="167"/>
      <c r="J897" s="167"/>
      <c r="K897" s="167"/>
      <c r="L897" s="167"/>
      <c r="M897" s="167"/>
      <c r="N897" s="167"/>
      <c r="O897" s="167"/>
      <c r="Q897" s="163"/>
    </row>
    <row r="898" spans="2:17" ht="13.2">
      <c r="B898" s="167"/>
      <c r="C898" s="162"/>
      <c r="D898" s="168"/>
      <c r="E898" s="162"/>
      <c r="F898" s="167"/>
      <c r="G898" s="167"/>
      <c r="H898" s="167"/>
      <c r="I898" s="167"/>
      <c r="J898" s="167"/>
      <c r="K898" s="167"/>
      <c r="L898" s="167"/>
      <c r="M898" s="167"/>
      <c r="N898" s="167"/>
      <c r="O898" s="167"/>
      <c r="Q898" s="163"/>
    </row>
    <row r="899" spans="2:17" ht="13.2">
      <c r="B899" s="167"/>
      <c r="C899" s="162"/>
      <c r="D899" s="168"/>
      <c r="E899" s="162"/>
      <c r="F899" s="167"/>
      <c r="G899" s="167"/>
      <c r="H899" s="167"/>
      <c r="I899" s="167"/>
      <c r="J899" s="167"/>
      <c r="K899" s="167"/>
      <c r="L899" s="167"/>
      <c r="M899" s="167"/>
      <c r="N899" s="167"/>
      <c r="O899" s="167"/>
      <c r="Q899" s="163"/>
    </row>
    <row r="900" spans="2:17" ht="13.2">
      <c r="B900" s="167"/>
      <c r="C900" s="162"/>
      <c r="D900" s="168"/>
      <c r="E900" s="162"/>
      <c r="F900" s="167"/>
      <c r="G900" s="167"/>
      <c r="H900" s="167"/>
      <c r="I900" s="167"/>
      <c r="J900" s="167"/>
      <c r="K900" s="167"/>
      <c r="L900" s="167"/>
      <c r="M900" s="167"/>
      <c r="N900" s="167"/>
      <c r="O900" s="167"/>
      <c r="Q900" s="163"/>
    </row>
    <row r="901" spans="2:17" ht="13.2">
      <c r="B901" s="167"/>
      <c r="C901" s="162"/>
      <c r="D901" s="168"/>
      <c r="E901" s="162"/>
      <c r="F901" s="167"/>
      <c r="G901" s="167"/>
      <c r="H901" s="167"/>
      <c r="I901" s="167"/>
      <c r="J901" s="167"/>
      <c r="K901" s="167"/>
      <c r="L901" s="167"/>
      <c r="M901" s="167"/>
      <c r="N901" s="167"/>
      <c r="O901" s="167"/>
      <c r="Q901" s="163"/>
    </row>
    <row r="902" spans="2:17" ht="13.2">
      <c r="B902" s="167"/>
      <c r="C902" s="162"/>
      <c r="D902" s="168"/>
      <c r="E902" s="162"/>
      <c r="F902" s="167"/>
      <c r="G902" s="167"/>
      <c r="H902" s="167"/>
      <c r="I902" s="167"/>
      <c r="J902" s="167"/>
      <c r="K902" s="167"/>
      <c r="L902" s="167"/>
      <c r="M902" s="167"/>
      <c r="N902" s="167"/>
      <c r="O902" s="167"/>
      <c r="Q902" s="163"/>
    </row>
    <row r="903" spans="2:17" ht="13.2">
      <c r="B903" s="167"/>
      <c r="C903" s="162"/>
      <c r="D903" s="168"/>
      <c r="E903" s="162"/>
      <c r="F903" s="167"/>
      <c r="G903" s="167"/>
      <c r="H903" s="167"/>
      <c r="I903" s="167"/>
      <c r="J903" s="167"/>
      <c r="K903" s="167"/>
      <c r="L903" s="167"/>
      <c r="M903" s="167"/>
      <c r="N903" s="167"/>
      <c r="O903" s="167"/>
      <c r="Q903" s="163"/>
    </row>
    <row r="904" spans="2:17" ht="13.2">
      <c r="B904" s="167"/>
      <c r="C904" s="162"/>
      <c r="D904" s="168"/>
      <c r="E904" s="162"/>
      <c r="F904" s="167"/>
      <c r="G904" s="167"/>
      <c r="H904" s="167"/>
      <c r="I904" s="167"/>
      <c r="J904" s="167"/>
      <c r="K904" s="167"/>
      <c r="L904" s="167"/>
      <c r="M904" s="167"/>
      <c r="N904" s="167"/>
      <c r="O904" s="167"/>
      <c r="Q904" s="163"/>
    </row>
    <row r="905" spans="2:17" ht="13.2">
      <c r="B905" s="167"/>
      <c r="C905" s="162"/>
      <c r="D905" s="168"/>
      <c r="E905" s="162"/>
      <c r="F905" s="167"/>
      <c r="G905" s="167"/>
      <c r="H905" s="167"/>
      <c r="I905" s="167"/>
      <c r="J905" s="167"/>
      <c r="K905" s="167"/>
      <c r="L905" s="167"/>
      <c r="M905" s="167"/>
      <c r="N905" s="167"/>
      <c r="O905" s="167"/>
      <c r="Q905" s="163"/>
    </row>
    <row r="906" spans="2:17" ht="13.2">
      <c r="B906" s="167"/>
      <c r="C906" s="162"/>
      <c r="D906" s="168"/>
      <c r="E906" s="162"/>
      <c r="F906" s="167"/>
      <c r="G906" s="167"/>
      <c r="H906" s="167"/>
      <c r="I906" s="167"/>
      <c r="J906" s="167"/>
      <c r="K906" s="167"/>
      <c r="L906" s="167"/>
      <c r="M906" s="167"/>
      <c r="N906" s="167"/>
      <c r="O906" s="167"/>
      <c r="Q906" s="163"/>
    </row>
    <row r="907" spans="2:17" ht="13.2">
      <c r="B907" s="167"/>
      <c r="C907" s="162"/>
      <c r="D907" s="168"/>
      <c r="E907" s="162"/>
      <c r="F907" s="167"/>
      <c r="G907" s="167"/>
      <c r="H907" s="167"/>
      <c r="I907" s="167"/>
      <c r="J907" s="167"/>
      <c r="K907" s="167"/>
      <c r="L907" s="167"/>
      <c r="M907" s="167"/>
      <c r="N907" s="167"/>
      <c r="O907" s="167"/>
      <c r="Q907" s="163"/>
    </row>
    <row r="908" spans="2:17" ht="13.2">
      <c r="B908" s="167"/>
      <c r="C908" s="162"/>
      <c r="D908" s="168"/>
      <c r="E908" s="162"/>
      <c r="F908" s="167"/>
      <c r="G908" s="167"/>
      <c r="H908" s="167"/>
      <c r="I908" s="167"/>
      <c r="J908" s="167"/>
      <c r="K908" s="167"/>
      <c r="L908" s="167"/>
      <c r="M908" s="167"/>
      <c r="N908" s="167"/>
      <c r="O908" s="167"/>
      <c r="Q908" s="163"/>
    </row>
    <row r="909" spans="2:17" ht="13.2">
      <c r="B909" s="167"/>
      <c r="C909" s="162"/>
      <c r="D909" s="168"/>
      <c r="E909" s="162"/>
      <c r="F909" s="167"/>
      <c r="G909" s="167"/>
      <c r="H909" s="167"/>
      <c r="I909" s="167"/>
      <c r="J909" s="167"/>
      <c r="K909" s="167"/>
      <c r="L909" s="167"/>
      <c r="M909" s="167"/>
      <c r="N909" s="167"/>
      <c r="O909" s="167"/>
      <c r="Q909" s="163"/>
    </row>
    <row r="910" spans="2:17" ht="13.2">
      <c r="B910" s="167"/>
      <c r="C910" s="162"/>
      <c r="D910" s="168"/>
      <c r="E910" s="162"/>
      <c r="F910" s="167"/>
      <c r="G910" s="167"/>
      <c r="H910" s="167"/>
      <c r="I910" s="167"/>
      <c r="J910" s="167"/>
      <c r="K910" s="167"/>
      <c r="L910" s="167"/>
      <c r="M910" s="167"/>
      <c r="N910" s="167"/>
      <c r="O910" s="167"/>
      <c r="Q910" s="163"/>
    </row>
    <row r="911" spans="2:17" ht="13.2">
      <c r="B911" s="167"/>
      <c r="C911" s="162"/>
      <c r="D911" s="168"/>
      <c r="E911" s="162"/>
      <c r="F911" s="167"/>
      <c r="G911" s="167"/>
      <c r="H911" s="167"/>
      <c r="I911" s="167"/>
      <c r="J911" s="167"/>
      <c r="K911" s="167"/>
      <c r="L911" s="167"/>
      <c r="M911" s="167"/>
      <c r="N911" s="167"/>
      <c r="O911" s="167"/>
      <c r="Q911" s="163"/>
    </row>
    <row r="912" spans="2:17" ht="13.2">
      <c r="B912" s="167"/>
      <c r="C912" s="162"/>
      <c r="D912" s="168"/>
      <c r="E912" s="162"/>
      <c r="F912" s="167"/>
      <c r="G912" s="167"/>
      <c r="H912" s="167"/>
      <c r="I912" s="167"/>
      <c r="J912" s="167"/>
      <c r="K912" s="167"/>
      <c r="L912" s="167"/>
      <c r="M912" s="167"/>
      <c r="N912" s="167"/>
      <c r="O912" s="167"/>
      <c r="Q912" s="163"/>
    </row>
    <row r="913" spans="2:17" ht="13.2">
      <c r="B913" s="167"/>
      <c r="C913" s="162"/>
      <c r="D913" s="168"/>
      <c r="E913" s="162"/>
      <c r="F913" s="167"/>
      <c r="G913" s="167"/>
      <c r="H913" s="167"/>
      <c r="I913" s="167"/>
      <c r="J913" s="167"/>
      <c r="K913" s="167"/>
      <c r="L913" s="167"/>
      <c r="M913" s="167"/>
      <c r="N913" s="167"/>
      <c r="O913" s="167"/>
      <c r="Q913" s="163"/>
    </row>
    <row r="914" spans="2:17" ht="13.2">
      <c r="B914" s="167"/>
      <c r="C914" s="162"/>
      <c r="D914" s="168"/>
      <c r="E914" s="162"/>
      <c r="F914" s="167"/>
      <c r="G914" s="167"/>
      <c r="H914" s="167"/>
      <c r="I914" s="167"/>
      <c r="J914" s="167"/>
      <c r="K914" s="167"/>
      <c r="L914" s="167"/>
      <c r="M914" s="167"/>
      <c r="N914" s="167"/>
      <c r="O914" s="167"/>
      <c r="Q914" s="163"/>
    </row>
    <row r="915" spans="2:17" ht="13.2">
      <c r="B915" s="167"/>
      <c r="C915" s="162"/>
      <c r="D915" s="168"/>
      <c r="E915" s="162"/>
      <c r="F915" s="167"/>
      <c r="G915" s="167"/>
      <c r="H915" s="167"/>
      <c r="I915" s="167"/>
      <c r="J915" s="167"/>
      <c r="K915" s="167"/>
      <c r="L915" s="167"/>
      <c r="M915" s="167"/>
      <c r="N915" s="167"/>
      <c r="O915" s="167"/>
      <c r="Q915" s="163"/>
    </row>
    <row r="916" spans="2:17" ht="13.2">
      <c r="B916" s="167"/>
      <c r="C916" s="162"/>
      <c r="D916" s="168"/>
      <c r="E916" s="162"/>
      <c r="F916" s="167"/>
      <c r="G916" s="167"/>
      <c r="H916" s="167"/>
      <c r="I916" s="167"/>
      <c r="J916" s="167"/>
      <c r="K916" s="167"/>
      <c r="L916" s="167"/>
      <c r="M916" s="167"/>
      <c r="N916" s="167"/>
      <c r="O916" s="167"/>
      <c r="Q916" s="163"/>
    </row>
    <row r="917" spans="2:17" ht="13.2">
      <c r="B917" s="167"/>
      <c r="C917" s="162"/>
      <c r="D917" s="168"/>
      <c r="E917" s="162"/>
      <c r="F917" s="167"/>
      <c r="G917" s="167"/>
      <c r="H917" s="167"/>
      <c r="I917" s="167"/>
      <c r="J917" s="167"/>
      <c r="K917" s="167"/>
      <c r="L917" s="167"/>
      <c r="M917" s="167"/>
      <c r="N917" s="167"/>
      <c r="O917" s="167"/>
      <c r="Q917" s="163"/>
    </row>
    <row r="918" spans="2:17" ht="13.2">
      <c r="B918" s="167"/>
      <c r="C918" s="162"/>
      <c r="D918" s="168"/>
      <c r="E918" s="162"/>
      <c r="F918" s="167"/>
      <c r="G918" s="167"/>
      <c r="H918" s="167"/>
      <c r="I918" s="167"/>
      <c r="J918" s="167"/>
      <c r="K918" s="167"/>
      <c r="L918" s="167"/>
      <c r="M918" s="167"/>
      <c r="N918" s="167"/>
      <c r="O918" s="167"/>
      <c r="Q918" s="163"/>
    </row>
    <row r="919" spans="2:17" ht="13.2">
      <c r="B919" s="167"/>
      <c r="C919" s="162"/>
      <c r="D919" s="168"/>
      <c r="E919" s="162"/>
      <c r="F919" s="167"/>
      <c r="G919" s="167"/>
      <c r="H919" s="167"/>
      <c r="I919" s="167"/>
      <c r="J919" s="167"/>
      <c r="K919" s="167"/>
      <c r="L919" s="167"/>
      <c r="M919" s="167"/>
      <c r="N919" s="167"/>
      <c r="O919" s="167"/>
      <c r="Q919" s="163"/>
    </row>
    <row r="920" spans="2:17" ht="13.2">
      <c r="B920" s="167"/>
      <c r="C920" s="162"/>
      <c r="D920" s="168"/>
      <c r="E920" s="162"/>
      <c r="F920" s="167"/>
      <c r="G920" s="167"/>
      <c r="H920" s="167"/>
      <c r="I920" s="167"/>
      <c r="J920" s="167"/>
      <c r="K920" s="167"/>
      <c r="L920" s="167"/>
      <c r="M920" s="167"/>
      <c r="N920" s="167"/>
      <c r="O920" s="167"/>
      <c r="Q920" s="163"/>
    </row>
    <row r="921" spans="2:17" ht="13.2">
      <c r="B921" s="167"/>
      <c r="C921" s="162"/>
      <c r="D921" s="168"/>
      <c r="E921" s="162"/>
      <c r="F921" s="167"/>
      <c r="G921" s="167"/>
      <c r="H921" s="167"/>
      <c r="I921" s="167"/>
      <c r="J921" s="167"/>
      <c r="K921" s="167"/>
      <c r="L921" s="167"/>
      <c r="M921" s="167"/>
      <c r="N921" s="167"/>
      <c r="O921" s="167"/>
      <c r="Q921" s="163"/>
    </row>
    <row r="922" spans="2:17" ht="13.2">
      <c r="B922" s="167"/>
      <c r="C922" s="162"/>
      <c r="D922" s="168"/>
      <c r="E922" s="162"/>
      <c r="F922" s="167"/>
      <c r="G922" s="167"/>
      <c r="H922" s="167"/>
      <c r="I922" s="167"/>
      <c r="J922" s="167"/>
      <c r="K922" s="167"/>
      <c r="L922" s="167"/>
      <c r="M922" s="167"/>
      <c r="N922" s="167"/>
      <c r="O922" s="167"/>
      <c r="Q922" s="163"/>
    </row>
    <row r="923" spans="2:17" ht="13.2">
      <c r="B923" s="167"/>
      <c r="C923" s="162"/>
      <c r="D923" s="168"/>
      <c r="E923" s="162"/>
      <c r="F923" s="167"/>
      <c r="G923" s="167"/>
      <c r="H923" s="167"/>
      <c r="I923" s="167"/>
      <c r="J923" s="167"/>
      <c r="K923" s="167"/>
      <c r="L923" s="167"/>
      <c r="M923" s="167"/>
      <c r="N923" s="167"/>
      <c r="O923" s="167"/>
      <c r="Q923" s="163"/>
    </row>
    <row r="924" spans="2:17" ht="13.2">
      <c r="B924" s="167"/>
      <c r="C924" s="162"/>
      <c r="D924" s="168"/>
      <c r="E924" s="162"/>
      <c r="F924" s="167"/>
      <c r="G924" s="167"/>
      <c r="H924" s="167"/>
      <c r="I924" s="167"/>
      <c r="J924" s="167"/>
      <c r="K924" s="167"/>
      <c r="L924" s="167"/>
      <c r="M924" s="167"/>
      <c r="N924" s="167"/>
      <c r="O924" s="167"/>
      <c r="Q924" s="163"/>
    </row>
    <row r="925" spans="2:17" ht="13.2">
      <c r="B925" s="167"/>
      <c r="C925" s="162"/>
      <c r="D925" s="168"/>
      <c r="E925" s="162"/>
      <c r="F925" s="167"/>
      <c r="G925" s="167"/>
      <c r="H925" s="167"/>
      <c r="I925" s="167"/>
      <c r="J925" s="167"/>
      <c r="K925" s="167"/>
      <c r="L925" s="167"/>
      <c r="M925" s="167"/>
      <c r="N925" s="167"/>
      <c r="O925" s="167"/>
      <c r="Q925" s="163"/>
    </row>
    <row r="926" spans="2:17" ht="13.2">
      <c r="B926" s="167"/>
      <c r="C926" s="162"/>
      <c r="D926" s="168"/>
      <c r="E926" s="162"/>
      <c r="F926" s="167"/>
      <c r="G926" s="167"/>
      <c r="H926" s="167"/>
      <c r="I926" s="167"/>
      <c r="J926" s="167"/>
      <c r="K926" s="167"/>
      <c r="L926" s="167"/>
      <c r="M926" s="167"/>
      <c r="N926" s="167"/>
      <c r="O926" s="167"/>
      <c r="Q926" s="163"/>
    </row>
    <row r="927" spans="2:17" ht="13.2">
      <c r="B927" s="167"/>
      <c r="C927" s="162"/>
      <c r="D927" s="168"/>
      <c r="E927" s="162"/>
      <c r="F927" s="167"/>
      <c r="G927" s="167"/>
      <c r="H927" s="167"/>
      <c r="I927" s="167"/>
      <c r="J927" s="167"/>
      <c r="K927" s="167"/>
      <c r="L927" s="167"/>
      <c r="M927" s="167"/>
      <c r="N927" s="167"/>
      <c r="O927" s="167"/>
      <c r="Q927" s="163"/>
    </row>
    <row r="928" spans="2:17" ht="13.2">
      <c r="B928" s="167"/>
      <c r="C928" s="162"/>
      <c r="D928" s="168"/>
      <c r="E928" s="162"/>
      <c r="F928" s="167"/>
      <c r="G928" s="167"/>
      <c r="H928" s="167"/>
      <c r="I928" s="167"/>
      <c r="J928" s="167"/>
      <c r="K928" s="167"/>
      <c r="L928" s="167"/>
      <c r="M928" s="167"/>
      <c r="N928" s="167"/>
      <c r="O928" s="167"/>
      <c r="Q928" s="163"/>
    </row>
    <row r="929" spans="2:17" ht="13.2">
      <c r="B929" s="167"/>
      <c r="C929" s="162"/>
      <c r="D929" s="168"/>
      <c r="E929" s="162"/>
      <c r="F929" s="167"/>
      <c r="G929" s="167"/>
      <c r="H929" s="167"/>
      <c r="I929" s="167"/>
      <c r="J929" s="167"/>
      <c r="K929" s="167"/>
      <c r="L929" s="167"/>
      <c r="M929" s="167"/>
      <c r="N929" s="167"/>
      <c r="O929" s="167"/>
      <c r="Q929" s="163"/>
    </row>
    <row r="930" spans="2:17" ht="13.2">
      <c r="B930" s="167"/>
      <c r="C930" s="162"/>
      <c r="D930" s="168"/>
      <c r="E930" s="162"/>
      <c r="F930" s="167"/>
      <c r="G930" s="167"/>
      <c r="H930" s="167"/>
      <c r="I930" s="167"/>
      <c r="J930" s="167"/>
      <c r="K930" s="167"/>
      <c r="L930" s="167"/>
      <c r="M930" s="167"/>
      <c r="N930" s="167"/>
      <c r="O930" s="167"/>
      <c r="Q930" s="163"/>
    </row>
    <row r="931" spans="2:17" ht="13.2">
      <c r="B931" s="167"/>
      <c r="C931" s="162"/>
      <c r="D931" s="168"/>
      <c r="E931" s="162"/>
      <c r="F931" s="167"/>
      <c r="G931" s="167"/>
      <c r="H931" s="167"/>
      <c r="I931" s="167"/>
      <c r="J931" s="167"/>
      <c r="K931" s="167"/>
      <c r="L931" s="167"/>
      <c r="M931" s="167"/>
      <c r="N931" s="167"/>
      <c r="O931" s="167"/>
      <c r="Q931" s="163"/>
    </row>
    <row r="932" spans="2:17" ht="13.2">
      <c r="B932" s="167"/>
      <c r="C932" s="162"/>
      <c r="D932" s="168"/>
      <c r="E932" s="162"/>
      <c r="F932" s="167"/>
      <c r="G932" s="167"/>
      <c r="H932" s="167"/>
      <c r="I932" s="167"/>
      <c r="J932" s="167"/>
      <c r="K932" s="167"/>
      <c r="L932" s="167"/>
      <c r="M932" s="167"/>
      <c r="N932" s="167"/>
      <c r="O932" s="167"/>
      <c r="Q932" s="163"/>
    </row>
    <row r="933" spans="2:17" ht="13.2">
      <c r="B933" s="167"/>
      <c r="C933" s="162"/>
      <c r="D933" s="168"/>
      <c r="E933" s="162"/>
      <c r="F933" s="167"/>
      <c r="G933" s="167"/>
      <c r="H933" s="167"/>
      <c r="I933" s="167"/>
      <c r="J933" s="167"/>
      <c r="K933" s="167"/>
      <c r="L933" s="167"/>
      <c r="M933" s="167"/>
      <c r="N933" s="167"/>
      <c r="O933" s="167"/>
      <c r="Q933" s="163"/>
    </row>
    <row r="934" spans="2:17" ht="13.2">
      <c r="B934" s="167"/>
      <c r="C934" s="162"/>
      <c r="D934" s="168"/>
      <c r="E934" s="162"/>
      <c r="F934" s="167"/>
      <c r="G934" s="167"/>
      <c r="H934" s="167"/>
      <c r="I934" s="167"/>
      <c r="J934" s="167"/>
      <c r="K934" s="167"/>
      <c r="L934" s="167"/>
      <c r="M934" s="167"/>
      <c r="N934" s="167"/>
      <c r="O934" s="167"/>
      <c r="Q934" s="163"/>
    </row>
    <row r="935" spans="2:17" ht="13.2">
      <c r="B935" s="167"/>
      <c r="C935" s="162"/>
      <c r="D935" s="168"/>
      <c r="E935" s="162"/>
      <c r="F935" s="167"/>
      <c r="G935" s="167"/>
      <c r="H935" s="167"/>
      <c r="I935" s="167"/>
      <c r="J935" s="167"/>
      <c r="K935" s="167"/>
      <c r="L935" s="167"/>
      <c r="M935" s="167"/>
      <c r="N935" s="167"/>
      <c r="O935" s="167"/>
      <c r="Q935" s="163"/>
    </row>
    <row r="936" spans="2:17" ht="13.2">
      <c r="B936" s="167"/>
      <c r="C936" s="162"/>
      <c r="D936" s="168"/>
      <c r="E936" s="162"/>
      <c r="F936" s="167"/>
      <c r="G936" s="167"/>
      <c r="H936" s="167"/>
      <c r="I936" s="167"/>
      <c r="J936" s="167"/>
      <c r="K936" s="167"/>
      <c r="L936" s="167"/>
      <c r="M936" s="167"/>
      <c r="N936" s="167"/>
      <c r="O936" s="167"/>
      <c r="Q936" s="163"/>
    </row>
    <row r="937" spans="2:17" ht="13.2">
      <c r="B937" s="167"/>
      <c r="C937" s="162"/>
      <c r="D937" s="168"/>
      <c r="E937" s="162"/>
      <c r="F937" s="167"/>
      <c r="G937" s="167"/>
      <c r="H937" s="167"/>
      <c r="I937" s="167"/>
      <c r="J937" s="167"/>
      <c r="K937" s="167"/>
      <c r="L937" s="167"/>
      <c r="M937" s="167"/>
      <c r="N937" s="167"/>
      <c r="O937" s="167"/>
      <c r="Q937" s="163"/>
    </row>
    <row r="938" spans="2:17" ht="13.2">
      <c r="B938" s="167"/>
      <c r="C938" s="162"/>
      <c r="D938" s="168"/>
      <c r="E938" s="162"/>
      <c r="F938" s="167"/>
      <c r="G938" s="167"/>
      <c r="H938" s="167"/>
      <c r="I938" s="167"/>
      <c r="J938" s="167"/>
      <c r="K938" s="167"/>
      <c r="L938" s="167"/>
      <c r="M938" s="167"/>
      <c r="N938" s="167"/>
      <c r="O938" s="167"/>
      <c r="Q938" s="163"/>
    </row>
    <row r="939" spans="2:17" ht="13.2">
      <c r="B939" s="167"/>
      <c r="C939" s="162"/>
      <c r="D939" s="168"/>
      <c r="E939" s="162"/>
      <c r="F939" s="167"/>
      <c r="G939" s="167"/>
      <c r="H939" s="167"/>
      <c r="I939" s="167"/>
      <c r="J939" s="167"/>
      <c r="K939" s="167"/>
      <c r="L939" s="167"/>
      <c r="M939" s="167"/>
      <c r="N939" s="167"/>
      <c r="O939" s="167"/>
      <c r="Q939" s="163"/>
    </row>
    <row r="940" spans="2:17" ht="13.2">
      <c r="B940" s="167"/>
      <c r="C940" s="162"/>
      <c r="D940" s="168"/>
      <c r="E940" s="162"/>
      <c r="F940" s="167"/>
      <c r="G940" s="167"/>
      <c r="H940" s="167"/>
      <c r="I940" s="167"/>
      <c r="J940" s="167"/>
      <c r="K940" s="167"/>
      <c r="L940" s="167"/>
      <c r="M940" s="167"/>
      <c r="N940" s="167"/>
      <c r="O940" s="167"/>
      <c r="Q940" s="163"/>
    </row>
    <row r="941" spans="2:17" ht="13.2">
      <c r="B941" s="167"/>
      <c r="C941" s="162"/>
      <c r="D941" s="168"/>
      <c r="E941" s="162"/>
      <c r="F941" s="167"/>
      <c r="G941" s="167"/>
      <c r="H941" s="167"/>
      <c r="I941" s="167"/>
      <c r="J941" s="167"/>
      <c r="K941" s="167"/>
      <c r="L941" s="167"/>
      <c r="M941" s="167"/>
      <c r="N941" s="167"/>
      <c r="O941" s="167"/>
      <c r="Q941" s="163"/>
    </row>
    <row r="942" spans="2:17" ht="13.2">
      <c r="B942" s="167"/>
      <c r="C942" s="162"/>
      <c r="D942" s="168"/>
      <c r="E942" s="162"/>
      <c r="F942" s="167"/>
      <c r="G942" s="167"/>
      <c r="H942" s="167"/>
      <c r="I942" s="167"/>
      <c r="J942" s="167"/>
      <c r="K942" s="167"/>
      <c r="L942" s="167"/>
      <c r="M942" s="167"/>
      <c r="N942" s="167"/>
      <c r="O942" s="167"/>
      <c r="Q942" s="163"/>
    </row>
    <row r="943" spans="2:17" ht="13.2">
      <c r="B943" s="167"/>
      <c r="C943" s="162"/>
      <c r="D943" s="168"/>
      <c r="E943" s="162"/>
      <c r="F943" s="167"/>
      <c r="G943" s="167"/>
      <c r="H943" s="167"/>
      <c r="I943" s="167"/>
      <c r="J943" s="167"/>
      <c r="K943" s="167"/>
      <c r="L943" s="167"/>
      <c r="M943" s="167"/>
      <c r="N943" s="167"/>
      <c r="O943" s="167"/>
      <c r="Q943" s="163"/>
    </row>
    <row r="944" spans="2:17" ht="13.2">
      <c r="B944" s="167"/>
      <c r="C944" s="162"/>
      <c r="D944" s="168"/>
      <c r="E944" s="162"/>
      <c r="F944" s="167"/>
      <c r="G944" s="167"/>
      <c r="H944" s="167"/>
      <c r="I944" s="167"/>
      <c r="J944" s="167"/>
      <c r="K944" s="167"/>
      <c r="L944" s="167"/>
      <c r="M944" s="167"/>
      <c r="N944" s="167"/>
      <c r="O944" s="167"/>
      <c r="Q944" s="163"/>
    </row>
    <row r="945" spans="2:17" ht="13.2">
      <c r="B945" s="167"/>
      <c r="C945" s="162"/>
      <c r="D945" s="168"/>
      <c r="E945" s="162"/>
      <c r="F945" s="167"/>
      <c r="G945" s="167"/>
      <c r="H945" s="167"/>
      <c r="I945" s="167"/>
      <c r="J945" s="167"/>
      <c r="K945" s="167"/>
      <c r="L945" s="167"/>
      <c r="M945" s="167"/>
      <c r="N945" s="167"/>
      <c r="O945" s="167"/>
      <c r="Q945" s="163"/>
    </row>
    <row r="946" spans="2:17" ht="13.2">
      <c r="B946" s="167"/>
      <c r="C946" s="162"/>
      <c r="D946" s="168"/>
      <c r="E946" s="162"/>
      <c r="F946" s="167"/>
      <c r="G946" s="167"/>
      <c r="H946" s="167"/>
      <c r="I946" s="167"/>
      <c r="J946" s="167"/>
      <c r="K946" s="167"/>
      <c r="L946" s="167"/>
      <c r="M946" s="167"/>
      <c r="N946" s="167"/>
      <c r="O946" s="167"/>
      <c r="Q946" s="163"/>
    </row>
    <row r="947" spans="2:17" ht="13.2">
      <c r="B947" s="167"/>
      <c r="C947" s="162"/>
      <c r="D947" s="168"/>
      <c r="E947" s="162"/>
      <c r="F947" s="167"/>
      <c r="G947" s="167"/>
      <c r="H947" s="167"/>
      <c r="I947" s="167"/>
      <c r="J947" s="167"/>
      <c r="K947" s="167"/>
      <c r="L947" s="167"/>
      <c r="M947" s="167"/>
      <c r="N947" s="167"/>
      <c r="O947" s="167"/>
      <c r="Q947" s="163"/>
    </row>
    <row r="948" spans="2:17" ht="13.2">
      <c r="B948" s="167"/>
      <c r="C948" s="162"/>
      <c r="D948" s="168"/>
      <c r="E948" s="162"/>
      <c r="F948" s="167"/>
      <c r="G948" s="167"/>
      <c r="H948" s="167"/>
      <c r="I948" s="167"/>
      <c r="J948" s="167"/>
      <c r="K948" s="167"/>
      <c r="L948" s="167"/>
      <c r="M948" s="167"/>
      <c r="N948" s="167"/>
      <c r="O948" s="167"/>
      <c r="Q948" s="163"/>
    </row>
    <row r="949" spans="2:17" ht="13.2">
      <c r="B949" s="167"/>
      <c r="C949" s="162"/>
      <c r="D949" s="168"/>
      <c r="E949" s="162"/>
      <c r="F949" s="167"/>
      <c r="G949" s="167"/>
      <c r="H949" s="167"/>
      <c r="I949" s="167"/>
      <c r="J949" s="167"/>
      <c r="K949" s="167"/>
      <c r="L949" s="167"/>
      <c r="M949" s="167"/>
      <c r="N949" s="167"/>
      <c r="O949" s="167"/>
      <c r="Q949" s="163"/>
    </row>
    <row r="950" spans="2:17" ht="13.2">
      <c r="B950" s="167"/>
      <c r="C950" s="162"/>
      <c r="D950" s="168"/>
      <c r="E950" s="162"/>
      <c r="F950" s="167"/>
      <c r="G950" s="167"/>
      <c r="H950" s="167"/>
      <c r="I950" s="167"/>
      <c r="J950" s="167"/>
      <c r="K950" s="167"/>
      <c r="L950" s="167"/>
      <c r="M950" s="167"/>
      <c r="N950" s="167"/>
      <c r="O950" s="167"/>
      <c r="Q950" s="163"/>
    </row>
    <row r="951" spans="2:17" ht="13.2">
      <c r="B951" s="167"/>
      <c r="C951" s="162"/>
      <c r="D951" s="168"/>
      <c r="E951" s="162"/>
      <c r="F951" s="167"/>
      <c r="G951" s="167"/>
      <c r="H951" s="167"/>
      <c r="I951" s="167"/>
      <c r="J951" s="167"/>
      <c r="K951" s="167"/>
      <c r="L951" s="167"/>
      <c r="M951" s="167"/>
      <c r="N951" s="167"/>
      <c r="O951" s="167"/>
      <c r="Q951" s="163"/>
    </row>
    <row r="952" spans="2:17" ht="13.2">
      <c r="B952" s="167"/>
      <c r="C952" s="162"/>
      <c r="D952" s="168"/>
      <c r="E952" s="162"/>
      <c r="F952" s="167"/>
      <c r="G952" s="167"/>
      <c r="H952" s="167"/>
      <c r="I952" s="167"/>
      <c r="J952" s="167"/>
      <c r="K952" s="167"/>
      <c r="L952" s="167"/>
      <c r="M952" s="167"/>
      <c r="N952" s="167"/>
      <c r="O952" s="167"/>
      <c r="Q952" s="163"/>
    </row>
    <row r="953" spans="2:17" ht="13.2">
      <c r="B953" s="167"/>
      <c r="C953" s="162"/>
      <c r="D953" s="168"/>
      <c r="E953" s="162"/>
      <c r="F953" s="167"/>
      <c r="G953" s="167"/>
      <c r="H953" s="167"/>
      <c r="I953" s="167"/>
      <c r="J953" s="167"/>
      <c r="K953" s="167"/>
      <c r="L953" s="167"/>
      <c r="M953" s="167"/>
      <c r="N953" s="167"/>
      <c r="O953" s="167"/>
      <c r="Q953" s="163"/>
    </row>
    <row r="954" spans="2:17" ht="13.2">
      <c r="B954" s="167"/>
      <c r="C954" s="162"/>
      <c r="D954" s="168"/>
      <c r="E954" s="162"/>
      <c r="F954" s="167"/>
      <c r="G954" s="167"/>
      <c r="H954" s="167"/>
      <c r="I954" s="167"/>
      <c r="J954" s="167"/>
      <c r="K954" s="167"/>
      <c r="L954" s="167"/>
      <c r="M954" s="167"/>
      <c r="N954" s="167"/>
      <c r="O954" s="167"/>
      <c r="Q954" s="163"/>
    </row>
    <row r="955" spans="2:17" ht="13.2">
      <c r="B955" s="167"/>
      <c r="C955" s="162"/>
      <c r="D955" s="168"/>
      <c r="E955" s="162"/>
      <c r="F955" s="167"/>
      <c r="G955" s="167"/>
      <c r="H955" s="167"/>
      <c r="I955" s="167"/>
      <c r="J955" s="167"/>
      <c r="K955" s="167"/>
      <c r="L955" s="167"/>
      <c r="M955" s="167"/>
      <c r="N955" s="167"/>
      <c r="O955" s="167"/>
      <c r="Q955" s="163"/>
    </row>
    <row r="956" spans="2:17" ht="13.2">
      <c r="B956" s="167"/>
      <c r="C956" s="162"/>
      <c r="D956" s="168"/>
      <c r="E956" s="162"/>
      <c r="F956" s="167"/>
      <c r="G956" s="167"/>
      <c r="H956" s="167"/>
      <c r="I956" s="167"/>
      <c r="J956" s="167"/>
      <c r="K956" s="167"/>
      <c r="L956" s="167"/>
      <c r="M956" s="167"/>
      <c r="N956" s="167"/>
      <c r="O956" s="167"/>
      <c r="Q956" s="163"/>
    </row>
    <row r="957" spans="2:17" ht="13.2">
      <c r="B957" s="167"/>
      <c r="C957" s="162"/>
      <c r="D957" s="168"/>
      <c r="E957" s="162"/>
      <c r="F957" s="167"/>
      <c r="G957" s="167"/>
      <c r="H957" s="167"/>
      <c r="I957" s="167"/>
      <c r="J957" s="167"/>
      <c r="K957" s="167"/>
      <c r="L957" s="167"/>
      <c r="M957" s="167"/>
      <c r="N957" s="167"/>
      <c r="O957" s="167"/>
      <c r="Q957" s="163"/>
    </row>
    <row r="958" spans="2:17" ht="13.2">
      <c r="B958" s="167"/>
      <c r="C958" s="162"/>
      <c r="D958" s="168"/>
      <c r="E958" s="162"/>
      <c r="F958" s="167"/>
      <c r="G958" s="167"/>
      <c r="H958" s="167"/>
      <c r="I958" s="167"/>
      <c r="J958" s="167"/>
      <c r="K958" s="167"/>
      <c r="L958" s="167"/>
      <c r="M958" s="167"/>
      <c r="N958" s="167"/>
      <c r="O958" s="167"/>
      <c r="Q958" s="163"/>
    </row>
    <row r="959" spans="2:17" ht="13.2">
      <c r="B959" s="167"/>
      <c r="C959" s="162"/>
      <c r="D959" s="168"/>
      <c r="E959" s="162"/>
      <c r="F959" s="167"/>
      <c r="G959" s="167"/>
      <c r="H959" s="167"/>
      <c r="I959" s="167"/>
      <c r="J959" s="167"/>
      <c r="K959" s="167"/>
      <c r="L959" s="167"/>
      <c r="M959" s="167"/>
      <c r="N959" s="167"/>
      <c r="O959" s="167"/>
      <c r="Q959" s="163"/>
    </row>
    <row r="960" spans="2:17" ht="13.2">
      <c r="B960" s="167"/>
      <c r="C960" s="162"/>
      <c r="D960" s="168"/>
      <c r="E960" s="162"/>
      <c r="F960" s="167"/>
      <c r="G960" s="167"/>
      <c r="H960" s="167"/>
      <c r="I960" s="167"/>
      <c r="J960" s="167"/>
      <c r="K960" s="167"/>
      <c r="L960" s="167"/>
      <c r="M960" s="167"/>
      <c r="N960" s="167"/>
      <c r="O960" s="167"/>
      <c r="Q960" s="163"/>
    </row>
    <row r="961" spans="2:17" ht="13.2">
      <c r="B961" s="167"/>
      <c r="C961" s="162"/>
      <c r="D961" s="168"/>
      <c r="E961" s="162"/>
      <c r="F961" s="167"/>
      <c r="G961" s="167"/>
      <c r="H961" s="167"/>
      <c r="I961" s="167"/>
      <c r="J961" s="167"/>
      <c r="K961" s="167"/>
      <c r="L961" s="167"/>
      <c r="M961" s="167"/>
      <c r="N961" s="167"/>
      <c r="O961" s="167"/>
      <c r="Q961" s="163"/>
    </row>
    <row r="962" spans="2:17" ht="13.2">
      <c r="B962" s="167"/>
      <c r="C962" s="162"/>
      <c r="D962" s="168"/>
      <c r="E962" s="162"/>
      <c r="F962" s="167"/>
      <c r="G962" s="167"/>
      <c r="H962" s="167"/>
      <c r="I962" s="167"/>
      <c r="J962" s="167"/>
      <c r="K962" s="167"/>
      <c r="L962" s="167"/>
      <c r="M962" s="167"/>
      <c r="N962" s="167"/>
      <c r="O962" s="167"/>
      <c r="Q962" s="163"/>
    </row>
    <row r="963" spans="2:17" ht="13.2">
      <c r="B963" s="167"/>
      <c r="C963" s="162"/>
      <c r="D963" s="168"/>
      <c r="E963" s="162"/>
      <c r="F963" s="167"/>
      <c r="G963" s="167"/>
      <c r="H963" s="167"/>
      <c r="I963" s="167"/>
      <c r="J963" s="167"/>
      <c r="K963" s="167"/>
      <c r="L963" s="167"/>
      <c r="M963" s="167"/>
      <c r="N963" s="167"/>
      <c r="O963" s="167"/>
      <c r="Q963" s="163"/>
    </row>
    <row r="964" spans="2:17" ht="13.2">
      <c r="B964" s="167"/>
      <c r="C964" s="162"/>
      <c r="D964" s="168"/>
      <c r="E964" s="162"/>
      <c r="F964" s="167"/>
      <c r="G964" s="167"/>
      <c r="H964" s="167"/>
      <c r="I964" s="167"/>
      <c r="J964" s="167"/>
      <c r="K964" s="167"/>
      <c r="L964" s="167"/>
      <c r="M964" s="167"/>
      <c r="N964" s="167"/>
      <c r="O964" s="167"/>
      <c r="Q964" s="163"/>
    </row>
    <row r="965" spans="2:17" ht="13.2">
      <c r="B965" s="167"/>
      <c r="C965" s="162"/>
      <c r="D965" s="168"/>
      <c r="E965" s="162"/>
      <c r="F965" s="167"/>
      <c r="G965" s="167"/>
      <c r="H965" s="167"/>
      <c r="I965" s="167"/>
      <c r="J965" s="167"/>
      <c r="K965" s="167"/>
      <c r="L965" s="167"/>
      <c r="M965" s="167"/>
      <c r="N965" s="167"/>
      <c r="O965" s="167"/>
      <c r="Q965" s="163"/>
    </row>
    <row r="966" spans="2:17" ht="13.2">
      <c r="B966" s="167"/>
      <c r="C966" s="162"/>
      <c r="D966" s="168"/>
      <c r="E966" s="162"/>
      <c r="F966" s="167"/>
      <c r="G966" s="167"/>
      <c r="H966" s="167"/>
      <c r="I966" s="167"/>
      <c r="J966" s="167"/>
      <c r="K966" s="167"/>
      <c r="L966" s="167"/>
      <c r="M966" s="167"/>
      <c r="N966" s="167"/>
      <c r="O966" s="167"/>
      <c r="Q966" s="163"/>
    </row>
    <row r="967" spans="2:17" ht="13.2">
      <c r="B967" s="167"/>
      <c r="C967" s="162"/>
      <c r="D967" s="168"/>
      <c r="E967" s="162"/>
      <c r="F967" s="167"/>
      <c r="G967" s="167"/>
      <c r="H967" s="167"/>
      <c r="I967" s="167"/>
      <c r="J967" s="167"/>
      <c r="K967" s="167"/>
      <c r="L967" s="167"/>
      <c r="M967" s="167"/>
      <c r="N967" s="167"/>
      <c r="O967" s="167"/>
      <c r="Q967" s="163"/>
    </row>
    <row r="968" spans="2:17" ht="13.2">
      <c r="B968" s="167"/>
      <c r="C968" s="162"/>
      <c r="D968" s="168"/>
      <c r="E968" s="162"/>
      <c r="F968" s="167"/>
      <c r="G968" s="167"/>
      <c r="H968" s="167"/>
      <c r="I968" s="167"/>
      <c r="J968" s="167"/>
      <c r="K968" s="167"/>
      <c r="L968" s="167"/>
      <c r="M968" s="167"/>
      <c r="N968" s="167"/>
      <c r="O968" s="167"/>
      <c r="Q968" s="163"/>
    </row>
    <row r="969" spans="2:17" ht="13.2">
      <c r="B969" s="167"/>
      <c r="C969" s="162"/>
      <c r="D969" s="168"/>
      <c r="E969" s="162"/>
      <c r="F969" s="167"/>
      <c r="G969" s="167"/>
      <c r="H969" s="167"/>
      <c r="I969" s="167"/>
      <c r="J969" s="167"/>
      <c r="K969" s="167"/>
      <c r="L969" s="167"/>
      <c r="M969" s="167"/>
      <c r="N969" s="167"/>
      <c r="O969" s="167"/>
      <c r="Q969" s="163"/>
    </row>
    <row r="970" spans="2:17" ht="13.2">
      <c r="B970" s="167"/>
      <c r="C970" s="162"/>
      <c r="D970" s="168"/>
      <c r="E970" s="162"/>
      <c r="F970" s="167"/>
      <c r="G970" s="167"/>
      <c r="H970" s="167"/>
      <c r="I970" s="167"/>
      <c r="J970" s="167"/>
      <c r="K970" s="167"/>
      <c r="L970" s="167"/>
      <c r="M970" s="167"/>
      <c r="N970" s="167"/>
      <c r="O970" s="167"/>
      <c r="Q970" s="163"/>
    </row>
    <row r="971" spans="2:17" ht="13.2">
      <c r="B971" s="167"/>
      <c r="C971" s="162"/>
      <c r="D971" s="168"/>
      <c r="E971" s="162"/>
      <c r="F971" s="167"/>
      <c r="G971" s="167"/>
      <c r="H971" s="167"/>
      <c r="I971" s="167"/>
      <c r="J971" s="167"/>
      <c r="K971" s="167"/>
      <c r="L971" s="167"/>
      <c r="M971" s="167"/>
      <c r="N971" s="167"/>
      <c r="O971" s="167"/>
      <c r="Q971" s="163"/>
    </row>
    <row r="972" spans="2:17" ht="13.2">
      <c r="B972" s="167"/>
      <c r="C972" s="162"/>
      <c r="D972" s="168"/>
      <c r="E972" s="162"/>
      <c r="F972" s="167"/>
      <c r="G972" s="167"/>
      <c r="H972" s="167"/>
      <c r="I972" s="167"/>
      <c r="J972" s="167"/>
      <c r="K972" s="167"/>
      <c r="L972" s="167"/>
      <c r="M972" s="167"/>
      <c r="N972" s="167"/>
      <c r="O972" s="167"/>
      <c r="Q972" s="163"/>
    </row>
    <row r="973" spans="2:17" ht="13.2">
      <c r="B973" s="167"/>
      <c r="C973" s="162"/>
      <c r="D973" s="168"/>
      <c r="E973" s="162"/>
      <c r="F973" s="167"/>
      <c r="G973" s="167"/>
      <c r="H973" s="167"/>
      <c r="I973" s="167"/>
      <c r="J973" s="167"/>
      <c r="K973" s="167"/>
      <c r="L973" s="167"/>
      <c r="M973" s="167"/>
      <c r="N973" s="167"/>
      <c r="O973" s="167"/>
      <c r="Q973" s="163"/>
    </row>
    <row r="974" spans="2:17" ht="13.2">
      <c r="B974" s="167"/>
      <c r="C974" s="162"/>
      <c r="D974" s="168"/>
      <c r="E974" s="162"/>
      <c r="F974" s="167"/>
      <c r="G974" s="167"/>
      <c r="H974" s="167"/>
      <c r="I974" s="167"/>
      <c r="J974" s="167"/>
      <c r="K974" s="167"/>
      <c r="L974" s="167"/>
      <c r="M974" s="167"/>
      <c r="N974" s="167"/>
      <c r="O974" s="167"/>
      <c r="Q974" s="163"/>
    </row>
    <row r="975" spans="2:17" ht="13.2">
      <c r="B975" s="167"/>
      <c r="C975" s="162"/>
      <c r="D975" s="168"/>
      <c r="E975" s="162"/>
      <c r="F975" s="167"/>
      <c r="G975" s="167"/>
      <c r="H975" s="167"/>
      <c r="I975" s="167"/>
      <c r="J975" s="167"/>
      <c r="K975" s="167"/>
      <c r="L975" s="167"/>
      <c r="M975" s="167"/>
      <c r="N975" s="167"/>
      <c r="O975" s="167"/>
      <c r="Q975" s="163"/>
    </row>
    <row r="976" spans="2:17" ht="13.2">
      <c r="B976" s="167"/>
      <c r="C976" s="162"/>
      <c r="D976" s="168"/>
      <c r="E976" s="162"/>
      <c r="F976" s="167"/>
      <c r="G976" s="167"/>
      <c r="H976" s="167"/>
      <c r="I976" s="167"/>
      <c r="J976" s="167"/>
      <c r="K976" s="167"/>
      <c r="L976" s="167"/>
      <c r="M976" s="167"/>
      <c r="N976" s="167"/>
      <c r="O976" s="167"/>
      <c r="Q976" s="163"/>
    </row>
    <row r="977" spans="2:17" ht="13.2">
      <c r="B977" s="167"/>
      <c r="C977" s="162"/>
      <c r="D977" s="168"/>
      <c r="E977" s="162"/>
      <c r="F977" s="167"/>
      <c r="G977" s="167"/>
      <c r="H977" s="167"/>
      <c r="I977" s="167"/>
      <c r="J977" s="167"/>
      <c r="K977" s="167"/>
      <c r="L977" s="167"/>
      <c r="M977" s="167"/>
      <c r="N977" s="167"/>
      <c r="O977" s="167"/>
      <c r="Q977" s="163"/>
    </row>
    <row r="978" spans="2:17" ht="13.2">
      <c r="B978" s="167"/>
      <c r="C978" s="162"/>
      <c r="D978" s="168"/>
      <c r="E978" s="162"/>
      <c r="F978" s="167"/>
      <c r="G978" s="167"/>
      <c r="H978" s="167"/>
      <c r="I978" s="167"/>
      <c r="J978" s="167"/>
      <c r="K978" s="167"/>
      <c r="L978" s="167"/>
      <c r="M978" s="167"/>
      <c r="N978" s="167"/>
      <c r="O978" s="167"/>
      <c r="Q978" s="163"/>
    </row>
    <row r="979" spans="2:17" ht="13.2">
      <c r="B979" s="167"/>
      <c r="C979" s="162"/>
      <c r="D979" s="168"/>
      <c r="E979" s="162"/>
      <c r="F979" s="167"/>
      <c r="G979" s="167"/>
      <c r="H979" s="167"/>
      <c r="I979" s="167"/>
      <c r="J979" s="167"/>
      <c r="K979" s="167"/>
      <c r="L979" s="167"/>
      <c r="M979" s="167"/>
      <c r="N979" s="167"/>
      <c r="O979" s="167"/>
      <c r="Q979" s="163"/>
    </row>
    <row r="980" spans="2:17" ht="13.2">
      <c r="B980" s="167"/>
      <c r="C980" s="162"/>
      <c r="D980" s="168"/>
      <c r="E980" s="162"/>
      <c r="F980" s="167"/>
      <c r="G980" s="167"/>
      <c r="H980" s="167"/>
      <c r="I980" s="167"/>
      <c r="J980" s="167"/>
      <c r="K980" s="167"/>
      <c r="L980" s="167"/>
      <c r="M980" s="167"/>
      <c r="N980" s="167"/>
      <c r="O980" s="167"/>
      <c r="Q980" s="163"/>
    </row>
    <row r="981" spans="2:17" ht="13.2">
      <c r="B981" s="167"/>
      <c r="C981" s="162"/>
      <c r="D981" s="168"/>
      <c r="E981" s="162"/>
      <c r="F981" s="167"/>
      <c r="G981" s="167"/>
      <c r="H981" s="167"/>
      <c r="I981" s="167"/>
      <c r="J981" s="167"/>
      <c r="K981" s="167"/>
      <c r="L981" s="167"/>
      <c r="M981" s="167"/>
      <c r="N981" s="167"/>
      <c r="O981" s="167"/>
      <c r="Q981" s="163"/>
    </row>
    <row r="982" spans="2:17" ht="13.2">
      <c r="B982" s="167"/>
      <c r="C982" s="162"/>
      <c r="D982" s="168"/>
      <c r="E982" s="162"/>
      <c r="F982" s="167"/>
      <c r="G982" s="167"/>
      <c r="H982" s="167"/>
      <c r="I982" s="167"/>
      <c r="J982" s="167"/>
      <c r="K982" s="167"/>
      <c r="L982" s="167"/>
      <c r="M982" s="167"/>
      <c r="N982" s="167"/>
      <c r="O982" s="167"/>
      <c r="Q982" s="163"/>
    </row>
    <row r="983" spans="2:17" ht="13.2">
      <c r="B983" s="167"/>
      <c r="C983" s="162"/>
      <c r="D983" s="168"/>
      <c r="E983" s="162"/>
      <c r="F983" s="167"/>
      <c r="G983" s="167"/>
      <c r="H983" s="167"/>
      <c r="I983" s="167"/>
      <c r="J983" s="167"/>
      <c r="K983" s="167"/>
      <c r="L983" s="167"/>
      <c r="M983" s="167"/>
      <c r="N983" s="167"/>
      <c r="O983" s="167"/>
      <c r="Q983" s="163"/>
    </row>
    <row r="984" spans="2:17" ht="13.2">
      <c r="B984" s="167"/>
      <c r="C984" s="162"/>
      <c r="D984" s="168"/>
      <c r="E984" s="162"/>
      <c r="F984" s="167"/>
      <c r="G984" s="167"/>
      <c r="H984" s="167"/>
      <c r="I984" s="167"/>
      <c r="J984" s="167"/>
      <c r="K984" s="167"/>
      <c r="L984" s="167"/>
      <c r="M984" s="167"/>
      <c r="N984" s="167"/>
      <c r="O984" s="167"/>
      <c r="Q984" s="163"/>
    </row>
    <row r="985" spans="2:17" ht="13.2">
      <c r="B985" s="167"/>
      <c r="C985" s="162"/>
      <c r="D985" s="168"/>
      <c r="E985" s="162"/>
      <c r="F985" s="167"/>
      <c r="G985" s="167"/>
      <c r="H985" s="167"/>
      <c r="I985" s="167"/>
      <c r="J985" s="167"/>
      <c r="K985" s="167"/>
      <c r="L985" s="167"/>
      <c r="M985" s="167"/>
      <c r="N985" s="167"/>
      <c r="O985" s="167"/>
      <c r="Q985" s="163"/>
    </row>
    <row r="986" spans="2:17" ht="13.2">
      <c r="B986" s="167"/>
      <c r="C986" s="162"/>
      <c r="D986" s="168"/>
      <c r="E986" s="162"/>
      <c r="F986" s="167"/>
      <c r="G986" s="167"/>
      <c r="H986" s="167"/>
      <c r="I986" s="167"/>
      <c r="J986" s="167"/>
      <c r="K986" s="167"/>
      <c r="L986" s="167"/>
      <c r="M986" s="167"/>
      <c r="N986" s="167"/>
      <c r="O986" s="167"/>
      <c r="Q986" s="163"/>
    </row>
    <row r="987" spans="2:17" ht="13.2">
      <c r="B987" s="167"/>
      <c r="C987" s="162"/>
      <c r="D987" s="168"/>
      <c r="E987" s="162"/>
      <c r="F987" s="167"/>
      <c r="G987" s="167"/>
      <c r="H987" s="167"/>
      <c r="I987" s="167"/>
      <c r="J987" s="167"/>
      <c r="K987" s="167"/>
      <c r="L987" s="167"/>
      <c r="M987" s="167"/>
      <c r="N987" s="167"/>
      <c r="O987" s="167"/>
      <c r="Q987" s="163"/>
    </row>
    <row r="988" spans="2:17" ht="13.2">
      <c r="B988" s="167"/>
      <c r="C988" s="162"/>
      <c r="D988" s="168"/>
      <c r="E988" s="162"/>
      <c r="F988" s="167"/>
      <c r="G988" s="167"/>
      <c r="H988" s="167"/>
      <c r="I988" s="167"/>
      <c r="J988" s="167"/>
      <c r="K988" s="167"/>
      <c r="L988" s="167"/>
      <c r="M988" s="167"/>
      <c r="N988" s="167"/>
      <c r="O988" s="167"/>
      <c r="Q988" s="163"/>
    </row>
    <row r="989" spans="2:17" ht="13.2">
      <c r="B989" s="167"/>
      <c r="C989" s="162"/>
      <c r="D989" s="168"/>
      <c r="E989" s="162"/>
      <c r="F989" s="167"/>
      <c r="G989" s="167"/>
      <c r="H989" s="167"/>
      <c r="I989" s="167"/>
      <c r="J989" s="167"/>
      <c r="K989" s="167"/>
      <c r="L989" s="167"/>
      <c r="M989" s="167"/>
      <c r="N989" s="167"/>
      <c r="O989" s="167"/>
      <c r="Q989" s="163"/>
    </row>
    <row r="990" spans="2:17" ht="13.2">
      <c r="B990" s="167"/>
      <c r="C990" s="162"/>
      <c r="D990" s="168"/>
      <c r="E990" s="162"/>
      <c r="F990" s="167"/>
      <c r="G990" s="167"/>
      <c r="H990" s="167"/>
      <c r="I990" s="167"/>
      <c r="J990" s="167"/>
      <c r="K990" s="167"/>
      <c r="L990" s="167"/>
      <c r="M990" s="167"/>
      <c r="N990" s="167"/>
      <c r="O990" s="167"/>
      <c r="Q990" s="163"/>
    </row>
    <row r="991" spans="2:17" ht="13.2">
      <c r="B991" s="167"/>
      <c r="C991" s="162"/>
      <c r="D991" s="168"/>
      <c r="E991" s="162"/>
      <c r="F991" s="167"/>
      <c r="G991" s="167"/>
      <c r="H991" s="167"/>
      <c r="I991" s="167"/>
      <c r="J991" s="167"/>
      <c r="K991" s="167"/>
      <c r="L991" s="167"/>
      <c r="M991" s="167"/>
      <c r="N991" s="167"/>
      <c r="O991" s="167"/>
      <c r="Q991" s="163"/>
    </row>
    <row r="992" spans="2:17" ht="13.2">
      <c r="B992" s="167"/>
      <c r="C992" s="162"/>
      <c r="D992" s="168"/>
      <c r="E992" s="162"/>
      <c r="F992" s="167"/>
      <c r="G992" s="167"/>
      <c r="H992" s="167"/>
      <c r="I992" s="167"/>
      <c r="J992" s="167"/>
      <c r="K992" s="167"/>
      <c r="L992" s="167"/>
      <c r="M992" s="167"/>
      <c r="N992" s="167"/>
      <c r="O992" s="167"/>
      <c r="Q992" s="163"/>
    </row>
    <row r="993" spans="2:17" ht="13.2">
      <c r="B993" s="167"/>
      <c r="C993" s="162"/>
      <c r="D993" s="168"/>
      <c r="E993" s="162"/>
      <c r="F993" s="167"/>
      <c r="G993" s="167"/>
      <c r="H993" s="167"/>
      <c r="I993" s="167"/>
      <c r="J993" s="167"/>
      <c r="K993" s="167"/>
      <c r="L993" s="167"/>
      <c r="M993" s="167"/>
      <c r="N993" s="167"/>
      <c r="O993" s="167"/>
      <c r="Q993" s="163"/>
    </row>
  </sheetData>
  <pageMargins left="0.7" right="0.7" top="0.75" bottom="0.75" header="0.3" footer="0.3"/>
  <drawing r:id="rId1"/>
  <tableParts count="3">
    <tablePart r:id="rId2"/>
    <tablePart r:id="rId3"/>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tabColor rgb="FFFF0000"/>
    <outlinePr summaryBelow="0" summaryRight="0"/>
  </sheetPr>
  <dimension ref="A1:U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4.44140625" defaultRowHeight="15.75" customHeight="1"/>
  <cols>
    <col min="1" max="1" width="5.5546875" customWidth="1"/>
    <col min="2" max="2" width="34.33203125" customWidth="1"/>
    <col min="3" max="3" width="40" customWidth="1"/>
    <col min="4" max="4" width="28.88671875" customWidth="1"/>
    <col min="5" max="5" width="18.6640625" hidden="1" customWidth="1"/>
    <col min="6" max="6" width="38.109375" customWidth="1"/>
    <col min="7" max="7" width="159.109375" customWidth="1"/>
    <col min="8" max="9" width="4.109375" customWidth="1"/>
    <col min="10" max="10" width="9.33203125" customWidth="1"/>
    <col min="11" max="13" width="4.109375" customWidth="1"/>
    <col min="14" max="25" width="3.109375" customWidth="1"/>
  </cols>
  <sheetData>
    <row r="1" spans="1:21" ht="15.75" customHeight="1">
      <c r="A1" s="169" t="s">
        <v>102</v>
      </c>
      <c r="B1" s="170"/>
      <c r="C1" s="171"/>
      <c r="D1" s="171"/>
      <c r="E1" s="172"/>
      <c r="F1" s="172"/>
      <c r="G1" s="172"/>
      <c r="H1" s="172"/>
      <c r="I1" s="172"/>
      <c r="J1" s="172"/>
      <c r="K1" s="172"/>
      <c r="L1" s="172"/>
      <c r="M1" s="172"/>
      <c r="N1" s="173"/>
      <c r="O1" s="173"/>
      <c r="P1" s="173"/>
      <c r="Q1" s="173"/>
      <c r="R1" s="173"/>
      <c r="S1" s="173"/>
      <c r="T1" s="173"/>
      <c r="U1" s="173"/>
    </row>
    <row r="2" spans="1:21" ht="15.75" customHeight="1">
      <c r="A2" s="169" t="s">
        <v>103</v>
      </c>
      <c r="B2" s="174"/>
      <c r="C2" s="171"/>
      <c r="D2" s="175"/>
      <c r="E2" s="176"/>
      <c r="F2" s="172"/>
      <c r="G2" s="172"/>
      <c r="H2" s="172"/>
      <c r="I2" s="172"/>
      <c r="J2" s="172"/>
      <c r="K2" s="172"/>
      <c r="L2" s="172"/>
      <c r="M2" s="172"/>
      <c r="N2" s="173"/>
      <c r="O2" s="173"/>
      <c r="P2" s="173"/>
      <c r="Q2" s="173"/>
      <c r="R2" s="173"/>
      <c r="S2" s="173"/>
      <c r="T2" s="173"/>
      <c r="U2" s="173"/>
    </row>
    <row r="3" spans="1:21" ht="15.75" customHeight="1">
      <c r="A3" s="177"/>
      <c r="B3" s="178" t="s">
        <v>104</v>
      </c>
      <c r="C3" s="178" t="s">
        <v>105</v>
      </c>
      <c r="D3" s="178" t="s">
        <v>106</v>
      </c>
      <c r="E3" s="179" t="str">
        <f>"RevokeAccess"&amp;"=MDautoExpire(C2)"</f>
        <v>RevokeAccess=MDautoExpire(C2)</v>
      </c>
      <c r="F3" s="178" t="s">
        <v>107</v>
      </c>
      <c r="G3" s="180" t="s">
        <v>108</v>
      </c>
    </row>
    <row r="4" spans="1:21" ht="15.75" customHeight="1">
      <c r="A4" s="181">
        <v>1</v>
      </c>
      <c r="B4" s="167" t="str">
        <f t="shared" ref="B4:B11" ca="1" si="0">"Div "&amp;A4&amp;": DIVE REP ONLY Click to Open D"&amp;A4&amp;" Meet Sheet "&amp;TEXT(LEFT(G4,FIND(",",G4)-1),"m/d/yyyy")&amp;" - hover then click!"</f>
        <v>Div 1: DIVE REP ONLY Click to Open D1 Meet Sheet 7/6/2021 - hover then click!</v>
      </c>
      <c r="C4" s="182" t="str">
        <f t="shared" ref="C4:C11" si="1">HYPERLINK("https://docs.google.com/spreadsheets/d/"&amp;F4, "https://docs.google.com/spreadsheets/d/"&amp;F4)</f>
        <v>https://docs.google.com/spreadsheets/d/13ebgQf9tNgbb27111dRlIMh9xUPpATxOvO14_itv3-Q</v>
      </c>
      <c r="D4" s="183" t="s">
        <v>109</v>
      </c>
      <c r="E4" s="184" t="str">
        <f t="shared" ref="E4:E11" si="2">"  MDautoExpire('"&amp;SUBSTITUTE(C4,"https://drive.google.com/open?id=","https://docs.google.com/spreadsheets/d/")&amp;"'); //D"&amp;A4&amp;" "&amp;TEXT(J4,"mm/dd/yyyy")</f>
        <v xml:space="preserve">  MDautoExpire('https://docs.google.com/spreadsheets/d/13ebgQf9tNgbb27111dRlIMh9xUPpATxOvO14_itv3-Q'); //D1 01/00/1900</v>
      </c>
      <c r="F4" s="185" t="s">
        <v>110</v>
      </c>
      <c r="G4" s="186" t="str">
        <f ca="1">IFERROR(__xludf.DUMMYFUNCTION("textjoin("","", true, importrange(C4,SUBSTITUTE(SUBSTITUTE(D4,""300"",""3""),""$u$"",""$R$"")))"),"7/6/2021,NVSL DIVING MEET RESULTS,Div,1,Link,Home Team,Score,Err,Visiting Team,Score,1,1,VW-Vienna Woods,28,0,vs,DL-Dunn Loring,44,2,2,OKM-Old Keene Mill,46,1,vs,SR-Sideburn Run,25,3,3,O-Overlee,39,0,vs,THA-Truro Homes Assn,32,Results Form #,1,Date,7/6/20"&amp;"21,* These results are calculated automatically and are non-editable,Report Status,10-Finalized,Home Team,VW-Vienna Woods,VW,Visiting Team,DL-Dunn Loring,Score,28,Score,44,H,V,FG,Freshman Girls,1,8,FB,Freshman Boys,JG,Junior Girls,0,9,JB,Junior Boys,IG,In"&amp;"termediate Girls,5,4,IB,Intermediate Boys,SG,Senior Girls,1,8,SB,Senior Boys,TOTALS,7,29,TOTALS,FG,Place,Freshman Girls,Score,Team,H,V,FB,Place,Freshman Boys,Score,Team,FG,1,Erin Martonik,67.05,DL,5,FB,1,George Miller,81.15,DL,FG,2,Marie Eisele,56.50,DL,3"&amp;",FB,2,Noah Kim,57.20,VW,FG,3,Reagan Nolan,48.90,VW,1,FB,3,Theodore Hathaway,55.10,VW,FG,4,Libby Wigglesworth,47.50,VW,FB,4,Timothy Hazzard,41.65,VW,FG,5,Claire Keating,39.80,VW,FB,5,Ryan Hermann,38.70,VW,FG,6,Alaina Ramella,33.55,DL,FB,6,Jacob Yang,34.00,"&amp;"DL,FG,7,Elise Esquivel,31.95,DL,FB,7,Jeremy Yang,33.45,DL,FG,8,Quinn Baskett,31.80,DL,FB,8,Zouli Alexandratos,33.05,DL,FG,9,Isabella Falsone,30.65,DL,FG,10,Ava Ramella,27.25,DL,Freshman Girls TOTALS,1,8,Freshman Boys TOTALS,JG,Place,Junior Girls,Score,Tea"&amp;"m,H,V,JB,Place,Junior Boys,Score,Team,JG,1,Kiran Vasudevan,98.40,DL,5,JB,1,Peyton Reed,132.70,DL,JG,2,Sophie Ratner,89.30,DL,3,JB,2,Zachary Wigglesworth,89.85,VW,JG,3,Asha Stewart,84.95,DL,1,JB,3,Joshua Taliaferro,88.30,DL,JG,4,Jayde Kalinock,84.40,VW,JB,"&amp;"4,Luke Atkins,85.60,VW,JG,5,Sophie Bourdelais,75.90,VW,JB,5,Everett Weedman,81.65,VW,JG,6,Kaitlyn Herrmann,68.05,VW,JB,6,Elliott Lam,75.80,DL,JB,7,Declan Hathaway,71.75,VW,Junior Girls TOTALS,0,9,Junior Boys TOTALS,IG,Place,Intermediate Girls,Score,Team,H"&amp;",V,IB,Place,Intermediate Boys,Score,Team,IG,1,Marleigh daSilva,184.70,VW,5,IB,1,Ivor Brown,176.15,VW,IG,2,Ashley Scinto,100.60,DL,3,IB,2,Dylan Paci,139.95,VW,IG,3,Audrey Burns,100.40,DL,1,IB,3,Mike DeSando,114.90,DL,IG,4,Jenna Walker,96.15,VW,IB,4,Dylan K"&amp;"alinock,113.05,VW,IB,5,John Hatchl,111.55,DL,Intermediate Girls TOTALS,5,4,Intermediate Boys TOTALS,SG,Place,Senior Girls,Score,Team,H,V,SB,Place,Senior Boys,Score,Team,SG,1,Elsa Marsden,185.25,DL,5,SB,1,Nick Wanzer,269.20,VW,SG,2,Alanna Korff,176.25,DL,3"&amp;",SB,2,Spencer Bloom,251.70,DL,SG,3,Jessica Fritsch,158.90,VW,1,SB,3,Noah Wanzer,228.90,VW,SG,4,Olivia Bloom,141.00,DL,SB,4,Rishi Vasudevan,157.45,DL,Senior Girls TOTALS,1,8,Senior Boys TOTALS,Judges,Referee,Noah Paci,Joe Fritsch, Gillian Backus, Sonya Mar"&amp;"sden, Emily Korff, David Bloom,Meet Secretary,Rachel Paci,Home Team Secretary,Visiting Team Secretary,Sonya Marsden,Home Team Comments,Visiting Team Comments,One diver was given a zero when the diver hit the board. One judge, Sonya Marsden, thought that m"&amp;"eant the dive was failed and gave it a zero, but the ref did not agree. Ms. Marsden was wrong, but that score did not change the results of the meet because the diver still got 1st place. Jim Sweeder was consulted after the fact and said no changes need t"&amp;"o be made.,Results Form #,2,Date,7/6/2021,* These results are calculated automatically and are non-editable,Report Status,10-Finalized,Home Team,OKM-Old Keene Mill,OKM,Visiting Team,SR-Sideburn Run,Score,46,Score,25,H,V,FG,Freshman Girls,9,0,FB,Freshman B"&amp;"oys,JG,Junior Girls,6,3,JB,Junior Boys,IG,Intermediate Girls,4,5,IB,Intermediate Boys,SG,Senior Girls,4,5,SB,Senior Boys,TOTALS,23,13,TOTALS,FG,Place,Freshman Girls,Score,Team,H,V,FB,Place,Freshman Boys,Score,Team,FG,1,Anya Osterhout,74.85,OKM,5,FB,1,Dyla"&amp;"n Wilson,55.55,SR,FG,2,Vivian Lightfoot,65.95,OKM,3,FB,2,Charles Rubino,55.40,OKM,FG,3,Shannon Stegmaier,61.10,OKM,1,FB,3,Jake Conquez,49.50,OKM,FG,4,Samantha Kluger,60.00,OKM,FB,4,Bryan Markey,43.15,SR,FG,5,Cora Bellomo,43.75,SR,FB,5,Alden Meholic,42.20,"&amp;"SR,FG,6,Kendall Wilson,33.90,SR,FB,6,Luke Nobles,42.05,OKM,FG,7,Lydia Danielsen,27.25,SR,FB,7,Matthews Hughes,40.90,OKM,FG,8,Caroline Wilson,24.75,SR,FB,8,Treyton Green,31.70,OKM,FG,9,Juliette Baldesi,20.95,OKM,FG,10,Caroline Markey,14.00,SR,Freshman Girl"&amp;"s TOTALS,9,0,Freshman Boys TOTALS,JG,Place,Junior Girls,Score,Team,H,V,JB,Place,Junior Boys,Score,Team,JG,1,Caroline Copes,75.70,OKM,5,JB,1,Miles Teague,57.45,OKM,JG,2,Karly Proulx,72.75,SR,3,JB,2,Brian Stegmaier,53.25,OKM,JG,3,Paige Kiddey,66.25,OKM,1,JG"&amp;",4,Abby Swartz,61.10,OKM,JG,5,Abby West,48.85,OKM,Junior Girls TOTALS,6,3,Junior Boys TOTALS,IG,Place,Intermediate Girls,Score,Team,H,V,IB,Place,Intermediate Boys,Score,Team,IG,1,Alyssa Proulx,133.80,SR,5,IB,1,Zavier Green,94.90,OKM,IG,2,Lindsay Kawane,92"&amp;".55,OKM,3,IB,2,Tyler Nelson,72.20,SR,IG,3,Olivia Osterhout,64.15,OKM,1,IB,3,Walker Littleton,63.50,SR,IB,4,Joseph Markey,53.15,SR,IB,5,Sean Walter,52.70,SR,Intermediate Girls TOTALS,4,5,Intermediate Boys TOTALS,SG,Place,Senior Girls,Score,Team,H,V,SB,Plac"&amp;"e,Senior Boys,Score,Team,SG,1,Amanda Stalfort,272.75,SR,5,SB,1,Liam MIller,260.10,OKM,SG,2,Cara DeJesus,219.15,OKM,3,SB,2,Sam Flory,222.50,SR,SG,3,Sania Dhond,165.95,OKM,1,SB,3,Thomas Hughes,187.00,OKM,SG,4,Meghan Shivik,159.30,SR,SB,4,JP Wiluz,179.55,OKM"&amp;",SG,5,Anna Littleton,134.15,SR,SB,5,Chris Suppa,176.90,SR,SG,6,Reagan McHugh,99.75,SR,SB,6,Adam Osterhout,147.80,OKM,SB,7,Matthew Gelles,127.20,SR,SB,8,Matthew Mitros,106.55,SR,Senior Girls TOTALS,4,5,Senior Boys TOTALS,Judges,Referee,Lee Bowersox,Mark Mi"&amp;"ller, Crystal DeJesus, Jim McHugh, Marian Littleton, John Mitros,Meet Secretary,Sean Stegmaier,Home Team Secretary,Sean Stegmaier,Visiting Team Secretary,Shannon Asko-Danielsen,Home Team Comments,Visiting Team Comments,Results Form #,3,Date,7/6/2021,* The"&amp;"se results are calculated automatically and are non-editable,Report Status,10-Finalized,Home Team,O-Overlee,O,Visiting Team,THA-Truro Homes Assn,Score,39,Score,32,H,V,FG,Freshman Girls,9,0,FB,Freshman Boys,JG,Junior Girls,6,3,JB,Junior Boys,IG,Intermediat"&amp;"e Girls,8,1,IB,Intermediate Boys,SG,Senior Girls,6,3,SB,Senior Boys,TOTALS,29,7,TOTALS,FG,Place,Freshman Girls,Score,Team,H,V,FB,Place,Freshman Boys,Score,Team,FG,1,Cecilia Yen,77.70,O,5,FB,1,Peter Lucado,52.05,THA,FG,2,Elizabeth Deegan,64.95,O,3,FB,2,Arc"&amp;"her Kouhestani,50.50,O,FG,3,Anabel Buczek,59.25,O,1,FB,3,Jasper Eng,44.35,THA,FG,4,Ainslee Girard,49.30,THA,FB,4,Theodore Karlton,42.55,O,FG,5,Josephine Malko,47.60,O,FB,5,Ewan Girard,26.95,THA,FG,6,Gabopha So,45.35,THA,FB,6,Owen McKeever,19.85,THA,FG,7,K"&amp;"enly McAllister,43.70,O,FG,8,Eleanor Albosta,32.95,THA,FG,9,Ava McKeever,29.55,THA,FG,10,Lily Robinson,28.05,THA,FG,11,Sofia Dalilaltojari,24.05,THA,Freshman Girls TOTALS,9,0,Freshman Boys TOTALS,JG,Place,Junior Girls,Score,Team,H,V,JB,Place,Junior Boys,S"&amp;"core,Team,JG,1,Georgette Malko,81.75,O,5,JB,1,Madison Worthington,93.45,THA,JG,2,Bryce Burton,74.90,THA,3,JB,2,Joseph Mangan,87.30,THA,JG,3,Maren Akst,66.25,O,1,JB,3,Haynes Deegan,76.25,O,JG,4,Lauren Alboum,62.75,O,JB,4,Matias Grundmann,66.80,O,JG,5,Anna "&amp;"Dober,57.55,O,JB,5,Jake Hedrick,66.60,THA,JG,6,Elsa Barzilai,56.85,THA,JG,7,Margo Eskovitz,45.10,O,Junior Girls TOTALS,6,3,Junior Boys TOTALS,IG,Place,Intermediate Girls,Score,Team,H,V,IB,Place,Intermediate Boys,Score,Team,IG,1,Stella Barclay,148.95,O,5,^"&amp;",IB,1,Rem Turatbekov,180.10,THA,IG,2,Sophie Deegan,113.45,O,3,IB,2,Nathan Cohen,103.75,O,IG,3,Celeste Lucado,101.00,THA,1,^,IB,3,Brady Lynch,86.05,THA,Intermediate Girls TOTALS,8,1,Intermediate Boys TOTALS,SG,Place,Senior Girls,Score,Team,H,V,SB,Place,Sen"&amp;"ior Boys,Score,Team,SG,1,Michayla Eisenberg,230.10,O,5,^,SB,1,Batyr Turatbekov,149.55,THA,SG,2,Ava Dunn,219.55,THA,3,SB,2,Christopher Cobey,133.10,O,SG,3,Libby Moir,195.90,O,1,SG,4,Emily Gamber,120.20,THA,Senior Girls TOTALS,6,3,Senior Boys TOTALS,Judges,"&amp;"Referee,Roger Raber,Annie Yen, Meghan Hamby, Mel Worthington, Mike Mangan, Brandon Lucado,Meet Secretary,Whitney Cobey,Home Team Secretary,Whitney Cobey,Visiting Team Secretary,Mel Worthington,Home Team Comments,Visiting Team Comments")</f>
        <v>7/6/2021,NVSL DIVING MEET RESULTS,Div,1,Link,Home Team,Score,Err,Visiting Team,Score,1,1,VW-Vienna Woods,28,0,vs,DL-Dunn Loring,44,2,2,OKM-Old Keene Mill,46,1,vs,SR-Sideburn Run,25,3,3,O-Overlee,39,0,vs,THA-Truro Homes Assn,32,Results Form #,1,Date,7/6/2021,* These results are calculated automatically and are non-editable,Report Status,10-Finalized,Home Team,VW-Vienna Woods,VW,Visiting Team,DL-Dunn Loring,Score,28,Score,44,H,V,FG,Freshman Girls,1,8,FB,Freshman Boys,JG,Junior Girls,0,9,JB,Junior Boys,IG,Intermediate Girls,5,4,IB,Intermediate Boys,SG,Senior Girls,1,8,SB,Senior Boys,TOTALS,7,29,TOTALS,FG,Place,Freshman Girls,Score,Team,H,V,FB,Place,Freshman Boys,Score,Team,FG,1,Erin Martonik,67.05,DL,5,FB,1,George Miller,81.15,DL,FG,2,Marie Eisele,56.50,DL,3,FB,2,Noah Kim,57.20,VW,FG,3,Reagan Nolan,48.90,VW,1,FB,3,Theodore Hathaway,55.10,VW,FG,4,Libby Wigglesworth,47.50,VW,FB,4,Timothy Hazzard,41.65,VW,FG,5,Claire Keating,39.80,VW,FB,5,Ryan Hermann,38.70,VW,FG,6,Alaina Ramella,33.55,DL,FB,6,Jacob Yang,34.00,DL,FG,7,Elise Esquivel,31.95,DL,FB,7,Jeremy Yang,33.45,DL,FG,8,Quinn Baskett,31.80,DL,FB,8,Zouli Alexandratos,33.05,DL,FG,9,Isabella Falsone,30.65,DL,FG,10,Ava Ramella,27.25,DL,Freshman Girls TOTALS,1,8,Freshman Boys TOTALS,JG,Place,Junior Girls,Score,Team,H,V,JB,Place,Junior Boys,Score,Team,JG,1,Kiran Vasudevan,98.40,DL,5,JB,1,Peyton Reed,132.70,DL,JG,2,Sophie Ratner,89.30,DL,3,JB,2,Zachary Wigglesworth,89.85,VW,JG,3,Asha Stewart,84.95,DL,1,JB,3,Joshua Taliaferro,88.30,DL,JG,4,Jayde Kalinock,84.40,VW,JB,4,Luke Atkins,85.60,VW,JG,5,Sophie Bourdelais,75.90,VW,JB,5,Everett Weedman,81.65,VW,JG,6,Kaitlyn Herrmann,68.05,VW,JB,6,Elliott Lam,75.80,DL,JB,7,Declan Hathaway,71.75,VW,Junior Girls TOTALS,0,9,Junior Boys TOTALS,IG,Place,Intermediate Girls,Score,Team,H,V,IB,Place,Intermediate Boys,Score,Team,IG,1,Marleigh daSilva,184.70,VW,5,IB,1,Ivor Brown,176.15,VW,IG,2,Ashley Scinto,100.60,DL,3,IB,2,Dylan Paci,139.95,VW,IG,3,Audrey Burns,100.40,DL,1,IB,3,Mike DeSando,114.90,DL,IG,4,Jenna Walker,96.15,VW,IB,4,Dylan Kalinock,113.05,VW,IB,5,John Hatchl,111.55,DL,Intermediate Girls TOTALS,5,4,Intermediate Boys TOTALS,SG,Place,Senior Girls,Score,Team,H,V,SB,Place,Senior Boys,Score,Team,SG,1,Elsa Marsden,185.25,DL,5,SB,1,Nick Wanzer,269.20,VW,SG,2,Alanna Korff,176.25,DL,3,SB,2,Spencer Bloom,251.70,DL,SG,3,Jessica Fritsch,158.90,VW,1,SB,3,Noah Wanzer,228.90,VW,SG,4,Olivia Bloom,141.00,DL,SB,4,Rishi Vasudevan,157.45,DL,Senior Girls TOTALS,1,8,Senior Boys TOTALS,Judges,Referee,Noah Paci,Joe Fritsch, Gillian Backus, Sonya Marsden, Emily Korff, David Bloom,Meet Secretary,Rachel Paci,Home Team Secretary,Visiting Team Secretary,Sonya Marsden,Home Team Comments,Visiting Team Comments,One diver was given a zero when the diver hit the board. One judge, Sonya Marsden, thought that meant the dive was failed and gave it a zero, but the ref did not agree. Ms. Marsden was wrong, but that score did not change the results of the meet because the diver still got 1st place. Jim Sweeder was consulted after the fact and said no changes need to be made.,Results Form #,2,Date,7/6/2021,* These results are calculated automatically and are non-editable,Report Status,10-Finalized,Home Team,OKM-Old Keene Mill,OKM,Visiting Team,SR-Sideburn Run,Score,46,Score,25,H,V,FG,Freshman Girls,9,0,FB,Freshman Boys,JG,Junior Girls,6,3,JB,Junior Boys,IG,Intermediate Girls,4,5,IB,Intermediate Boys,SG,Senior Girls,4,5,SB,Senior Boys,TOTALS,23,13,TOTALS,FG,Place,Freshman Girls,Score,Team,H,V,FB,Place,Freshman Boys,Score,Team,FG,1,Anya Osterhout,74.85,OKM,5,FB,1,Dylan Wilson,55.55,SR,FG,2,Vivian Lightfoot,65.95,OKM,3,FB,2,Charles Rubino,55.40,OKM,FG,3,Shannon Stegmaier,61.10,OKM,1,FB,3,Jake Conquez,49.50,OKM,FG,4,Samantha Kluger,60.00,OKM,FB,4,Bryan Markey,43.15,SR,FG,5,Cora Bellomo,43.75,SR,FB,5,Alden Meholic,42.20,SR,FG,6,Kendall Wilson,33.90,SR,FB,6,Luke Nobles,42.05,OKM,FG,7,Lydia Danielsen,27.25,SR,FB,7,Matthews Hughes,40.90,OKM,FG,8,Caroline Wilson,24.75,SR,FB,8,Treyton Green,31.70,OKM,FG,9,Juliette Baldesi,20.95,OKM,FG,10,Caroline Markey,14.00,SR,Freshman Girls TOTALS,9,0,Freshman Boys TOTALS,JG,Place,Junior Girls,Score,Team,H,V,JB,Place,Junior Boys,Score,Team,JG,1,Caroline Copes,75.70,OKM,5,JB,1,Miles Teague,57.45,OKM,JG,2,Karly Proulx,72.75,SR,3,JB,2,Brian Stegmaier,53.25,OKM,JG,3,Paige Kiddey,66.25,OKM,1,JG,4,Abby Swartz,61.10,OKM,JG,5,Abby West,48.85,OKM,Junior Girls TOTALS,6,3,Junior Boys TOTALS,IG,Place,Intermediate Girls,Score,Team,H,V,IB,Place,Intermediate Boys,Score,Team,IG,1,Alyssa Proulx,133.80,SR,5,IB,1,Zavier Green,94.90,OKM,IG,2,Lindsay Kawane,92.55,OKM,3,IB,2,Tyler Nelson,72.20,SR,IG,3,Olivia Osterhout,64.15,OKM,1,IB,3,Walker Littleton,63.50,SR,IB,4,Joseph Markey,53.15,SR,IB,5,Sean Walter,52.70,SR,Intermediate Girls TOTALS,4,5,Intermediate Boys TOTALS,SG,Place,Senior Girls,Score,Team,H,V,SB,Place,Senior Boys,Score,Team,SG,1,Amanda Stalfort,272.75,SR,5,SB,1,Liam MIller,260.10,OKM,SG,2,Cara DeJesus,219.15,OKM,3,SB,2,Sam Flory,222.50,SR,SG,3,Sania Dhond,165.95,OKM,1,SB,3,Thomas Hughes,187.00,OKM,SG,4,Meghan Shivik,159.30,SR,SB,4,JP Wiluz,179.55,OKM,SG,5,Anna Littleton,134.15,SR,SB,5,Chris Suppa,176.90,SR,SG,6,Reagan McHugh,99.75,SR,SB,6,Adam Osterhout,147.80,OKM,SB,7,Matthew Gelles,127.20,SR,SB,8,Matthew Mitros,106.55,SR,Senior Girls TOTALS,4,5,Senior Boys TOTALS,Judges,Referee,Lee Bowersox,Mark Miller, Crystal DeJesus, Jim McHugh, Marian Littleton, John Mitros,Meet Secretary,Sean Stegmaier,Home Team Secretary,Sean Stegmaier,Visiting Team Secretary,Shannon Asko-Danielsen,Home Team Comments,Visiting Team Comments,Results Form #,3,Date,7/6/2021,* These results are calculated automatically and are non-editable,Report Status,10-Finalized,Home Team,O-Overlee,O,Visiting Team,THA-Truro Homes Assn,Score,39,Score,32,H,V,FG,Freshman Girls,9,0,FB,Freshman Boys,JG,Junior Girls,6,3,JB,Junior Boys,IG,Intermediate Girls,8,1,IB,Intermediate Boys,SG,Senior Girls,6,3,SB,Senior Boys,TOTALS,29,7,TOTALS,FG,Place,Freshman Girls,Score,Team,H,V,FB,Place,Freshman Boys,Score,Team,FG,1,Cecilia Yen,77.70,O,5,FB,1,Peter Lucado,52.05,THA,FG,2,Elizabeth Deegan,64.95,O,3,FB,2,Archer Kouhestani,50.50,O,FG,3,Anabel Buczek,59.25,O,1,FB,3,Jasper Eng,44.35,THA,FG,4,Ainslee Girard,49.30,THA,FB,4,Theodore Karlton,42.55,O,FG,5,Josephine Malko,47.60,O,FB,5,Ewan Girard,26.95,THA,FG,6,Gabopha So,45.35,THA,FB,6,Owen McKeever,19.85,THA,FG,7,Kenly McAllister,43.70,O,FG,8,Eleanor Albosta,32.95,THA,FG,9,Ava McKeever,29.55,THA,FG,10,Lily Robinson,28.05,THA,FG,11,Sofia Dalilaltojari,24.05,THA,Freshman Girls TOTALS,9,0,Freshman Boys TOTALS,JG,Place,Junior Girls,Score,Team,H,V,JB,Place,Junior Boys,Score,Team,JG,1,Georgette Malko,81.75,O,5,JB,1,Madison Worthington,93.45,THA,JG,2,Bryce Burton,74.90,THA,3,JB,2,Joseph Mangan,87.30,THA,JG,3,Maren Akst,66.25,O,1,JB,3,Haynes Deegan,76.25,O,JG,4,Lauren Alboum,62.75,O,JB,4,Matias Grundmann,66.80,O,JG,5,Anna Dober,57.55,O,JB,5,Jake Hedrick,66.60,THA,JG,6,Elsa Barzilai,56.85,THA,JG,7,Margo Eskovitz,45.10,O,Junior Girls TOTALS,6,3,Junior Boys TOTALS,IG,Place,Intermediate Girls,Score,Team,H,V,IB,Place,Intermediate Boys,Score,Team,IG,1,Stella Barclay,148.95,O,5,^,IB,1,Rem Turatbekov,180.10,THA,IG,2,Sophie Deegan,113.45,O,3,IB,2,Nathan Cohen,103.75,O,IG,3,Celeste Lucado,101.00,THA,1,^,IB,3,Brady Lynch,86.05,THA,Intermediate Girls TOTALS,8,1,Intermediate Boys TOTALS,SG,Place,Senior Girls,Score,Team,H,V,SB,Place,Senior Boys,Score,Team,SG,1,Michayla Eisenberg,230.10,O,5,^,SB,1,Batyr Turatbekov,149.55,THA,SG,2,Ava Dunn,219.55,THA,3,SB,2,Christopher Cobey,133.10,O,SG,3,Libby Moir,195.90,O,1,SG,4,Emily Gamber,120.20,THA,Senior Girls TOTALS,6,3,Senior Boys TOTALS,Judges,Referee,Roger Raber,Annie Yen, Meghan Hamby, Mel Worthington, Mike Mangan, Brandon Lucado,Meet Secretary,Whitney Cobey,Home Team Secretary,Whitney Cobey,Visiting Team Secretary,Mel Worthington,Home Team Comments,Visiting Team Comments</v>
      </c>
      <c r="H4" s="187"/>
    </row>
    <row r="5" spans="1:21" ht="15.75" customHeight="1">
      <c r="A5" s="181">
        <v>2</v>
      </c>
      <c r="B5" s="167" t="str">
        <f t="shared" si="0"/>
        <v>Div 2: DIVE REP ONLY Click to Open D2 Meet Sheet 7/6/2021 - hover then click!</v>
      </c>
      <c r="C5" s="182" t="str">
        <f t="shared" si="1"/>
        <v>https://docs.google.com/spreadsheets/d/1VivaHML9ZtZDzbh0b_sm0qrKGySWE3Io5mkW44NPiv4</v>
      </c>
      <c r="D5" s="183" t="s">
        <v>109</v>
      </c>
      <c r="E5" s="184" t="str">
        <f t="shared" si="2"/>
        <v xml:space="preserve">  MDautoExpire('https://docs.google.com/spreadsheets/d/1VivaHML9ZtZDzbh0b_sm0qrKGySWE3Io5mkW44NPiv4'); //D2 01/00/1900</v>
      </c>
      <c r="F5" s="185" t="s">
        <v>111</v>
      </c>
      <c r="G5" s="186" t="s">
        <v>125</v>
      </c>
      <c r="H5" s="187"/>
    </row>
    <row r="6" spans="1:21" ht="15.75" customHeight="1">
      <c r="A6" s="181">
        <v>3</v>
      </c>
      <c r="B6" s="167" t="str">
        <f t="shared" si="0"/>
        <v>Div 3: DIVE REP ONLY Click to Open D3 Meet Sheet 7/6/2021 - hover then click!</v>
      </c>
      <c r="C6" s="182" t="str">
        <f t="shared" si="1"/>
        <v>https://docs.google.com/spreadsheets/d/1DkptsSLAygEe8_EjSiLX5nA6Q5Xo2E5Lz8FrjVyx8nE</v>
      </c>
      <c r="D6" s="183" t="s">
        <v>109</v>
      </c>
      <c r="E6" s="184" t="str">
        <f t="shared" si="2"/>
        <v xml:space="preserve">  MDautoExpire('https://docs.google.com/spreadsheets/d/1DkptsSLAygEe8_EjSiLX5nA6Q5Xo2E5Lz8FrjVyx8nE'); //D3 01/00/1900</v>
      </c>
      <c r="F6" s="185" t="s">
        <v>112</v>
      </c>
      <c r="G6" s="186" t="s">
        <v>126</v>
      </c>
      <c r="H6" s="187"/>
    </row>
    <row r="7" spans="1:21" ht="15.75" customHeight="1">
      <c r="A7" s="181">
        <v>4</v>
      </c>
      <c r="B7" s="167" t="str">
        <f t="shared" ca="1" si="0"/>
        <v>Div 4: DIVE REP ONLY Click to Open D4 Meet Sheet 7/6/2021 - hover then click!</v>
      </c>
      <c r="C7" s="182" t="str">
        <f t="shared" si="1"/>
        <v>https://docs.google.com/spreadsheets/d/1Ka3fHW9hawNoKb8VsuINfkV5iX_dAU-sbZtrVd54qKI</v>
      </c>
      <c r="D7" s="183" t="s">
        <v>109</v>
      </c>
      <c r="E7" s="184" t="str">
        <f t="shared" si="2"/>
        <v xml:space="preserve">  MDautoExpire('https://docs.google.com/spreadsheets/d/1Ka3fHW9hawNoKb8VsuINfkV5iX_dAU-sbZtrVd54qKI'); //D4 01/00/1900</v>
      </c>
      <c r="F7" s="185" t="s">
        <v>113</v>
      </c>
      <c r="G7" s="186" t="str">
        <f ca="1">IFERROR(__xludf.DUMMYFUNCTION("textjoin("","", true, importrange(C7,SUBSTITUTE(SUBSTITUTE(D7,""300"",""3""),""$u$"",""$R$"")))"),"7/6/2021,NVSL DIVING MEET RESULTS,Div,4,Link,Home Team,Score,Visiting Team,Score,1,1,HS-Highlands Swim,32,0,vs,WC-Wakefield Chapel,36,2,2,T-Tuckahoe,33,0,vs,CB-Chesterbrook,35,3,3,DH-Dominion Hills,30,0,vs,HF-Hayfield Farm,42,Results Form #,1,Date,7/6/202"&amp;"1,* These results are calculated automatically and are non-editable,Report Status,10-Finalized,Home Team,HS-Highlands Swim,HS,Visiting Team,WC-Wakefield Chapel,Score,32,Score,36,H,V,FG,Freshman Girls,0,9,FB,Freshman Boys,JG,Junior Girls,8,1,JB,Junior Boys"&amp;",IG,Intermediate Girls,6,3,IB,Intermediate Boys,SG,Senior Girls,9,0,SB,Senior Boys,TOTALS,23,13,TOTALS,FG,Place,Freshman Girls,Score,Team,H,V,FB,Place,Freshman Boys,Score,Team,FG,1,Annabelle Ebaugh,68.90,WC,5,FB,1,Sullivan McNamara,65.30,WC,FG,2,Joelle Sa"&amp;"unders,64.10,WC,3,FB,2,Franklin Fiske,43.10,HS,FG,3,Emily Fay,63.50,WC,1,FB,3,Azadi Castellano,42.80,HS,FG,4,Emilia Vayra,58.60,HS,FB,4,Garrett Mansuy,41.60,WC,FG,5,Eva Negrelli,57.50,WC,FB,5,Randolph Shults,41.40,WC,FG,6,Julia Paukovits,57.30,HS,FB,6,Fau"&amp;"stino Fredes,36.10,HS,FG,7,Lily Verne,49.70,WC,FG,8,Eleanor Manos,47.60,WC,FG,9,Aspen Rose Abruzzese,42.30,HS,FG,10,Lydia Bremer,40.90,WC,FG,11,Erin Grinnell,40.40,WC,FG,12,Lily Kissinger,37.30,HS,FG,13,Annelise Saunders,30.90,WC,Freshman Girls TOTALS,0,9"&amp;",Freshman Boys TOTALS,JG,Place,Junior Girls,Score,Team,H,V,JB,Place,Junior Boys,Score,Team,JG,1,Olivia Berik,111.40,HS,5,^,JB,1,Seamus McNamara,120.20,WC,JG,2,Charlotte Berik,86.70,HS,3,JB,2,John Paul Kissinger,76.80,HS,JG,3,Madison Ebaugh,82.00,WC,1,JB,3"&amp;",John Berik,73.70,HS,JG,4,Charlotte Fay,80.20,WC,JB,4,Walter Shiu,50.00,HS,JG,5,Madeline Roche,72.20,HS,Junior Girls TOTALS,8,1,Junior Boys TOTALS,IG,Place,Intermediate Girls,Score,Team,H,V,IB,Place,Intermediate Boys,Score,Team,IG,1,Norah Kissinger,128.90"&amp;",HS,5,IB,1,Matthew Lazo-Kaser,93.70,WC,IG,2,Alexa Mansuy,117.80,WC,3,^,IG,3,Elena Marques-Davila,99.10,HS,1,IG,4,Isabel Karam,77.60,HS,^,Intermediate Girls TOTALS,6,3,Intermediate Boys TOTALS,SG,Place,Senior Girls,Score,Team,H,V,SB,Place,Senior Boys,Score"&amp;",Team,SG,1,Meghan Kissinger,152.60,HS,5,SB,1,Nathaniel Grannis,244.90,WC,SG,2,Erin Wills,152.20,HS,3,SB,2,Sean Binning,217.90,WC,SG,3,Karenna Keane,140.30,HS,1,SB,3,Tanner Moore,213.90,HS,SB,4,Aidan Thomas,210.70,WC,SB,5,Zachary Abruzzese,105.00,HS,Senior"&amp;" Girls TOTALS,9,0,Senior Boys TOTALS,Judges,Referee,Neil Wills,Mike Moore, Neil Wills, David Grannis, Stephanie McNamara, Karl Kaser,Meet Secretary,Wendy Simon,Home Team Secretary,Wendy Simon,Visiting Team Secretary,David Grannis,Home Team Comments,Visiti"&amp;"ng Team Comments,He is added.,Mispelling of first name of Annelise Sanders on the White Sheet.""Amelia Sanders"" should be Annelise Sanders. Pls correct the white sheet before sending to Div 4 coordinator,Results Form #,2,Date,7/6/2021,* These results are"&amp;" calculated automatically and are non-editable,Report Status,10-Finalized,Home Team,T-Tuckahoe,T,Visiting Team,CB-Chesterbrook,Score,33,Score,35,H,V,FG,Freshman Girls,4,5,FB,Freshman Boys,JG,Junior Girls,0,8,JB,Junior Boys,IG,Intermediate Girls,3,6,IB,Int"&amp;"ermediate Boys,SG,Senior Girls,8,0,SB,Senior Boys,TOTALS,15,19,TOTALS,FG,Place,Freshman Girls,Score,Team,H,V,FB,Place,Freshman Boys,Score,Team,FG,1,Julianne Carle,76.75,CB,5,FB,1,Jack Zecher,51.10,CB,FG,2,Chaaya Springer,66.30,T,3,FB,2,Isaac Fonner,50.55,"&amp;"T,FG,3,Leah Bailey,64.85,T,1,FB,3,Isaac Shinskie,47.25,T,FG,4,Sloane Carle,62.50,CB,FB,4,Ben Engola,42.85,T,FG,5,Emily Upp,57.90,T,FG,6,Evah Pho,55.80,CB,FG,7,Madeleine Philbin,54.50,CB,FG,8,Mary Moss,45.60,CB,FG,9,Nora Hall,43.20,T,Freshman Girls TOTALS,"&amp;"4,5,Freshman Boys TOTALS,JG,Place,Junior Girls,Score,Team,H,V,JB,Place,Junior Boys,Score,Team,JG,1,Elise Lucien,121.15,CB,5,JB,1,Jackson Thomas,127.15,T,JG,2,Erika Noreika,89.15,CB,3,JB,2,Gordon Anderson,102.50,CB,JB,3,Teddy Angelides,84.70,T,JB,4,Jakob W"&amp;"orkman,69.60,T,Junior Girls TOTALS,0,8,Junior Boys TOTALS,IG,Place,Intermediate Girls,Score,Team,H,V,IB,Place,Intermediate Boys,Score,Team,IG,1,Sarah Beach,145.05,CB,5,IB,1,Justin Upp,143.85,T,IG,2,Libby Hall,144.40,T,3,IB,2,Jaiden Saran,127.75,T,IG,3,Ell"&amp;"ie Mallard,119.75,CB,1,Intermediate Girls TOTALS,3,6,Intermediate Boys TOTALS,SG,Place,Senior Girls,Score,Team,H,V,SB,Place,Senior Boys,Score,Team,SG,1,Riya Saran,185.15,T,5,SB,1,Christopher Barnes,177.15,CB,SG,2,Sarina Saran,176.65,T,3,SB,2,Will Zimmerma"&amp;"n,150.45,CB,Senior Girls TOTALS,8,0,Senior Boys TOTALS,Judges,Referee,Atul Saran,Cindy Anderson, Doreen Moss, Atul Saran, Jenn Lager, Christine Hall,Meet Secretary,Tim Springer,Home Team Secretary,Tim Springer,Visiting Team Secretary,Jenn Lager,Home Team "&amp;"Comments,Visiting Team Comments,Validated corrections made per notes to the right hand column.,Left off Mary Moss 45.60 and her score was put in for Sloane Carle.  I corrected Sloane's score.  I corrected Elise Lucien's from 121.50 to 121.15.,Results Form"&amp;" #,3,Date,7/6/2021,* These results are calculated automatically and are non-editable,Report Status,10-Finalized,Home Team,DH-Dominion Hills,DH,Visiting Team,HF-Hayfield Farm,Score,30,Score,42,H,V,FG,Freshman Girls,0,9,FB,Freshman Boys,JG,Junior Girls,0,9,"&amp;"JB,Junior Boys,IG,Intermediate Girls,9,0,IB,Intermediate Boys,SG,Senior Girls,6,3,SB,Senior Boys,TOTALS,15,21,TOTALS,FG,Place,Freshman Girls,Score,Team,H,V,FB,Place,Freshman Boys,Score,Team,FG,1,Julianna Butler,67.20,HF,5,FB,1,Logan DiBenigno,74.75,DH,FG,"&amp;"2,Isabelle Quinn,53.05,HF,3,FB,2,Luke Peters,56.05,HF,FG,3,Q Perdue,52.75,HF,1,FB,3,Joe Mathieson,53.55,DH,FG,4,Helen Butler,49.80,DH,FB,4,Stone Perdue,48.45,HF,FG,5,Audrey Wheeler,47.55,DH,FB,5,Will Copes,47.15,HF,FG,6,Kate Payne,42.25,HF,FB,6,Thomas Dom"&amp;"browski,44.90,DH,FG,7,Madeleine Dombrowski,39.40,DH,FB,7,Oliver Klueber,36.85,HF,FG,8,Ava Kowalchick,31.10,HF,FB,8,Davis Carter,30.70,HF,FG,9,Molly Payne,30.80,HF,FB,9,Andrew Aldonas,28.40,DH,FG,10,Allie Pearson,29.45,HF,Freshman Girls TOTALS,0,9,Freshman"&amp;" Boys TOTALS,JG,Place,Junior Girls,Score,Team,H,V,JB,Place,Junior Boys,Score,Team,JG,1,Maeve McGuire,98.35,HF,5,JB,1,Reid Schwartz,94.55,DH,JG,2,Emma Kowalchick,82.80,HF,3,JB,2,Kellen Courtney,84.05,HF,JG,3,Clayre Payne,77.80,HF,1,JB,3,Zakir Chinoy,57.80,"&amp;"HF,JG,4,Olivia Maco,67.80,DH,^,JG,5,Hannah Ax,53.05,DH,JG,6,Hayden Shelton,48.10,DH,Junior Girls TOTALS,0,9,Junior Boys TOTALS,IG,Place,Intermediate Girls,Score,Team,H,V,IB,Place,Intermediate Boys,Score,Team,IG,1,Chloe Schwartz,83.05,DH,5,IB,1,Cooper Belt"&amp;",125.15,HF,IG,2,Morgan Shelton,80.05,DH,3,IB,2,Gavin Simpson,124.60,DH,IG,3,Paige Shelton,73.65,DH,1,IB,3,Sam Johnson,123.75,HF,IG,4,Abby Putnam,66.20,DH,IB,4,Sean Watson,91.05,HF,IB,5,George Brennan,88.60,HF,IB,6,Sandis Walker,74.20,DH,Intermediate Girls"&amp;" TOTALS,9,0,Intermediate Boys TOTALS,SG,Place,Senior Girls,Score,Team,H,V,SB,Place,Senior Boys,Score,Team,SG,1,Ellie Joyce,235.30,DH,5,SB,1,Fin Belt,160.75,HF,SG,2,Lucy Porter,179.05,HF,3,SB,2,Gavin Bergen-Hill,146.85,HF,SG,3,Riley Shelton,125.65,DH,1,SB,"&amp;"3,Luke DiBenigno,145.25,DH,SG,4,Ellie Potts,115.80,DH,SB,4,Luke Dangel,138.95,DH,SG,5,Dakota Bannach,111.35,DH,SB,5,Joseph Nixon,102.70,DH,Senior Girls TOTALS,6,3,Senior Boys TOTALS,Judges,Referee,Thomas Joyce,Thomas Joyce, Rachel Riley, Mike Schaeffer, J"&amp;"oe Belt, Sarah Kowalchick,Meet Secretary,Christina Potts,Home Team Secretary,Thomas Joyce,Visiting Team Secretary,Mary Mohney,Home Team Comments,Visiting Team Comments")</f>
        <v>7/6/2021,NVSL DIVING MEET RESULTS,Div,4,Link,Home Team,Score,Visiting Team,Score,1,1,HS-Highlands Swim,32,0,vs,WC-Wakefield Chapel,36,2,2,T-Tuckahoe,33,0,vs,CB-Chesterbrook,35,3,3,DH-Dominion Hills,30,0,vs,HF-Hayfield Farm,42,Results Form #,1,Date,7/6/2021,* These results are calculated automatically and are non-editable,Report Status,10-Finalized,Home Team,HS-Highlands Swim,HS,Visiting Team,WC-Wakefield Chapel,Score,32,Score,36,H,V,FG,Freshman Girls,0,9,FB,Freshman Boys,JG,Junior Girls,8,1,JB,Junior Boys,IG,Intermediate Girls,6,3,IB,Intermediate Boys,SG,Senior Girls,9,0,SB,Senior Boys,TOTALS,23,13,TOTALS,FG,Place,Freshman Girls,Score,Team,H,V,FB,Place,Freshman Boys,Score,Team,FG,1,Annabelle Ebaugh,68.90,WC,5,FB,1,Sullivan McNamara,65.30,WC,FG,2,Joelle Saunders,64.10,WC,3,FB,2,Franklin Fiske,43.10,HS,FG,3,Emily Fay,63.50,WC,1,FB,3,Azadi Castellano,42.80,HS,FG,4,Emilia Vayra,58.60,HS,FB,4,Garrett Mansuy,41.60,WC,FG,5,Eva Negrelli,57.50,WC,FB,5,Randolph Shults,41.40,WC,FG,6,Julia Paukovits,57.30,HS,FB,6,Faustino Fredes,36.10,HS,FG,7,Lily Verne,49.70,WC,FG,8,Eleanor Manos,47.60,WC,FG,9,Aspen Rose Abruzzese,42.30,HS,FG,10,Lydia Bremer,40.90,WC,FG,11,Erin Grinnell,40.40,WC,FG,12,Lily Kissinger,37.30,HS,FG,13,Annelise Saunders,30.90,WC,Freshman Girls TOTALS,0,9,Freshman Boys TOTALS,JG,Place,Junior Girls,Score,Team,H,V,JB,Place,Junior Boys,Score,Team,JG,1,Olivia Berik,111.40,HS,5,^,JB,1,Seamus McNamara,120.20,WC,JG,2,Charlotte Berik,86.70,HS,3,JB,2,John Paul Kissinger,76.80,HS,JG,3,Madison Ebaugh,82.00,WC,1,JB,3,John Berik,73.70,HS,JG,4,Charlotte Fay,80.20,WC,JB,4,Walter Shiu,50.00,HS,JG,5,Madeline Roche,72.20,HS,Junior Girls TOTALS,8,1,Junior Boys TOTALS,IG,Place,Intermediate Girls,Score,Team,H,V,IB,Place,Intermediate Boys,Score,Team,IG,1,Norah Kissinger,128.90,HS,5,IB,1,Matthew Lazo-Kaser,93.70,WC,IG,2,Alexa Mansuy,117.80,WC,3,^,IG,3,Elena Marques-Davila,99.10,HS,1,IG,4,Isabel Karam,77.60,HS,^,Intermediate Girls TOTALS,6,3,Intermediate Boys TOTALS,SG,Place,Senior Girls,Score,Team,H,V,SB,Place,Senior Boys,Score,Team,SG,1,Meghan Kissinger,152.60,HS,5,SB,1,Nathaniel Grannis,244.90,WC,SG,2,Erin Wills,152.20,HS,3,SB,2,Sean Binning,217.90,WC,SG,3,Karenna Keane,140.30,HS,1,SB,3,Tanner Moore,213.90,HS,SB,4,Aidan Thomas,210.70,WC,SB,5,Zachary Abruzzese,105.00,HS,Senior Girls TOTALS,9,0,Senior Boys TOTALS,Judges,Referee,Neil Wills,Mike Moore, Neil Wills, David Grannis, Stephanie McNamara, Karl Kaser,Meet Secretary,Wendy Simon,Home Team Secretary,Wendy Simon,Visiting Team Secretary,David Grannis,Home Team Comments,Visiting Team Comments,He is added.,Mispelling of first name of Annelise Sanders on the White Sheet."Amelia Sanders" should be Annelise Sanders. Pls correct the white sheet before sending to Div 4 coordinator,Results Form #,2,Date,7/6/2021,* These results are calculated automatically and are non-editable,Report Status,10-Finalized,Home Team,T-Tuckahoe,T,Visiting Team,CB-Chesterbrook,Score,33,Score,35,H,V,FG,Freshman Girls,4,5,FB,Freshman Boys,JG,Junior Girls,0,8,JB,Junior Boys,IG,Intermediate Girls,3,6,IB,Intermediate Boys,SG,Senior Girls,8,0,SB,Senior Boys,TOTALS,15,19,TOTALS,FG,Place,Freshman Girls,Score,Team,H,V,FB,Place,Freshman Boys,Score,Team,FG,1,Julianne Carle,76.75,CB,5,FB,1,Jack Zecher,51.10,CB,FG,2,Chaaya Springer,66.30,T,3,FB,2,Isaac Fonner,50.55,T,FG,3,Leah Bailey,64.85,T,1,FB,3,Isaac Shinskie,47.25,T,FG,4,Sloane Carle,62.50,CB,FB,4,Ben Engola,42.85,T,FG,5,Emily Upp,57.90,T,FG,6,Evah Pho,55.80,CB,FG,7,Madeleine Philbin,54.50,CB,FG,8,Mary Moss,45.60,CB,FG,9,Nora Hall,43.20,T,Freshman Girls TOTALS,4,5,Freshman Boys TOTALS,JG,Place,Junior Girls,Score,Team,H,V,JB,Place,Junior Boys,Score,Team,JG,1,Elise Lucien,121.15,CB,5,JB,1,Jackson Thomas,127.15,T,JG,2,Erika Noreika,89.15,CB,3,JB,2,Gordon Anderson,102.50,CB,JB,3,Teddy Angelides,84.70,T,JB,4,Jakob Workman,69.60,T,Junior Girls TOTALS,0,8,Junior Boys TOTALS,IG,Place,Intermediate Girls,Score,Team,H,V,IB,Place,Intermediate Boys,Score,Team,IG,1,Sarah Beach,145.05,CB,5,IB,1,Justin Upp,143.85,T,IG,2,Libby Hall,144.40,T,3,IB,2,Jaiden Saran,127.75,T,IG,3,Ellie Mallard,119.75,CB,1,Intermediate Girls TOTALS,3,6,Intermediate Boys TOTALS,SG,Place,Senior Girls,Score,Team,H,V,SB,Place,Senior Boys,Score,Team,SG,1,Riya Saran,185.15,T,5,SB,1,Christopher Barnes,177.15,CB,SG,2,Sarina Saran,176.65,T,3,SB,2,Will Zimmerman,150.45,CB,Senior Girls TOTALS,8,0,Senior Boys TOTALS,Judges,Referee,Atul Saran,Cindy Anderson, Doreen Moss, Atul Saran, Jenn Lager, Christine Hall,Meet Secretary,Tim Springer,Home Team Secretary,Tim Springer,Visiting Team Secretary,Jenn Lager,Home Team Comments,Visiting Team Comments,Validated corrections made per notes to the right hand column.,Left off Mary Moss 45.60 and her score was put in for Sloane Carle.  I corrected Sloane's score.  I corrected Elise Lucien's from 121.50 to 121.15.,Results Form #,3,Date,7/6/2021,* These results are calculated automatically and are non-editable,Report Status,10-Finalized,Home Team,DH-Dominion Hills,DH,Visiting Team,HF-Hayfield Farm,Score,30,Score,42,H,V,FG,Freshman Girls,0,9,FB,Freshman Boys,JG,Junior Girls,0,9,JB,Junior Boys,IG,Intermediate Girls,9,0,IB,Intermediate Boys,SG,Senior Girls,6,3,SB,Senior Boys,TOTALS,15,21,TOTALS,FG,Place,Freshman Girls,Score,Team,H,V,FB,Place,Freshman Boys,Score,Team,FG,1,Julianna Butler,67.20,HF,5,FB,1,Logan DiBenigno,74.75,DH,FG,2,Isabelle Quinn,53.05,HF,3,FB,2,Luke Peters,56.05,HF,FG,3,Q Perdue,52.75,HF,1,FB,3,Joe Mathieson,53.55,DH,FG,4,Helen Butler,49.80,DH,FB,4,Stone Perdue,48.45,HF,FG,5,Audrey Wheeler,47.55,DH,FB,5,Will Copes,47.15,HF,FG,6,Kate Payne,42.25,HF,FB,6,Thomas Dombrowski,44.90,DH,FG,7,Madeleine Dombrowski,39.40,DH,FB,7,Oliver Klueber,36.85,HF,FG,8,Ava Kowalchick,31.10,HF,FB,8,Davis Carter,30.70,HF,FG,9,Molly Payne,30.80,HF,FB,9,Andrew Aldonas,28.40,DH,FG,10,Allie Pearson,29.45,HF,Freshman Girls TOTALS,0,9,Freshman Boys TOTALS,JG,Place,Junior Girls,Score,Team,H,V,JB,Place,Junior Boys,Score,Team,JG,1,Maeve McGuire,98.35,HF,5,JB,1,Reid Schwartz,94.55,DH,JG,2,Emma Kowalchick,82.80,HF,3,JB,2,Kellen Courtney,84.05,HF,JG,3,Clayre Payne,77.80,HF,1,JB,3,Zakir Chinoy,57.80,HF,JG,4,Olivia Maco,67.80,DH,^,JG,5,Hannah Ax,53.05,DH,JG,6,Hayden Shelton,48.10,DH,Junior Girls TOTALS,0,9,Junior Boys TOTALS,IG,Place,Intermediate Girls,Score,Team,H,V,IB,Place,Intermediate Boys,Score,Team,IG,1,Chloe Schwartz,83.05,DH,5,IB,1,Cooper Belt,125.15,HF,IG,2,Morgan Shelton,80.05,DH,3,IB,2,Gavin Simpson,124.60,DH,IG,3,Paige Shelton,73.65,DH,1,IB,3,Sam Johnson,123.75,HF,IG,4,Abby Putnam,66.20,DH,IB,4,Sean Watson,91.05,HF,IB,5,George Brennan,88.60,HF,IB,6,Sandis Walker,74.20,DH,Intermediate Girls TOTALS,9,0,Intermediate Boys TOTALS,SG,Place,Senior Girls,Score,Team,H,V,SB,Place,Senior Boys,Score,Team,SG,1,Ellie Joyce,235.30,DH,5,SB,1,Fin Belt,160.75,HF,SG,2,Lucy Porter,179.05,HF,3,SB,2,Gavin Bergen-Hill,146.85,HF,SG,3,Riley Shelton,125.65,DH,1,SB,3,Luke DiBenigno,145.25,DH,SG,4,Ellie Potts,115.80,DH,SB,4,Luke Dangel,138.95,DH,SG,5,Dakota Bannach,111.35,DH,SB,5,Joseph Nixon,102.70,DH,Senior Girls TOTALS,6,3,Senior Boys TOTALS,Judges,Referee,Thomas Joyce,Thomas Joyce, Rachel Riley, Mike Schaeffer, Joe Belt, Sarah Kowalchick,Meet Secretary,Christina Potts,Home Team Secretary,Thomas Joyce,Visiting Team Secretary,Mary Mohney,Home Team Comments,Visiting Team Comments</v>
      </c>
      <c r="H7" s="187"/>
    </row>
    <row r="8" spans="1:21" ht="15.75" customHeight="1">
      <c r="A8" s="181">
        <v>5</v>
      </c>
      <c r="B8" s="167" t="str">
        <f t="shared" ca="1" si="0"/>
        <v>Div 5: DIVE REP ONLY Click to Open D5 Meet Sheet 7/6/2021 - hover then click!</v>
      </c>
      <c r="C8" s="182" t="str">
        <f t="shared" si="1"/>
        <v>https://docs.google.com/spreadsheets/d/1L4uunI2-LloW4_s4YyiuNAS1syVjjvhGx-Olte0hR6c</v>
      </c>
      <c r="D8" s="183" t="s">
        <v>109</v>
      </c>
      <c r="E8" s="184" t="str">
        <f t="shared" si="2"/>
        <v xml:space="preserve">  MDautoExpire('https://docs.google.com/spreadsheets/d/1L4uunI2-LloW4_s4YyiuNAS1syVjjvhGx-Olte0hR6c'); //D5 01/00/1900</v>
      </c>
      <c r="F8" s="185" t="s">
        <v>114</v>
      </c>
      <c r="G8" s="186" t="str">
        <f ca="1">IFERROR(__xludf.DUMMYFUNCTION("textjoin("","", true, importrange(C8,SUBSTITUTE(SUBSTITUTE(D8,""300"",""3""),""$u$"",""$R$"")))"),"7/6/2021,NVSL DIVING MEET RESULTS,Div,5,Link,Home Team,Score,Visiting Team,Score,1,1,LV-Lakeview,31,0,vs,CP-Crosspointe,36,2,2,SHB-Sleepy Hollow Bath,31,0,vs,RH-Rolling Hills,40,3,3,CCC-Camelot Community Club,19,0,vs,R-Ravensworth Farm,48,Results Form #,1"&amp;",Date,7/6/2021,* These results are calculated automatically and are non-editable,Report Status,10-Finalized,Home Team,LV-Lakeview,LV,Visiting Team,CP-Crosspointe,Score,31,Score,36,H,V,FG,Freshman Girls,1,8,FB,Freshman Boys,JG,Junior Girls,1,8,JB,Junior Bo"&amp;"ys,IG,Intermediate Girls,6,3,IB,Intermediate Boys,SG,Senior Girls,6,3,SB,Senior Boys,TOTALS,14,22,TOTALS,FG,Place,Freshman Girls,Score,Team,H,V,FB,Place,Freshman Boys,Score,Team,FG,1,Sloan Tann,90.10,CP,5,FB,1,Arik Stone,77.60,LV,FG,2,Haley Schwab,70.45,C"&amp;"P,3,FB,2,Caleb Cherryholmes-Wesley,72.25,CP,FG,3,Isabelle Koenig,67.55,LV,1,FB,3,Ethan Johns,69.20,CP,FG,4,Teagan Johns,65.25,CP,FB,4,Zachary Holden,60.25,LV,FG,5,Eleena Manser,59.90,CP,FB,5,Pax Whritenour,50.55,LV,FG,6,Casimira Betz,50.20,CP,FB,6,Luke Sa"&amp;"bo,43.30,CP,FG,7,Mimei Minato,48.55,LV,FB,7,Logan Gernatt,35.95,LV,FG,8,Lacey Slone,44.95,LV,FG,9,Hannah Carroll,40.90,LV,FG,10,Addy Whritenour,38.50,LV,FG,11,Claire Webster,37.30,LV,FG,12,Karoline Slone,34.80,LV,FG,13,Reese Andresen,32.20,LV,FG,14,Deena "&amp;"Epstein,31.70,LV,FG,15,Norah Flintoft,27.15,LV,Freshman Girls TOTALS,1,8,Freshman Boys TOTALS,JG,Place,Junior Girls,Score,Team,H,V,JB,Place,Junior Boys,Score,Team,JG,1,Quinn Harris,116.00,CP,5,JB,1,Dylan Johns,90.30,CP,JG,2,Josie Anderson,100.80,CP,3,JB,2"&amp;",Ethan Hubbard,88.80,LV,JG,3,Claire Andresen,97.30,LV,1,^,JB,3,Gunner Larson,87.05,LV,JG,4,Caroline Apergis,92.35,CP,JB,4,Enrique Ugalde,82.10,CP,JG,5,Kelsey Davis,92.05,CP,JB,5,Caleb Schwab,81.45,CP,JG,6,Carleigh Haskins,80.85,CP,Junior Girls TOTALS,1,8,"&amp;"Junior Boys TOTALS,IG,Place,Intermediate Girls,Score,Team,H,V,IB,Place,Intermediate Boys,Score,Team,IG,1,Lora Berkeley (LB) Macaranas,153.50,LV,5,IB,1,Brady Davies,135.15,CP,IG,2,Katy Haransky,143.00,CP,3,IB,2,Shawn Hubbard,119.70,LV,IG,3,Catherine Fleck,"&amp;"142.80,LV,1,IG,4,Antonella Palazzo,138.15,LV,IG,5,Leyna Flintoft,125.95,LV,IG,6,Abigail Meehan,112.25,LV,Intermediate Girls TOTALS,6,3,Intermediate Boys TOTALS,SG,Place,Senior Girls,Score,Team,H,V,SB,Place,Senior Boys,Score,Team,SG,1,Nicole Bondanella,198"&amp;".40,LV,5,SB,1,Silas Platt,152.05,LV,SG,2,Mia Mihocko,187.90,CP,3,SG,3,Campbell McCracken,182.60,LV,1,SG,4,Campbell Plageman,180.55,CP,SG,5,Zoe Dolfis,150.45,LV,Senior Girls TOTALS,6,3,Senior Boys TOTALS,Judges,Referee,Susan Mitchell,Susan Mitchell, Vicky "&amp;"Palazzo / Kris Bondanella, Melissa Mihocko, Jessica Schwab, Amira Tann,Meet Secretary,Elizabeth Macaranas,Home Team Secretary,Elizabeth Macaranas,Visiting Team Secretary,Melissa Mihocko,Home Team Comments,Visiting Team Comments,Thanks for a fun meet! ,Tha"&amp;"nks, Lakeview, for hosting a fantastic meet!,Results Form #,2,Date,7/6/2021,* These results are calculated automatically and are non-editable,Report Status,10-Finalized,Home Team,SHB-Sleepy Hollow Bath,SHB,Visiting Team,RH-Rolling Hills,Score,31,Score,40,"&amp;"H,V,FG,Freshman Girls,6,3,FB,Freshman Boys,JG,Junior Girls,3,6,JB,Junior Boys,IG,Intermediate Girls,9,0,IB,Intermediate Boys,SG,Senior Girls,3,6,SB,Senior Boys,TOTALS,21,15,TOTALS,FG,Place,Freshman Girls,Score,Team,H,V,FB,Place,Freshman Boys,Score,Team,FG"&amp;",1,Azeria ""ZZ"" Arnic,69.90,SHB,5,FB,1,Hudson Lynch,59.20,RH,FG,2,Amber Harrison,47.55,RH,3,FB,2,Jack Flanagan,51.75,RH,FG,3,Maya Orlova,46.10,SHB,1,FB,3,Kyle Schutt,50.60,SHB,FG,4,Sarah Chodos,43.35,SHB,FB,4,Jacob Hurt,49.60,RH,FG,5,Alex Morgan,42.85,RH"&amp;",FB,5,Cameron Sauchuk,35.85,RH,FG,6,Xanthy Kuehne,40.90,RH,FB,6,Oliver Matthews,31.25,RH,FG,7,Olivia Timmermann,34.05,RH,FB,7,Brodie Kuehne,31.15,RH,FG,8,Evie Kerelchuk,33.50,RH,FG,9,Alysa Gaona,32.10,RH,FG,10,Izzy Matthews,31.85,RH,FG,11,Isabel Kerelchuk"&amp;",28.20,RH,FG,12,Angelina katsas,26.10,SHB,FG,13,Natasha Sauchuk,23.80,RH,Freshman Girls TOTALS,6,3,Freshman Boys TOTALS,JG,Place,Junior Girls,Score,Team,H,V,JB,Place,Junior Boys,Score,Team,JG,1,Anamarie Harrison,88.95,RH,5,JB,1,Becket Lanier,87.25,RH,JG,2"&amp;",Petra Oleson,80.75,SHB,3,JB,2,Griffin Wagner,74.60,RH,JG,3,Sophia Newtson,68.35,RH,1,JG,4,Anne Juster,63.95,RH,JG,5,Lina Rosenbaum,41.95,SHB,Junior Girls TOTALS,3,6,Junior Boys TOTALS,IG,Place,Intermediate Girls,Score,Team,H,V,IB,Place,Intermediate Boys,"&amp;"Score,Team,IG,1,Paisley Wilkins,108.40,SHB,5,IB,1,Ethan Heim,97.75,SHB,IG,2,Addie Bates,105.00,SHB,3,IB,2,Ryan Casteleyn,86.35,RH,IG,3,Camryn Caughlin,87.30,SHB,1,IB,3,Tommy Juster,76.70,RH,IG,4,Lyla Harrison,82.35,RH,IB,4,David Caudillo,67.30,SHB,IG,5,Na"&amp;"talia Sayasithsena,62.95,RH,IB,5,Liam Healey-Wright,53.55,RH,Intermediate Girls TOTALS,9,0,Intermediate Boys TOTALS,SG,Place,Senior Girls,Score,Team,H,V,SB,Place,Senior Boys,Score,Team,SG,1,Kyleah Harbort,176.80,RH,5,SB,1,Jadon Butler,214.00,RH,SG,2,Erica"&amp;" Schroeder,139.90,SHB,3,SB,2,Peter Cullather,136.60,SHB,SG,3,Nicole Perkins,133.80,RH,1,SB,3,Sam Martin,116.50,SHB,SG,4,Mary Callahan,124.00,RH,SB,4,Ryan Caughey,102.70,SHB,SG,5,Claire Coughlin,119.30,SHB,SB,5,Michael Hitchock,95.70,SHB,SG,6,Zoe London,79"&amp;".05,SHB,Senior Girls TOTALS,3,6,Senior Boys TOTALS,Judges,Referee,George Harbort,John Cullather, Fred Martin, Bob Perkins, Jim Juster, George Harbort,Meet Secretary,Kendra Martin,Home Team Secretary,Kendra Martin,Visiting Team Secretary,Kathleen Juster,Ho"&amp;"me Team Comments,Visiting Team Comments,one diver on RH does not seem to be on the roster,Thanks for hosting a great meet.  Score for IG Natalia S should be a 62.95.  I'll look into the roster question.,Results Form #,3,Date,7/6/2021,* These results are c"&amp;"alculated automatically and are non-editable,Report Status,10-Finalized,Home Team,CCC-Camelot Community Club,CCC,Visiting Team,R-Ravensworth Farm,Score,19,Score,48,H,V,FG,Freshman Girls,0,9,FB,Freshman Boys,JG,Junior Girls,1,8,JB,Junior Boys,IG,Intermedia"&amp;"te Girls,6,3,IB,Intermediate Boys,SG,Senior Girls,6,3,SB,Senior Boys,TOTALS,13,23,TOTALS,FG,Place,Freshman Girls,Score,Team,H,V,FB,Place,Freshman Boys,Score,Team,FG,1,Lucy Bennett,62.05,R,5,FB,1,Zavier Roberts,48.65,R,FG,2,Ellie Showalter,59.90,R,3,FB,2,G"&amp;"riffin Cahalan,42.10,R,FG,3,Chloe Field,57.30,R,1,FB,3,Owen Snyder,41.70,CCC,FG,4,Sophia McConnell,48.25,R,FB,4,Emerson Allen,38.70,CCC,FG,5,Lily Huie,44.40,CCC,FB,5,Brayden Auble,33.25,R,FG,6,Eliza McIlvaine,39.10,CCC,FB,6,Jasper Figley,31.45,R,FG,7,Ella"&amp;" Allen,31.50,CCC,FB,7,Emilio Padilla,25.75,CCC,FG,8,Delilah Copas,28.70,R,FB,8,Jack McIntosh,DQ,CCC,FG,9,Emma Smith,26.90,R,FG,10,Abby Southworth,26.50,CCC,FG,11,Sara Curry-Briggs,25.25,CCC,FG,12,Alexa Hill,16.50,CCC,Freshman Girls TOTALS,0,9,Freshman Boy"&amp;"s TOTALS,JG,Place,Junior Girls,Score,Team,H,V,JB,Place,Junior Boys,Score,Team,JG,1,Emily Field,70.95,R,5,JB,1,Evan George,103.20,R,JG,2,Olivia Bruce,51.80,R,3,JB,2,Noah Henderson,64.70,R,JG,3,Kennedy McIntosh,48.50,CCC,1,JB,3,Andrew Bean,56.80,R,Junior Gi"&amp;"rls TOTALS,1,8,Junior Boys TOTALS,IG,Place,Intermediate Girls,Score,Team,H,V,IB,Place,Intermediate Boys,Score,Team,IG,1,Maia McAllister,119.25,CCC,5,IB,1,Cash Riedel,89.35,R,IG,2,Scarlett Copas,92.65,R,3,IB,2,Leo McFadden,64.05,R,IG,3,Lia Gauthier,85.75,C"&amp;"CC,1,IG,4,Hannah Cahalan,80.00,R,Intermediate Girls TOTALS,6,3,Intermediate Boys TOTALS,SG,Place,Senior Girls,Score,Team,H,V,SB,Place,Senior Boys,Score,Team,SG,1,Micaela Wells,199.45,CCC,5,SB,1,Colin Greene,191.75,CCC,SG,2,Jillian Champlin,160.55,R,3,SB,2"&amp;",Wade Hayes,DQ,R,SG,3,Lauren Gagermeier,146.45,CCC,1,SG,4,Claire Conley,144.30,CCC,SG,5,Sara Kate George,117.40,R,Senior Girls TOTALS,6,3,Senior Boys TOTALS,Judges,Referee,Brenda Greene,Brenda Greene, Abraham McAllister, Greg Champlin, Jenn Auble, Kathy R"&amp;"ied,Meet Secretary,Megan Burski Wells,Home Team Secretary,Megan Burski Wells,Visiting Team Secretary,Melinda Young,Home Team Comments,Visiting Team Comments,I concur - Ravensworth should only have 48 points.  Thank you for hosting and we look forward to s"&amp;"eeing you at divisionals!")</f>
        <v>7/6/2021,NVSL DIVING MEET RESULTS,Div,5,Link,Home Team,Score,Visiting Team,Score,1,1,LV-Lakeview,31,0,vs,CP-Crosspointe,36,2,2,SHB-Sleepy Hollow Bath,31,0,vs,RH-Rolling Hills,40,3,3,CCC-Camelot Community Club,19,0,vs,R-Ravensworth Farm,48,Results Form #,1,Date,7/6/2021,* These results are calculated automatically and are non-editable,Report Status,10-Finalized,Home Team,LV-Lakeview,LV,Visiting Team,CP-Crosspointe,Score,31,Score,36,H,V,FG,Freshman Girls,1,8,FB,Freshman Boys,JG,Junior Girls,1,8,JB,Junior Boys,IG,Intermediate Girls,6,3,IB,Intermediate Boys,SG,Senior Girls,6,3,SB,Senior Boys,TOTALS,14,22,TOTALS,FG,Place,Freshman Girls,Score,Team,H,V,FB,Place,Freshman Boys,Score,Team,FG,1,Sloan Tann,90.10,CP,5,FB,1,Arik Stone,77.60,LV,FG,2,Haley Schwab,70.45,CP,3,FB,2,Caleb Cherryholmes-Wesley,72.25,CP,FG,3,Isabelle Koenig,67.55,LV,1,FB,3,Ethan Johns,69.20,CP,FG,4,Teagan Johns,65.25,CP,FB,4,Zachary Holden,60.25,LV,FG,5,Eleena Manser,59.90,CP,FB,5,Pax Whritenour,50.55,LV,FG,6,Casimira Betz,50.20,CP,FB,6,Luke Sabo,43.30,CP,FG,7,Mimei Minato,48.55,LV,FB,7,Logan Gernatt,35.95,LV,FG,8,Lacey Slone,44.95,LV,FG,9,Hannah Carroll,40.90,LV,FG,10,Addy Whritenour,38.50,LV,FG,11,Claire Webster,37.30,LV,FG,12,Karoline Slone,34.80,LV,FG,13,Reese Andresen,32.20,LV,FG,14,Deena Epstein,31.70,LV,FG,15,Norah Flintoft,27.15,LV,Freshman Girls TOTALS,1,8,Freshman Boys TOTALS,JG,Place,Junior Girls,Score,Team,H,V,JB,Place,Junior Boys,Score,Team,JG,1,Quinn Harris,116.00,CP,5,JB,1,Dylan Johns,90.30,CP,JG,2,Josie Anderson,100.80,CP,3,JB,2,Ethan Hubbard,88.80,LV,JG,3,Claire Andresen,97.30,LV,1,^,JB,3,Gunner Larson,87.05,LV,JG,4,Caroline Apergis,92.35,CP,JB,4,Enrique Ugalde,82.10,CP,JG,5,Kelsey Davis,92.05,CP,JB,5,Caleb Schwab,81.45,CP,JG,6,Carleigh Haskins,80.85,CP,Junior Girls TOTALS,1,8,Junior Boys TOTALS,IG,Place,Intermediate Girls,Score,Team,H,V,IB,Place,Intermediate Boys,Score,Team,IG,1,Lora Berkeley (LB) Macaranas,153.50,LV,5,IB,1,Brady Davies,135.15,CP,IG,2,Katy Haransky,143.00,CP,3,IB,2,Shawn Hubbard,119.70,LV,IG,3,Catherine Fleck,142.80,LV,1,IG,4,Antonella Palazzo,138.15,LV,IG,5,Leyna Flintoft,125.95,LV,IG,6,Abigail Meehan,112.25,LV,Intermediate Girls TOTALS,6,3,Intermediate Boys TOTALS,SG,Place,Senior Girls,Score,Team,H,V,SB,Place,Senior Boys,Score,Team,SG,1,Nicole Bondanella,198.40,LV,5,SB,1,Silas Platt,152.05,LV,SG,2,Mia Mihocko,187.90,CP,3,SG,3,Campbell McCracken,182.60,LV,1,SG,4,Campbell Plageman,180.55,CP,SG,5,Zoe Dolfis,150.45,LV,Senior Girls TOTALS,6,3,Senior Boys TOTALS,Judges,Referee,Susan Mitchell,Susan Mitchell, Vicky Palazzo / Kris Bondanella, Melissa Mihocko, Jessica Schwab, Amira Tann,Meet Secretary,Elizabeth Macaranas,Home Team Secretary,Elizabeth Macaranas,Visiting Team Secretary,Melissa Mihocko,Home Team Comments,Visiting Team Comments,Thanks for a fun meet! ,Thanks, Lakeview, for hosting a fantastic meet!,Results Form #,2,Date,7/6/2021,* These results are calculated automatically and are non-editable,Report Status,10-Finalized,Home Team,SHB-Sleepy Hollow Bath,SHB,Visiting Team,RH-Rolling Hills,Score,31,Score,40,H,V,FG,Freshman Girls,6,3,FB,Freshman Boys,JG,Junior Girls,3,6,JB,Junior Boys,IG,Intermediate Girls,9,0,IB,Intermediate Boys,SG,Senior Girls,3,6,SB,Senior Boys,TOTALS,21,15,TOTALS,FG,Place,Freshman Girls,Score,Team,H,V,FB,Place,Freshman Boys,Score,Team,FG,1,Azeria "ZZ" Arnic,69.90,SHB,5,FB,1,Hudson Lynch,59.20,RH,FG,2,Amber Harrison,47.55,RH,3,FB,2,Jack Flanagan,51.75,RH,FG,3,Maya Orlova,46.10,SHB,1,FB,3,Kyle Schutt,50.60,SHB,FG,4,Sarah Chodos,43.35,SHB,FB,4,Jacob Hurt,49.60,RH,FG,5,Alex Morgan,42.85,RH,FB,5,Cameron Sauchuk,35.85,RH,FG,6,Xanthy Kuehne,40.90,RH,FB,6,Oliver Matthews,31.25,RH,FG,7,Olivia Timmermann,34.05,RH,FB,7,Brodie Kuehne,31.15,RH,FG,8,Evie Kerelchuk,33.50,RH,FG,9,Alysa Gaona,32.10,RH,FG,10,Izzy Matthews,31.85,RH,FG,11,Isabel Kerelchuk,28.20,RH,FG,12,Angelina katsas,26.10,SHB,FG,13,Natasha Sauchuk,23.80,RH,Freshman Girls TOTALS,6,3,Freshman Boys TOTALS,JG,Place,Junior Girls,Score,Team,H,V,JB,Place,Junior Boys,Score,Team,JG,1,Anamarie Harrison,88.95,RH,5,JB,1,Becket Lanier,87.25,RH,JG,2,Petra Oleson,80.75,SHB,3,JB,2,Griffin Wagner,74.60,RH,JG,3,Sophia Newtson,68.35,RH,1,JG,4,Anne Juster,63.95,RH,JG,5,Lina Rosenbaum,41.95,SHB,Junior Girls TOTALS,3,6,Junior Boys TOTALS,IG,Place,Intermediate Girls,Score,Team,H,V,IB,Place,Intermediate Boys,Score,Team,IG,1,Paisley Wilkins,108.40,SHB,5,IB,1,Ethan Heim,97.75,SHB,IG,2,Addie Bates,105.00,SHB,3,IB,2,Ryan Casteleyn,86.35,RH,IG,3,Camryn Caughlin,87.30,SHB,1,IB,3,Tommy Juster,76.70,RH,IG,4,Lyla Harrison,82.35,RH,IB,4,David Caudillo,67.30,SHB,IG,5,Natalia Sayasithsena,62.95,RH,IB,5,Liam Healey-Wright,53.55,RH,Intermediate Girls TOTALS,9,0,Intermediate Boys TOTALS,SG,Place,Senior Girls,Score,Team,H,V,SB,Place,Senior Boys,Score,Team,SG,1,Kyleah Harbort,176.80,RH,5,SB,1,Jadon Butler,214.00,RH,SG,2,Erica Schroeder,139.90,SHB,3,SB,2,Peter Cullather,136.60,SHB,SG,3,Nicole Perkins,133.80,RH,1,SB,3,Sam Martin,116.50,SHB,SG,4,Mary Callahan,124.00,RH,SB,4,Ryan Caughey,102.70,SHB,SG,5,Claire Coughlin,119.30,SHB,SB,5,Michael Hitchock,95.70,SHB,SG,6,Zoe London,79.05,SHB,Senior Girls TOTALS,3,6,Senior Boys TOTALS,Judges,Referee,George Harbort,John Cullather, Fred Martin, Bob Perkins, Jim Juster, George Harbort,Meet Secretary,Kendra Martin,Home Team Secretary,Kendra Martin,Visiting Team Secretary,Kathleen Juster,Home Team Comments,Visiting Team Comments,one diver on RH does not seem to be on the roster,Thanks for hosting a great meet.  Score for IG Natalia S should be a 62.95.  I'll look into the roster question.,Results Form #,3,Date,7/6/2021,* These results are calculated automatically and are non-editable,Report Status,10-Finalized,Home Team,CCC-Camelot Community Club,CCC,Visiting Team,R-Ravensworth Farm,Score,19,Score,48,H,V,FG,Freshman Girls,0,9,FB,Freshman Boys,JG,Junior Girls,1,8,JB,Junior Boys,IG,Intermediate Girls,6,3,IB,Intermediate Boys,SG,Senior Girls,6,3,SB,Senior Boys,TOTALS,13,23,TOTALS,FG,Place,Freshman Girls,Score,Team,H,V,FB,Place,Freshman Boys,Score,Team,FG,1,Lucy Bennett,62.05,R,5,FB,1,Zavier Roberts,48.65,R,FG,2,Ellie Showalter,59.90,R,3,FB,2,Griffin Cahalan,42.10,R,FG,3,Chloe Field,57.30,R,1,FB,3,Owen Snyder,41.70,CCC,FG,4,Sophia McConnell,48.25,R,FB,4,Emerson Allen,38.70,CCC,FG,5,Lily Huie,44.40,CCC,FB,5,Brayden Auble,33.25,R,FG,6,Eliza McIlvaine,39.10,CCC,FB,6,Jasper Figley,31.45,R,FG,7,Ella Allen,31.50,CCC,FB,7,Emilio Padilla,25.75,CCC,FG,8,Delilah Copas,28.70,R,FB,8,Jack McIntosh,DQ,CCC,FG,9,Emma Smith,26.90,R,FG,10,Abby Southworth,26.50,CCC,FG,11,Sara Curry-Briggs,25.25,CCC,FG,12,Alexa Hill,16.50,CCC,Freshman Girls TOTALS,0,9,Freshman Boys TOTALS,JG,Place,Junior Girls,Score,Team,H,V,JB,Place,Junior Boys,Score,Team,JG,1,Emily Field,70.95,R,5,JB,1,Evan George,103.20,R,JG,2,Olivia Bruce,51.80,R,3,JB,2,Noah Henderson,64.70,R,JG,3,Kennedy McIntosh,48.50,CCC,1,JB,3,Andrew Bean,56.80,R,Junior Girls TOTALS,1,8,Junior Boys TOTALS,IG,Place,Intermediate Girls,Score,Team,H,V,IB,Place,Intermediate Boys,Score,Team,IG,1,Maia McAllister,119.25,CCC,5,IB,1,Cash Riedel,89.35,R,IG,2,Scarlett Copas,92.65,R,3,IB,2,Leo McFadden,64.05,R,IG,3,Lia Gauthier,85.75,CCC,1,IG,4,Hannah Cahalan,80.00,R,Intermediate Girls TOTALS,6,3,Intermediate Boys TOTALS,SG,Place,Senior Girls,Score,Team,H,V,SB,Place,Senior Boys,Score,Team,SG,1,Micaela Wells,199.45,CCC,5,SB,1,Colin Greene,191.75,CCC,SG,2,Jillian Champlin,160.55,R,3,SB,2,Wade Hayes,DQ,R,SG,3,Lauren Gagermeier,146.45,CCC,1,SG,4,Claire Conley,144.30,CCC,SG,5,Sara Kate George,117.40,R,Senior Girls TOTALS,6,3,Senior Boys TOTALS,Judges,Referee,Brenda Greene,Brenda Greene, Abraham McAllister, Greg Champlin, Jenn Auble, Kathy Ried,Meet Secretary,Megan Burski Wells,Home Team Secretary,Megan Burski Wells,Visiting Team Secretary,Melinda Young,Home Team Comments,Visiting Team Comments,I concur - Ravensworth should only have 48 points.  Thank you for hosting and we look forward to seeing you at divisionals!</v>
      </c>
      <c r="H8" s="187"/>
    </row>
    <row r="9" spans="1:21" ht="15.75" customHeight="1">
      <c r="A9" s="181">
        <v>6</v>
      </c>
      <c r="B9" s="167" t="str">
        <f t="shared" si="0"/>
        <v>Div 6: DIVE REP ONLY Click to Open D6 Meet Sheet 7/6/2021 - hover then click!</v>
      </c>
      <c r="C9" s="182" t="str">
        <f t="shared" si="1"/>
        <v>https://docs.google.com/spreadsheets/d/1ECOZNUbsVGtdcT9fSIK5yxda8dm5EitlZyzMRG5vZsY</v>
      </c>
      <c r="D9" s="183" t="s">
        <v>109</v>
      </c>
      <c r="E9" s="184" t="str">
        <f t="shared" si="2"/>
        <v xml:space="preserve">  MDautoExpire('https://docs.google.com/spreadsheets/d/1ECOZNUbsVGtdcT9fSIK5yxda8dm5EitlZyzMRG5vZsY'); //D6 01/00/1900</v>
      </c>
      <c r="F9" s="185" t="s">
        <v>115</v>
      </c>
      <c r="G9" s="186" t="s">
        <v>127</v>
      </c>
      <c r="H9" s="187"/>
    </row>
    <row r="10" spans="1:21" ht="15.75" customHeight="1">
      <c r="A10" s="181">
        <v>7</v>
      </c>
      <c r="B10" s="167" t="str">
        <f t="shared" ca="1" si="0"/>
        <v>Div 7: DIVE REP ONLY Click to Open D7 Meet Sheet 7/6/2021 - hover then click!</v>
      </c>
      <c r="C10" s="182" t="str">
        <f t="shared" si="1"/>
        <v>https://docs.google.com/spreadsheets/d/1ZkV3a6CxJgnte6zik_Me5yCtfD25sds0q_4OsccuIZA</v>
      </c>
      <c r="D10" s="183" t="s">
        <v>109</v>
      </c>
      <c r="E10" s="184" t="str">
        <f t="shared" si="2"/>
        <v xml:space="preserve">  MDautoExpire('https://docs.google.com/spreadsheets/d/1ZkV3a6CxJgnte6zik_Me5yCtfD25sds0q_4OsccuIZA'); //D7 01/00/1900</v>
      </c>
      <c r="F10" s="185" t="s">
        <v>116</v>
      </c>
      <c r="G10" s="186" t="str">
        <f ca="1">IFERROR(__xludf.DUMMYFUNCTION("textjoin("","", true, importrange(C10,SUBSTITUTE(SUBSTITUTE(D10,""300"",""3""),""$u$"",""$R$"")))"),"7/6/2021,NVSL DIVING MEET RESULTS,Div,7,Link,Home Team,Score,Visiting Team,Score,1,1,SRA-Stratford Rec Association,36,0,vs,M-Mantua,36,2,2,HSC-Hamlet Swim,42,0,vs,SB-Springboard Recreration Club,22,3,3,W-Woodley,45,0,vs,RFD-Rutherford,24,Results Form #,1,"&amp;"Date,7/6/2021,* These results are calculated automatically and are non-editable,Report Status,10-Finalized,Home Team,SRA-Stratford Rec Association,SRA,Visiting Team,M-Mantua,Score,36,Score,36,H,V,FG,Freshman Girls,0,9,FB,Freshman Boys,JG,Junior Girls,5,4,"&amp;"JB,Junior Boys,IG,Intermediate Girls,3,6,IB,Intermediate Boys,SG,Senior Girls,4,5,SB,Senior Boys,TOTALS,12,24,TOTALS,FG,Place,Freshman Girls,Score,Team,H,V,FB,Place,Freshman Boys,Score,Team,FG,1,Maggie Levi,56.40,M,5,FB,1,Grant Evonuk,54.80,M,FG,2,Kate Ev"&amp;"onuk,47.10,M,3,FB,2,Liam Ganci,42.35,SRA,FG,3,Catherine Redington,46.45,M,1,FB,3,Collin Christ,40.05,SRA,FG,4,Paige Finley,42.45,SRA,FB,4,William Lang,39.40,SRA,FG,5,Juliet Tetreault,34.75,M,FB,5,Grayson Morrisette,31.80,SRA,FG,6,Kree Setliff,31.40,M,FB,6"&amp;",Matteo Fazio,30.20,SRA,FG,7,Leila White,30.80,M,FB,7,Liam Redington,28.10,M,FG,8,Adele Pino,25.35,M,FB,8,Max Molina Weir,27.35,M,FG,9,Emily Wills,22.85,M,FB,9,Nicolas Hill,25.65,M,FG,10,Annabel Rider,22.70,M,FB,10,Finn Price,18.20,SRA,FG,11,Claire Cashin"&amp;",22.10,M,FG,12,Cara Tansey,9.50,M,Freshman Girls TOTALS,0,9,Freshman Boys TOTALS,JG,Place,Junior Girls,Score,Team,H,V,JB,Place,Junior Boys,Score,Team,JG,1,Debbie Burke,79.15,SRA,5,JB,1,Aelan Elder,67.00,SRA,JG,2,Lydia Tetreault,73.90,M,3,JB,2,Owen Molina "&amp;"Weir,58.85,M,JG,3,Stina Nystrom,68.65,M,1,JB,3,Wesley Ferguson,44.60,SRA,JG,4,Maggie Burke,66.45,SRA,JG,5,Emery Mize,64.60,M,JG,6,Aysel El Bourini,46.30,SRA,Junior Girls TOTALS,5,4,Junior Boys TOTALS,IG,Place,Intermediate Girls,Score,Team,H,V,IB,Place,Int"&amp;"ermediate Boys,Score,Team,IG,1,Samantha Eldred,107.30,M,5,IB,1,Ryan Calligaro,119.60,SRA,IG,2,Lily Ross,100.15,SRA,3,IB,2,Henry Levi,116.65,M,IG,3,Susan Wang Andera,91.65,M,1,IB,3,Dexter Tetreault,89.95,M,IG,4,Avery Garr,84.75,SRA,IG,5,Delaney Dean,72.75,"&amp;"SRA,^,Intermediate Girls TOTALS,3,6,Intermediate Boys TOTALS,SG,Place,Senior Girls,Score,Team,H,V,SB,Place,Senior Boys,Score,Team,SG,1,Sally Harrington,199.20,M,5,SB,1,Boede Offringa,207.55,SRA,SG,2,Sarah Fleming,136.00,SRA,3,SB,2,Kevin Dinkel,204.90,SRA,"&amp;"SG,3,Maddi Ross,131.75,SRA,1,SB,3,John Dinkel,175.10,SRA,SG,4,Allison Ary,131.30,SRA,SB,4,Eian Murphy,155.65,M,SG,5,Sammy McKnight,130.90,M,SB,5,Rohan McCarthy,143.00,M,SG,6,Sofia Nystrom,130.70,M,SB,6,Dillon Wirth,139.00,SRA,SG,7,Amanda Kendrick,125.00,S"&amp;"RA,Senior Girls TOTALS,4,5,Senior Boys TOTALS,Judges,Referee,Matt Burke,David Ross, Kevin Wirth, Matt Tetreault, Ena Murphy, Lesley McKnight,Meet Secretary,Peggy Dinkel,Home Team Secretary,Erin Wirth,Visiting Team Secretary,Laura Tetreault,Home Team Comme"&amp;"nts,Visiting Team Comments,Results Form #,2,Date,7/6/2021,* These results are calculated automatically and are non-editable,Report Status,10-Finalized,Home Team,HSC-Hamlet Swim,HSC,Visiting Team,SB-Springboard Recreration Club,Score,42,Score,22,H,V,FG,Fre"&amp;"shman Girls,9,0,FB,Freshman Boys,JG,Junior Girls,5,3,JB,Junior Boys,IG,Intermediate Girls,0,8,IB,Intermediate Boys,SG,Senior Girls,5,3,SB,Senior Boys,TOTALS,19,14,TOTALS,FG,Place,Freshman Girls,Score,Team,H,V,FB,Place,Freshman Boys,Score,Team,FG,1,Abby Pi"&amp;"ckard,59.50,HSC,5,FB,1,Aiden Sutherland,36.70,SB,FG,2,Campbell Kurpiel,48.95,HSC,3,FB,2,Liam Gentry,33.75,HSC,FG,3,Kate Gentry,46.15,HSC,1,FB,3,Samuel Bricker,29.85,HSC,FG,4,Elizabeth Peebles,36.95,HSC,FB,4,Alan Schwartz,23.70,HSC,FG,5,Jem Wahler,30.00,SB"&amp;",FB,5,Alejandro Payan,22.60,HSC,FG,6,Siena Nguyen,18.25,HSC,FG,7,Amelia Gentry,14.50,HSC,FG,8,Ava Payan,11.00,HSC,Freshman Girls TOTALS,9,0,Freshman Boys TOTALS,JG,Place,Junior Girls,Score,Team,H,V,JB,Place,Junior Boys,Score,Team,JG,1,Leyla Ozden,58.85,HS"&amp;"C,5,JB,1,Bennett Steele,88.45,HSC,JG,2,Eliza Hunt,44.75,SB,3,JB,2,Jacob Ross,66.00,HSC,JB,3,Darius Bajoghli,62.75,HSC,JB,4,T'iyler Rothstein,53.45,SB,JB,5,Ash Burress,46.60,SB,Junior Girls TOTALS,5,3,Junior Boys TOTALS,IG,Place,Intermediate Girls,Score,Te"&amp;"am,H,V,IB,Place,Intermediate Boys,Score,Team,IG,1,Aubrie Burress,77.55,SB,5,IB,1,Savas Emanuel,104.20,HSC,IG,2,Jade Carey,51.35,SB,3,Intermediate Girls TOTALS,0,8,Intermediate Boys TOTALS,SG,Place,Senior Girls,Score,Team,H,V,SB,Place,Senior Boys,Score,Tea"&amp;"m,SG,1,Melinda Hauda,141.50,HSC,5,SB,1,Anthony Maull,114.60,HSC,SG,2,Makenna Aphrodite,51.45,SB,3,SB,2,Brendan Waterval,96.30,SB,Senior Girls TOTALS,5,3,Senior Boys TOTALS,Judges,Referee,Karen Hauda,Mark Waterval, Carol Davis, Miguel Payan, Anamarie Pared"&amp;"es, Amir Bajoghli,Meet Secretary,William Hauda,Home Team Secretary,William Hauda,Visiting Team Secretary,Carylin Waterval,Home Team Comments,Visiting Team Comments,Results Form #,3,Date,7/6/2021,* These results are calculated automatically and are non-edi"&amp;"table,Report Status,10-Finalized,Home Team,W-Woodley,W,Visiting Team,RFD-Rutherford,Score,45,Score,24,H,V,FG,Freshman Girls,6,3,FB,Freshman Boys,JG,Junior Girls,5,4,JB,Junior Boys,IG,Intermediate Girls,8,0,IB,Intermediate Boys,SG,Senior Girls,8,0,SB,Senio"&amp;"r Boys,TOTALS,27,7,TOTALS,FG,Place,Freshman Girls,Score,Team,H,V,FB,Place,Freshman Boys,Score,Team,FG,1,Elin Temme,64.40,W,5,FB,1,Max Braswell,47.15,RFD,FG,2,Kathryn Fegan,60.15,RFD,3,FB,2,Alex Lum,42.15,W,FG,3,Sally Horne,48.55,W,1,FB,3,Optimus Bigby,39."&amp;"60,W,FG,4,Teny Davitian,45.70,RFD,FB,4,Joseph Thiede,39.25,W,FG,5,Evie Warren,37.60,RFD,FB,5,Brandon Haase,36.90,W,FG,6,Lorriane Miller,32.35,RFD,FB,6,Cole Fegan,32.70,RFD,FG,7,Hadley Townsend,29.50,RFD,FB,7,Paul Thiede,25.20,W,FG,8,Tennley Jackson,17.90,"&amp;"W,FB,8,Zachary Lum,21.50,W,FG,9,Miriam Stavlund,16.00,W,FB,9,Austin Brooks,19.25,RFD,FG,10,Avery Burch,12.25,RFD,FB,10,Benjamin Lum,14.75,W,FG,11,Lola Beltran,7.00,W,Freshman Girls TOTALS,6,3,Freshman Boys TOTALS,JG,Place,Junior Girls,Score,Team,H,V,JB,Pl"&amp;"ace,Junior Boys,Score,Team,JG,1,Eliza Pollack,81.90,W,5,^,JB,1,Wyatt Fegan,83.40,RFD,JG,2,Pendry Carroll,58.25,RFD,3,JB,2,Benjamin Pollack,63.65,W,JG,3,Eva Martin,56.75,RFD,1,JB,3,John Burns,59.85,RFD,JB,4,John Horne,55.85,W,Junior Girls TOTALS,5,4,Junior"&amp;" Boys TOTALS,IG,Place,Intermediate Girls,Score,Team,H,V,IB,Place,Intermediate Boys,Score,Team,IG,1,Helena Horne,84.55,W,5,IB,1,Roman Braswell,127.65,RFD,IG,2,Isabelle Horne,77.00,W,3,^,IB,2,Zachary Napoli,81.00,W,IB,3,Liam Wade,78.50,RFD,IB,4,James Horne,"&amp;"38.10,W,Intermediate Girls TOTALS,8,0,Intermediate Boys TOTALS,SG,Place,Senior Girls,Score,Team,H,V,SB,Place,Senior Boys,Score,Team,SG,1,Elizabeth Bell,137.50,W,5,^,SB,1,Caleb Hoover,135.55,W,SG,2,Tatum Kline,135.40,W,3,^,SB,2,Silas Mitchell,131.75,W,Seni"&amp;"or Girls TOTALS,8,0,Senior Boys TOTALS,Judges,Referee,Jim Sweeder,Jim Sweeder, Ken Sims/Kyle Hoover, Emma Miller, Chris Wade, Katie Burch,Meet Secretary,Emily Hoover,Home Team Secretary,Emily Hoover,Visiting Team Secretary,Poline Braswell,Home Team Commen"&amp;"ts,Visiting Team Comments,You need to put in the dive categories.  ")</f>
        <v xml:space="preserve">7/6/2021,NVSL DIVING MEET RESULTS,Div,7,Link,Home Team,Score,Visiting Team,Score,1,1,SRA-Stratford Rec Association,36,0,vs,M-Mantua,36,2,2,HSC-Hamlet Swim,42,0,vs,SB-Springboard Recreration Club,22,3,3,W-Woodley,45,0,vs,RFD-Rutherford,24,Results Form #,1,Date,7/6/2021,* These results are calculated automatically and are non-editable,Report Status,10-Finalized,Home Team,SRA-Stratford Rec Association,SRA,Visiting Team,M-Mantua,Score,36,Score,36,H,V,FG,Freshman Girls,0,9,FB,Freshman Boys,JG,Junior Girls,5,4,JB,Junior Boys,IG,Intermediate Girls,3,6,IB,Intermediate Boys,SG,Senior Girls,4,5,SB,Senior Boys,TOTALS,12,24,TOTALS,FG,Place,Freshman Girls,Score,Team,H,V,FB,Place,Freshman Boys,Score,Team,FG,1,Maggie Levi,56.40,M,5,FB,1,Grant Evonuk,54.80,M,FG,2,Kate Evonuk,47.10,M,3,FB,2,Liam Ganci,42.35,SRA,FG,3,Catherine Redington,46.45,M,1,FB,3,Collin Christ,40.05,SRA,FG,4,Paige Finley,42.45,SRA,FB,4,William Lang,39.40,SRA,FG,5,Juliet Tetreault,34.75,M,FB,5,Grayson Morrisette,31.80,SRA,FG,6,Kree Setliff,31.40,M,FB,6,Matteo Fazio,30.20,SRA,FG,7,Leila White,30.80,M,FB,7,Liam Redington,28.10,M,FG,8,Adele Pino,25.35,M,FB,8,Max Molina Weir,27.35,M,FG,9,Emily Wills,22.85,M,FB,9,Nicolas Hill,25.65,M,FG,10,Annabel Rider,22.70,M,FB,10,Finn Price,18.20,SRA,FG,11,Claire Cashin,22.10,M,FG,12,Cara Tansey,9.50,M,Freshman Girls TOTALS,0,9,Freshman Boys TOTALS,JG,Place,Junior Girls,Score,Team,H,V,JB,Place,Junior Boys,Score,Team,JG,1,Debbie Burke,79.15,SRA,5,JB,1,Aelan Elder,67.00,SRA,JG,2,Lydia Tetreault,73.90,M,3,JB,2,Owen Molina Weir,58.85,M,JG,3,Stina Nystrom,68.65,M,1,JB,3,Wesley Ferguson,44.60,SRA,JG,4,Maggie Burke,66.45,SRA,JG,5,Emery Mize,64.60,M,JG,6,Aysel El Bourini,46.30,SRA,Junior Girls TOTALS,5,4,Junior Boys TOTALS,IG,Place,Intermediate Girls,Score,Team,H,V,IB,Place,Intermediate Boys,Score,Team,IG,1,Samantha Eldred,107.30,M,5,IB,1,Ryan Calligaro,119.60,SRA,IG,2,Lily Ross,100.15,SRA,3,IB,2,Henry Levi,116.65,M,IG,3,Susan Wang Andera,91.65,M,1,IB,3,Dexter Tetreault,89.95,M,IG,4,Avery Garr,84.75,SRA,IG,5,Delaney Dean,72.75,SRA,^,Intermediate Girls TOTALS,3,6,Intermediate Boys TOTALS,SG,Place,Senior Girls,Score,Team,H,V,SB,Place,Senior Boys,Score,Team,SG,1,Sally Harrington,199.20,M,5,SB,1,Boede Offringa,207.55,SRA,SG,2,Sarah Fleming,136.00,SRA,3,SB,2,Kevin Dinkel,204.90,SRA,SG,3,Maddi Ross,131.75,SRA,1,SB,3,John Dinkel,175.10,SRA,SG,4,Allison Ary,131.30,SRA,SB,4,Eian Murphy,155.65,M,SG,5,Sammy McKnight,130.90,M,SB,5,Rohan McCarthy,143.00,M,SG,6,Sofia Nystrom,130.70,M,SB,6,Dillon Wirth,139.00,SRA,SG,7,Amanda Kendrick,125.00,SRA,Senior Girls TOTALS,4,5,Senior Boys TOTALS,Judges,Referee,Matt Burke,David Ross, Kevin Wirth, Matt Tetreault, Ena Murphy, Lesley McKnight,Meet Secretary,Peggy Dinkel,Home Team Secretary,Erin Wirth,Visiting Team Secretary,Laura Tetreault,Home Team Comments,Visiting Team Comments,Results Form #,2,Date,7/6/2021,* These results are calculated automatically and are non-editable,Report Status,10-Finalized,Home Team,HSC-Hamlet Swim,HSC,Visiting Team,SB-Springboard Recreration Club,Score,42,Score,22,H,V,FG,Freshman Girls,9,0,FB,Freshman Boys,JG,Junior Girls,5,3,JB,Junior Boys,IG,Intermediate Girls,0,8,IB,Intermediate Boys,SG,Senior Girls,5,3,SB,Senior Boys,TOTALS,19,14,TOTALS,FG,Place,Freshman Girls,Score,Team,H,V,FB,Place,Freshman Boys,Score,Team,FG,1,Abby Pickard,59.50,HSC,5,FB,1,Aiden Sutherland,36.70,SB,FG,2,Campbell Kurpiel,48.95,HSC,3,FB,2,Liam Gentry,33.75,HSC,FG,3,Kate Gentry,46.15,HSC,1,FB,3,Samuel Bricker,29.85,HSC,FG,4,Elizabeth Peebles,36.95,HSC,FB,4,Alan Schwartz,23.70,HSC,FG,5,Jem Wahler,30.00,SB,FB,5,Alejandro Payan,22.60,HSC,FG,6,Siena Nguyen,18.25,HSC,FG,7,Amelia Gentry,14.50,HSC,FG,8,Ava Payan,11.00,HSC,Freshman Girls TOTALS,9,0,Freshman Boys TOTALS,JG,Place,Junior Girls,Score,Team,H,V,JB,Place,Junior Boys,Score,Team,JG,1,Leyla Ozden,58.85,HSC,5,JB,1,Bennett Steele,88.45,HSC,JG,2,Eliza Hunt,44.75,SB,3,JB,2,Jacob Ross,66.00,HSC,JB,3,Darius Bajoghli,62.75,HSC,JB,4,T'iyler Rothstein,53.45,SB,JB,5,Ash Burress,46.60,SB,Junior Girls TOTALS,5,3,Junior Boys TOTALS,IG,Place,Intermediate Girls,Score,Team,H,V,IB,Place,Intermediate Boys,Score,Team,IG,1,Aubrie Burress,77.55,SB,5,IB,1,Savas Emanuel,104.20,HSC,IG,2,Jade Carey,51.35,SB,3,Intermediate Girls TOTALS,0,8,Intermediate Boys TOTALS,SG,Place,Senior Girls,Score,Team,H,V,SB,Place,Senior Boys,Score,Team,SG,1,Melinda Hauda,141.50,HSC,5,SB,1,Anthony Maull,114.60,HSC,SG,2,Makenna Aphrodite,51.45,SB,3,SB,2,Brendan Waterval,96.30,SB,Senior Girls TOTALS,5,3,Senior Boys TOTALS,Judges,Referee,Karen Hauda,Mark Waterval, Carol Davis, Miguel Payan, Anamarie Paredes, Amir Bajoghli,Meet Secretary,William Hauda,Home Team Secretary,William Hauda,Visiting Team Secretary,Carylin Waterval,Home Team Comments,Visiting Team Comments,Results Form #,3,Date,7/6/2021,* These results are calculated automatically and are non-editable,Report Status,10-Finalized,Home Team,W-Woodley,W,Visiting Team,RFD-Rutherford,Score,45,Score,24,H,V,FG,Freshman Girls,6,3,FB,Freshman Boys,JG,Junior Girls,5,4,JB,Junior Boys,IG,Intermediate Girls,8,0,IB,Intermediate Boys,SG,Senior Girls,8,0,SB,Senior Boys,TOTALS,27,7,TOTALS,FG,Place,Freshman Girls,Score,Team,H,V,FB,Place,Freshman Boys,Score,Team,FG,1,Elin Temme,64.40,W,5,FB,1,Max Braswell,47.15,RFD,FG,2,Kathryn Fegan,60.15,RFD,3,FB,2,Alex Lum,42.15,W,FG,3,Sally Horne,48.55,W,1,FB,3,Optimus Bigby,39.60,W,FG,4,Teny Davitian,45.70,RFD,FB,4,Joseph Thiede,39.25,W,FG,5,Evie Warren,37.60,RFD,FB,5,Brandon Haase,36.90,W,FG,6,Lorriane Miller,32.35,RFD,FB,6,Cole Fegan,32.70,RFD,FG,7,Hadley Townsend,29.50,RFD,FB,7,Paul Thiede,25.20,W,FG,8,Tennley Jackson,17.90,W,FB,8,Zachary Lum,21.50,W,FG,9,Miriam Stavlund,16.00,W,FB,9,Austin Brooks,19.25,RFD,FG,10,Avery Burch,12.25,RFD,FB,10,Benjamin Lum,14.75,W,FG,11,Lola Beltran,7.00,W,Freshman Girls TOTALS,6,3,Freshman Boys TOTALS,JG,Place,Junior Girls,Score,Team,H,V,JB,Place,Junior Boys,Score,Team,JG,1,Eliza Pollack,81.90,W,5,^,JB,1,Wyatt Fegan,83.40,RFD,JG,2,Pendry Carroll,58.25,RFD,3,JB,2,Benjamin Pollack,63.65,W,JG,3,Eva Martin,56.75,RFD,1,JB,3,John Burns,59.85,RFD,JB,4,John Horne,55.85,W,Junior Girls TOTALS,5,4,Junior Boys TOTALS,IG,Place,Intermediate Girls,Score,Team,H,V,IB,Place,Intermediate Boys,Score,Team,IG,1,Helena Horne,84.55,W,5,IB,1,Roman Braswell,127.65,RFD,IG,2,Isabelle Horne,77.00,W,3,^,IB,2,Zachary Napoli,81.00,W,IB,3,Liam Wade,78.50,RFD,IB,4,James Horne,38.10,W,Intermediate Girls TOTALS,8,0,Intermediate Boys TOTALS,SG,Place,Senior Girls,Score,Team,H,V,SB,Place,Senior Boys,Score,Team,SG,1,Elizabeth Bell,137.50,W,5,^,SB,1,Caleb Hoover,135.55,W,SG,2,Tatum Kline,135.40,W,3,^,SB,2,Silas Mitchell,131.75,W,Senior Girls TOTALS,8,0,Senior Boys TOTALS,Judges,Referee,Jim Sweeder,Jim Sweeder, Ken Sims/Kyle Hoover, Emma Miller, Chris Wade, Katie Burch,Meet Secretary,Emily Hoover,Home Team Secretary,Emily Hoover,Visiting Team Secretary,Poline Braswell,Home Team Comments,Visiting Team Comments,You need to put in the dive categories.  </v>
      </c>
      <c r="H10" s="187"/>
    </row>
    <row r="11" spans="1:21" ht="15.75" customHeight="1">
      <c r="A11" s="181">
        <v>8</v>
      </c>
      <c r="B11" s="167" t="str">
        <f t="shared" ca="1" si="0"/>
        <v>Div 8: DIVE REP ONLY Click to Open D8 Meet Sheet 7/6/2021 - hover then click!</v>
      </c>
      <c r="C11" s="182" t="str">
        <f t="shared" si="1"/>
        <v>https://docs.google.com/spreadsheets/d/1l-cpM87vWi-iwfO7a6r0CuJ0wBROJKu0Q6xSRbi5zDI</v>
      </c>
      <c r="D11" s="183" t="s">
        <v>109</v>
      </c>
      <c r="E11" s="184" t="str">
        <f t="shared" si="2"/>
        <v xml:space="preserve">  MDautoExpire('https://docs.google.com/spreadsheets/d/1l-cpM87vWi-iwfO7a6r0CuJ0wBROJKu0Q6xSRbi5zDI'); //D8 01/00/1900</v>
      </c>
      <c r="F11" s="185" t="s">
        <v>117</v>
      </c>
      <c r="G11" s="186" t="str">
        <f ca="1">IFERROR(__xludf.DUMMYFUNCTION("textjoin("","", true, importrange(C11,SUBSTITUTE(SUBSTITUTE(D11,""300"",""3""),""$u$"",""$R$"")))"),"7/6/2021,NVSL DIVING MEET RESULTS,Div,8,Link,Home Team,Score,Visiting Team,Score,1,1,IC-Ilda Community,23,0,vs,CSC-Commonwealth Swim Club,30,2,2,S-Springfield,45,0,vs,A-Annandale,15,3,3,PL-Parklawn,34,0,vs,NS-North Springfield,34,Results Form #,1,Date,7/6"&amp;"/2021,* These results are calculated automatically and are non-editable,Report Status,10-Finalized,Home Team,IC-Ilda Community,IC,Visiting Team,CSC-Commonwealth Swim Club,Score,23,Score,30,H,V,FG,Freshman Girls,1,8,FB,Freshman Boys,JG,Junior Girls,5,3,JB,"&amp;"Junior Boys,IG,Intermediate Girls,5,0,IB,Intermediate Boys,SG,Senior Girls,4,5,SB,Senior Boys,TOTALS,15,16,TOTALS,FG,Place,Freshman Girls,Score,Team,H,V,FB,Place,Freshman Boys,Score,Team,FG,1,Soraya Lora-Pena,76.25,CSC,5,FB,1,Lucas Nguyen,66.70,CSC,FG,2,M"&amp;"ackenzie Rose Healy,68.45,CSC,3,FB,2,Nick Jenkins,64.10,CSC,FG,3,Amaya Erb,67.65,IC,1,FB,3,Nathan Pierce,59.70,CSC,FG,4,Rosalie Thornton,46.20,IC,FB,4,Harrison Ali,59.45,CSC,FG,5,Natalia Torres,44.80,CSC,FB,5,Liam Swearingen,49.55,CSC,FG,6,Katya Kankadze,"&amp;"42.15,CSC,FB,6,Alex Erchov,47.35,CSC,FB,7,Luke Kropf,46.00,IC,FB,8,Noah Pierce,45.50,CSC,FB,9,Lincoln Ali,28.50,CSC,FB,10,Emmett Kropf,27.20,IC,Freshman Girls TOTALS,1,8,Freshman Boys TOTALS,JG,Place,Junior Girls,Score,Team,H,V,JB,Place,Junior Boys,Score,"&amp;"Team,JG,1,Madeline Fay,104.95,IC,5,JB,1,Carter Jenkins,95.35,CSC,JG,2,Karie Egan,96.00,CSC,3,^,JB,2,Everett Thornton,87.55,IC,Junior Girls TOTALS,5,3,Junior Boys TOTALS,IG,Place,Intermediate Girls,Score,Team,H,V,IB,Place,Intermediate Boys,Score,Team,IG,1,"&amp;"Emily Bush,128.50,IC,5,IB,1,Grant Thornton,101.50,IC,Intermediate Girls TOTALS,5,0,Intermediate Boys TOTALS,SG,Place,Senior Girls,Score,Team,H,V,SB,Place,Senior Boys,Score,Team,SG,1,Madi Flinn,189.55,CSC,5,SG,2,Maura Fay,166.25,IC,3,SG,3,Nina Gillette,129"&amp;".85,IC,1,Senior Girls TOTALS,4,5,Senior Boys TOTALS,Judges,Referee,Connie Gillette,Connie Gillette, Jesse Thornton, Jessica Flinn, Cherlyn Jenkins, Tonyi Pelham,Meet Secretary,Ed Fay,Home Team Secretary,Ed Fay,Visiting Team Secretary,Michelle Hughes Ali,H"&amp;"ome Team Comments,Visiting Team Comments,Thanks for a nice meet!  I didn't catch the last name of your meet secretary if you wouldn't mind filling that in. ,Thanks for a great meet,Results Form #,2,Date,7/6/2021,* These results are calculated automaticall"&amp;"y and are non-editable,Report Status,10-Finalized,Home Team,S-Springfield,S,Visiting Team,A-Annandale,Score,45,Score,15,H,V,FG,Freshman Girls,4,5,FB,Freshman Boys,JG,Junior Girls,8,0,JB,Junior Boys,IG,Intermediate Girls,0,0,IB,Intermediate Boys,SG,Senior "&amp;"Girls,8,0,SB,Senior Boys,TOTALS,20,5,TOTALS,FG,Place,Freshman Girls,Score,Team,H,V,FB,Place,Freshman Boys,Score,Team,FG,1,Ramona Kelshian,57.65,A,5,FB,1,Caiden Calhoun,63.55,S,FG,2,Brigid Cahill,44.60,S,3,FB,2,Brendan Castro,62.35,S,FG,3,Isabella Darter,4"&amp;"0.40,S,1,FB,3,Matthew Rempe,48.85,S,FG,4,Viviana Del Campo,23.75,S,FB,4,Benjamin Dane,30.95,S,FG,5,Avery Berg,20.75,S,Freshman Girls TOTALS,4,5,Freshman Boys TOTALS,JG,Place,Junior Girls,Score,Team,H,V,JB,Place,Junior Boys,Score,Team,JG,1,Kaia Clark,78.10"&amp;",S,5,JB,1,Cristiano Garcia,145.15,S,JG,2,Grace Rempe,68.50,S,3,JB,2,Caleb Orban,75.40,S,JB,3,Ben Tran,53.35,A,Junior Girls TOTALS,8,0,Junior Boys TOTALS,IG,Place,Intermediate Girls,Score,Team,H,V,IB,Place,Intermediate Boys,Score,Team,IB,1,Brian Tran,100.8"&amp;"0,A,IB,2,Nat O'Brien,90.30,S,Intermediate Girls TOTALS,0,0,Intermediate Boys TOTALS,SG,Place,Senior Girls,Score,Team,H,V,SB,Place,Senior Boys,Score,Team,SG,1,Abby Bangs,186.00,S,5,SB,1,Ari Snow,254.80,S,SG,2,Grace Partain,150.85,S,3,SB,2,Nathan Tran,208.6"&amp;"5,A,SB,3,Mason Du,197.60,A,SB,4,Tim Isenberg,129.20,S,Senior Girls TOTALS,8,0,Senior Boys TOTALS,Judges,Referee,Kristin Garcia,Kristin Garcia, Betsy Yarrison, Deidre Cahill, Rae Tran, Nhamy Tran,Meet Secretary,Lindsay Del Campo,Home Team Secretary,Lindsay"&amp;" Del Campo,Visiting Team Secretary,Denise Du,Home Team Comments,Visiting Team Comments,Thanks so much, Annandale! Great meet!!,Thank You Springfield for being great Hosts!!!,Results Form #,3,Date,7/6/2021,* These results are calculated automatically and a"&amp;"re non-editable,Report Status,10-Finalized,Home Team,PL-Parklawn,PL,Visiting Team,NS-North Springfield,Score,34,Score,34,H,V,FG,Freshman Girls,8,1,FB,Freshman Boys,JG,Junior Girls,6,3,JB,Junior Boys,IG,Intermediate Girls,9,0,IB,Intermediate Boys,SG,Senior"&amp;" Girls,1,8,SB,Senior Boys,TOTALS,24,12,TOTALS,FG,Place,Freshman Girls,Score,Team,H,V,FB,Place,Freshman Boys,Score,Team,FG,1,Charlotte Hill,78.90,PL,5,FB,1,Ethan Dalrymple,65.80,NS,FG,2,Mei Mei Roth,74.40,PL,3,FB,2,Cormac Henderson,57.05,PL,FG,3,Natalia Ha"&amp;"ley,56.25,NS,1,FB,3,William Gall,55.80,NS,FG,4,Ella Aberra,34.05,PL,FB,4,Miller Supple,55.30,PL,FB,5,Yousef Chawki,41.05,NS,FB,6,Raphael Mesmer,39.50,PL,FB,7,Mason Iams,35.80,PL,FB,8,Kaleo Contreni-Moore,34.20,PL,FB,9,Miles Marvin,33.10,PL,FB,10,Keaton Gu"&amp;"tierrez,32.95,PL,FB,11,Gabriel Mesmer,21.90,PL,Freshman Girls TOTALS,8,1,Freshman Boys TOTALS,JG,Place,Junior Girls,Score,Team,H,V,JB,Place,Junior Boys,Score,Team,JG,1,Brooke Hunnicutt,86.15,PL,5,JB,1,Phill Bernard,93.60,NS,JG,2,Ami Bernard,63.55,NS,3,JB,"&amp;"2,Charlie McGinity,0.00,NS,JG,3,Rayna Johnson,62.90,PL,1,Junior Girls TOTALS,6,3,Junior Boys TOTALS,IG,Place,Intermediate Girls,Score,Team,H,V,IB,Place,Intermediate Boys,Score,Team,IG,1,Tess Galway,147.35,PL,5,IB,1,Will Leyhe,131.00,NS,IG,2,Daysi Cruz,99."&amp;"90,PL,3,IB,2,Joe Liller,91.90,PL,IG,3,Julia Kaldahl,91.65,PL,1,IB,3,Brian Bernard,73.65,NS,IG,4,Emma Hill,89.85,PL,IG,5,Madalyn Dixon,0.00,NS,Intermediate Girls TOTALS,9,0,Intermediate Boys TOTALS,SG,Place,Senior Girls,Score,Team,H,V,SB,Place,Senior Boys,"&amp;"Score,Team,SG,1,Morgan Milman,170.25,NS,5,SB,1,Xavier Johnston,154.35,NS,SG,2,Charlotte Moore,156.10,NS,3,SB,2,Cade Stinson,134.55,PL,SG,3,Emma Liston,143.10,PL,1,SB,3,Owen Henderson,125.00,PL,SG,4,Keira Dalrymple,93.60,NS,SG,5,Madelynn Gall,0.00,NS,Senio"&amp;"r Girls TOTALS,1,8,Senior Boys TOTALS,Judges,Referee,Laurie Blakeman,Alison Dalsimer, Rheanna Bernard, Celeste Leyhe, Joy Hill, Meghan Iams,Meet Secretary,Helen Harris,Home Team Secretary,Helen Harris,Visiting Team Secretary,Celeste Leyhe,Home Team Commen"&amp;"ts,Visiting Team Comments,Thanks for a great meet!")</f>
        <v>7/6/2021,NVSL DIVING MEET RESULTS,Div,8,Link,Home Team,Score,Visiting Team,Score,1,1,IC-Ilda Community,23,0,vs,CSC-Commonwealth Swim Club,30,2,2,S-Springfield,45,0,vs,A-Annandale,15,3,3,PL-Parklawn,34,0,vs,NS-North Springfield,34,Results Form #,1,Date,7/6/2021,* These results are calculated automatically and are non-editable,Report Status,10-Finalized,Home Team,IC-Ilda Community,IC,Visiting Team,CSC-Commonwealth Swim Club,Score,23,Score,30,H,V,FG,Freshman Girls,1,8,FB,Freshman Boys,JG,Junior Girls,5,3,JB,Junior Boys,IG,Intermediate Girls,5,0,IB,Intermediate Boys,SG,Senior Girls,4,5,SB,Senior Boys,TOTALS,15,16,TOTALS,FG,Place,Freshman Girls,Score,Team,H,V,FB,Place,Freshman Boys,Score,Team,FG,1,Soraya Lora-Pena,76.25,CSC,5,FB,1,Lucas Nguyen,66.70,CSC,FG,2,Mackenzie Rose Healy,68.45,CSC,3,FB,2,Nick Jenkins,64.10,CSC,FG,3,Amaya Erb,67.65,IC,1,FB,3,Nathan Pierce,59.70,CSC,FG,4,Rosalie Thornton,46.20,IC,FB,4,Harrison Ali,59.45,CSC,FG,5,Natalia Torres,44.80,CSC,FB,5,Liam Swearingen,49.55,CSC,FG,6,Katya Kankadze,42.15,CSC,FB,6,Alex Erchov,47.35,CSC,FB,7,Luke Kropf,46.00,IC,FB,8,Noah Pierce,45.50,CSC,FB,9,Lincoln Ali,28.50,CSC,FB,10,Emmett Kropf,27.20,IC,Freshman Girls TOTALS,1,8,Freshman Boys TOTALS,JG,Place,Junior Girls,Score,Team,H,V,JB,Place,Junior Boys,Score,Team,JG,1,Madeline Fay,104.95,IC,5,JB,1,Carter Jenkins,95.35,CSC,JG,2,Karie Egan,96.00,CSC,3,^,JB,2,Everett Thornton,87.55,IC,Junior Girls TOTALS,5,3,Junior Boys TOTALS,IG,Place,Intermediate Girls,Score,Team,H,V,IB,Place,Intermediate Boys,Score,Team,IG,1,Emily Bush,128.50,IC,5,IB,1,Grant Thornton,101.50,IC,Intermediate Girls TOTALS,5,0,Intermediate Boys TOTALS,SG,Place,Senior Girls,Score,Team,H,V,SB,Place,Senior Boys,Score,Team,SG,1,Madi Flinn,189.55,CSC,5,SG,2,Maura Fay,166.25,IC,3,SG,3,Nina Gillette,129.85,IC,1,Senior Girls TOTALS,4,5,Senior Boys TOTALS,Judges,Referee,Connie Gillette,Connie Gillette, Jesse Thornton, Jessica Flinn, Cherlyn Jenkins, Tonyi Pelham,Meet Secretary,Ed Fay,Home Team Secretary,Ed Fay,Visiting Team Secretary,Michelle Hughes Ali,Home Team Comments,Visiting Team Comments,Thanks for a nice meet!  I didn't catch the last name of your meet secretary if you wouldn't mind filling that in. ,Thanks for a great meet,Results Form #,2,Date,7/6/2021,* These results are calculated automatically and are non-editable,Report Status,10-Finalized,Home Team,S-Springfield,S,Visiting Team,A-Annandale,Score,45,Score,15,H,V,FG,Freshman Girls,4,5,FB,Freshman Boys,JG,Junior Girls,8,0,JB,Junior Boys,IG,Intermediate Girls,0,0,IB,Intermediate Boys,SG,Senior Girls,8,0,SB,Senior Boys,TOTALS,20,5,TOTALS,FG,Place,Freshman Girls,Score,Team,H,V,FB,Place,Freshman Boys,Score,Team,FG,1,Ramona Kelshian,57.65,A,5,FB,1,Caiden Calhoun,63.55,S,FG,2,Brigid Cahill,44.60,S,3,FB,2,Brendan Castro,62.35,S,FG,3,Isabella Darter,40.40,S,1,FB,3,Matthew Rempe,48.85,S,FG,4,Viviana Del Campo,23.75,S,FB,4,Benjamin Dane,30.95,S,FG,5,Avery Berg,20.75,S,Freshman Girls TOTALS,4,5,Freshman Boys TOTALS,JG,Place,Junior Girls,Score,Team,H,V,JB,Place,Junior Boys,Score,Team,JG,1,Kaia Clark,78.10,S,5,JB,1,Cristiano Garcia,145.15,S,JG,2,Grace Rempe,68.50,S,3,JB,2,Caleb Orban,75.40,S,JB,3,Ben Tran,53.35,A,Junior Girls TOTALS,8,0,Junior Boys TOTALS,IG,Place,Intermediate Girls,Score,Team,H,V,IB,Place,Intermediate Boys,Score,Team,IB,1,Brian Tran,100.80,A,IB,2,Nat O'Brien,90.30,S,Intermediate Girls TOTALS,0,0,Intermediate Boys TOTALS,SG,Place,Senior Girls,Score,Team,H,V,SB,Place,Senior Boys,Score,Team,SG,1,Abby Bangs,186.00,S,5,SB,1,Ari Snow,254.80,S,SG,2,Grace Partain,150.85,S,3,SB,2,Nathan Tran,208.65,A,SB,3,Mason Du,197.60,A,SB,4,Tim Isenberg,129.20,S,Senior Girls TOTALS,8,0,Senior Boys TOTALS,Judges,Referee,Kristin Garcia,Kristin Garcia, Betsy Yarrison, Deidre Cahill, Rae Tran, Nhamy Tran,Meet Secretary,Lindsay Del Campo,Home Team Secretary,Lindsay Del Campo,Visiting Team Secretary,Denise Du,Home Team Comments,Visiting Team Comments,Thanks so much, Annandale! Great meet!!,Thank You Springfield for being great Hosts!!!,Results Form #,3,Date,7/6/2021,* These results are calculated automatically and are non-editable,Report Status,10-Finalized,Home Team,PL-Parklawn,PL,Visiting Team,NS-North Springfield,Score,34,Score,34,H,V,FG,Freshman Girls,8,1,FB,Freshman Boys,JG,Junior Girls,6,3,JB,Junior Boys,IG,Intermediate Girls,9,0,IB,Intermediate Boys,SG,Senior Girls,1,8,SB,Senior Boys,TOTALS,24,12,TOTALS,FG,Place,Freshman Girls,Score,Team,H,V,FB,Place,Freshman Boys,Score,Team,FG,1,Charlotte Hill,78.90,PL,5,FB,1,Ethan Dalrymple,65.80,NS,FG,2,Mei Mei Roth,74.40,PL,3,FB,2,Cormac Henderson,57.05,PL,FG,3,Natalia Haley,56.25,NS,1,FB,3,William Gall,55.80,NS,FG,4,Ella Aberra,34.05,PL,FB,4,Miller Supple,55.30,PL,FB,5,Yousef Chawki,41.05,NS,FB,6,Raphael Mesmer,39.50,PL,FB,7,Mason Iams,35.80,PL,FB,8,Kaleo Contreni-Moore,34.20,PL,FB,9,Miles Marvin,33.10,PL,FB,10,Keaton Gutierrez,32.95,PL,FB,11,Gabriel Mesmer,21.90,PL,Freshman Girls TOTALS,8,1,Freshman Boys TOTALS,JG,Place,Junior Girls,Score,Team,H,V,JB,Place,Junior Boys,Score,Team,JG,1,Brooke Hunnicutt,86.15,PL,5,JB,1,Phill Bernard,93.60,NS,JG,2,Ami Bernard,63.55,NS,3,JB,2,Charlie McGinity,0.00,NS,JG,3,Rayna Johnson,62.90,PL,1,Junior Girls TOTALS,6,3,Junior Boys TOTALS,IG,Place,Intermediate Girls,Score,Team,H,V,IB,Place,Intermediate Boys,Score,Team,IG,1,Tess Galway,147.35,PL,5,IB,1,Will Leyhe,131.00,NS,IG,2,Daysi Cruz,99.90,PL,3,IB,2,Joe Liller,91.90,PL,IG,3,Julia Kaldahl,91.65,PL,1,IB,3,Brian Bernard,73.65,NS,IG,4,Emma Hill,89.85,PL,IG,5,Madalyn Dixon,0.00,NS,Intermediate Girls TOTALS,9,0,Intermediate Boys TOTALS,SG,Place,Senior Girls,Score,Team,H,V,SB,Place,Senior Boys,Score,Team,SG,1,Morgan Milman,170.25,NS,5,SB,1,Xavier Johnston,154.35,NS,SG,2,Charlotte Moore,156.10,NS,3,SB,2,Cade Stinson,134.55,PL,SG,3,Emma Liston,143.10,PL,1,SB,3,Owen Henderson,125.00,PL,SG,4,Keira Dalrymple,93.60,NS,SG,5,Madelynn Gall,0.00,NS,Senior Girls TOTALS,1,8,Senior Boys TOTALS,Judges,Referee,Laurie Blakeman,Alison Dalsimer, Rheanna Bernard, Celeste Leyhe, Joy Hill, Meghan Iams,Meet Secretary,Helen Harris,Home Team Secretary,Helen Harris,Visiting Team Secretary,Celeste Leyhe,Home Team Comments,Visiting Team Comments,Thanks for a great meet!</v>
      </c>
      <c r="H11" s="187"/>
    </row>
    <row r="12" spans="1:21">
      <c r="A12" s="19"/>
      <c r="C12" s="188"/>
      <c r="E12" s="145"/>
      <c r="F12" s="189"/>
      <c r="G12" s="19"/>
      <c r="H12" s="19"/>
    </row>
    <row r="13" spans="1:21">
      <c r="A13" s="19"/>
      <c r="C13" s="188"/>
      <c r="E13" s="145"/>
      <c r="F13" s="190"/>
    </row>
    <row r="14" spans="1:21">
      <c r="A14" s="19"/>
      <c r="C14" s="188"/>
      <c r="E14" s="145"/>
      <c r="F14" s="190"/>
    </row>
    <row r="15" spans="1:21">
      <c r="A15" s="19"/>
      <c r="C15" s="190"/>
      <c r="E15" s="145"/>
    </row>
    <row r="16" spans="1:21">
      <c r="A16" s="19"/>
      <c r="C16" s="190"/>
      <c r="E16" s="145"/>
    </row>
    <row r="17" spans="1:5">
      <c r="A17" s="19"/>
      <c r="C17" s="190"/>
      <c r="E17" s="145"/>
    </row>
    <row r="18" spans="1:5">
      <c r="A18" s="19"/>
      <c r="C18" s="190"/>
      <c r="E18" s="145"/>
    </row>
    <row r="19" spans="1:5">
      <c r="A19" s="19"/>
      <c r="C19" s="190"/>
      <c r="E19" s="145"/>
    </row>
    <row r="20" spans="1:5" ht="15.75" customHeight="1">
      <c r="A20" s="19"/>
      <c r="E20" s="145"/>
    </row>
  </sheetData>
  <conditionalFormatting sqref="C1:C2">
    <cfRule type="cellIs" dxfId="5" priority="1" operator="lessThan">
      <formula>5</formula>
    </cfRule>
  </conditionalFormatting>
  <conditionalFormatting sqref="C1:C2">
    <cfRule type="cellIs" dxfId="4" priority="2" operator="greaterThan">
      <formula>18</formula>
    </cfRule>
  </conditionalFormatting>
  <conditionalFormatting sqref="G4:G20">
    <cfRule type="expression" dxfId="3" priority="3">
      <formula>ISERR(G4)</formula>
    </cfRule>
  </conditionalFormatting>
  <pageMargins left="0.7" right="0.7" top="0.75" bottom="0.75" header="0.3" footer="0.3"/>
  <tableParts count="2">
    <tablePart r:id="rId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tabColor rgb="FFFF0000"/>
    <outlinePr summaryBelow="0" summaryRight="0"/>
  </sheetPr>
  <dimension ref="A1:U7176"/>
  <sheetViews>
    <sheetView workbookViewId="0">
      <pane ySplit="4" topLeftCell="A5" activePane="bottomLeft" state="frozen"/>
      <selection pane="bottomLeft" activeCell="B6" sqref="B6"/>
    </sheetView>
  </sheetViews>
  <sheetFormatPr defaultColWidth="14.44140625" defaultRowHeight="15.75" customHeight="1"/>
  <cols>
    <col min="1" max="1" width="9.5546875" customWidth="1"/>
    <col min="2" max="2" width="17.109375" customWidth="1"/>
    <col min="7" max="7" width="8.44140625" customWidth="1"/>
    <col min="8" max="13" width="10" customWidth="1"/>
  </cols>
  <sheetData>
    <row r="1" spans="1:21" ht="15.75" customHeight="1">
      <c r="A1" s="169" t="s">
        <v>118</v>
      </c>
      <c r="B1" s="170"/>
      <c r="C1" s="171"/>
      <c r="D1" s="171"/>
      <c r="E1" s="172"/>
      <c r="F1" s="172"/>
      <c r="G1" s="172"/>
      <c r="H1" s="172"/>
      <c r="I1" s="172"/>
      <c r="J1" s="172"/>
      <c r="K1" s="172"/>
      <c r="L1" s="172"/>
      <c r="M1" s="172"/>
      <c r="N1" s="173"/>
      <c r="O1" s="173"/>
      <c r="P1" s="173"/>
      <c r="Q1" s="173"/>
      <c r="R1" s="173"/>
      <c r="S1" s="173"/>
      <c r="T1" s="173"/>
      <c r="U1" s="173"/>
    </row>
    <row r="2" spans="1:21" ht="15.75" customHeight="1">
      <c r="A2" s="191"/>
      <c r="B2" s="174"/>
      <c r="C2" s="171"/>
      <c r="D2" s="175" t="s">
        <v>119</v>
      </c>
      <c r="E2" s="192" t="s">
        <v>120</v>
      </c>
      <c r="F2" s="172"/>
      <c r="G2" s="172"/>
      <c r="H2" s="172"/>
      <c r="I2" s="172"/>
      <c r="J2" s="172"/>
      <c r="K2" s="172"/>
      <c r="L2" s="172"/>
      <c r="M2" s="172"/>
      <c r="N2" s="173"/>
      <c r="O2" s="173"/>
      <c r="P2" s="173"/>
      <c r="Q2" s="173"/>
      <c r="R2" s="173"/>
      <c r="S2" s="173"/>
      <c r="T2" s="173"/>
      <c r="U2" s="173"/>
    </row>
    <row r="3" spans="1:21" ht="15.75" customHeight="1">
      <c r="A3" s="193" t="str">
        <f ca="1">IFERROR(__xludf.DUMMYFUNCTION("sort(importrange(E2,""Lookup-Diver-Secure!$i:$o""),1,true,5,true,4,true,2,true)"),"!2021
 DiverTeam: 
2334 Entries")</f>
        <v>!2021
 DiverTeam: 
2334 Entries</v>
      </c>
      <c r="B3" s="194" t="str">
        <f ca="1">IFERROR(__xludf.DUMMYFUNCTION("""COMPUTED_VALUE"""),"!2021
 DiverName: 
2334 Entries")</f>
        <v>!2021
 DiverName: 
2334 Entries</v>
      </c>
      <c r="C3" s="195" t="str">
        <f ca="1">IFERROR(__xludf.DUMMYFUNCTION("""COMPUTED_VALUE"""),"!2021
 DiverAgeOn61: 
2334 Entries")</f>
        <v>!2021
 DiverAgeOn61: 
2334 Entries</v>
      </c>
      <c r="D3" s="195" t="str">
        <f ca="1">IFERROR(__xludf.DUMMYFUNCTION("""COMPUTED_VALUE"""),"!2021
 DiverGender: 
2334 Entries
G:1288 B:1046")</f>
        <v>!2021
 DiverGender: 
2334 Entries
G:1288 B:1046</v>
      </c>
      <c r="E3" s="196" t="str">
        <f ca="1">IFERROR(__xludf.DUMMYFUNCTION("""COMPUTED_VALUE"""),"!Calculated DiverEvent
F:1214 J:500 I:346 S:274")</f>
        <v>!Calculated DiverEvent
F:1214 J:500 I:346 S:274</v>
      </c>
      <c r="F3" s="196" t="str">
        <f ca="1">IFERROR(__xludf.DUMMYFUNCTION("""COMPUTED_VALUE"""),"Calculated DiveUpEvent")</f>
        <v>Calculated DiveUpEvent</v>
      </c>
      <c r="G3" s="196" t="str">
        <f ca="1">IFERROR(__xludf.DUMMYFUNCTION("""COMPUTED_VALUE"""),"Division Lookup")</f>
        <v>Division Lookup</v>
      </c>
      <c r="H3" s="197" t="str">
        <f>TEXT('D1-MeetResults'!$D$1,"mm/dd/yy")&amp;" Dive Results Raw1"</f>
        <v>07/06/21 Dive Results Raw1</v>
      </c>
      <c r="I3" s="197" t="str">
        <f>TEXT('D1-MeetResults'!$D$1,"mm/dd/yy")&amp;" Dive Results Raw2"</f>
        <v>07/06/21 Dive Results Raw2</v>
      </c>
      <c r="J3" s="198" t="str">
        <f>TEXT('D1-MeetResults'!$D$1,"mm/dd/yy")&amp;" Dive-Up Ind1"</f>
        <v>07/06/21 Dive-Up Ind1</v>
      </c>
      <c r="K3" s="198" t="str">
        <f>TEXT('D1-MeetResults'!$D$1,"mm/dd/yy")&amp;" Dive-Up Ind2"</f>
        <v>07/06/21 Dive-Up Ind2</v>
      </c>
      <c r="L3" s="198" t="str">
        <f>TEXT('D1-MeetResults'!$D$1,"mm/dd/yy")&amp;" Dual Meet Results"</f>
        <v>07/06/21 Dual Meet Results</v>
      </c>
      <c r="M3" s="198" t="str">
        <f>TEXT('D1-MeetResults'!$D$1,"mm/dd/yy")&amp;" Dive-Up Ind"</f>
        <v>07/06/21 Dive-Up Ind</v>
      </c>
    </row>
    <row r="4" spans="1:21">
      <c r="A4" s="199" t="str">
        <f ca="1">IFERROR(__xludf.DUMMYFUNCTION("""COMPUTED_VALUE"""),"A")</f>
        <v>A</v>
      </c>
      <c r="B4" s="200" t="str">
        <f ca="1">IFERROR(__xludf.DUMMYFUNCTION("""COMPUTED_VALUE"""),"Ramona Kelshian")</f>
        <v>Ramona Kelshian</v>
      </c>
      <c r="C4" s="199">
        <f ca="1">IFERROR(__xludf.DUMMYFUNCTION("""COMPUTED_VALUE"""),8)</f>
        <v>8</v>
      </c>
      <c r="D4" s="201" t="str">
        <f ca="1">IFERROR(__xludf.DUMMYFUNCTION("""COMPUTED_VALUE"""),"G")</f>
        <v>G</v>
      </c>
      <c r="E4" s="202" t="str">
        <f ca="1">IFERROR(__xludf.DUMMYFUNCTION("""COMPUTED_VALUE"""),"F")</f>
        <v>F</v>
      </c>
      <c r="F4" s="202" t="str">
        <f ca="1">IFERROR(__xludf.DUMMYFUNCTION("""COMPUTED_VALUE"""),"J")</f>
        <v>J</v>
      </c>
      <c r="G4" s="202">
        <f ca="1">IFERROR(__xludf.DUMMYFUNCTION("""COMPUTED_VALUE"""),8)</f>
        <v>8</v>
      </c>
      <c r="H4" s="203">
        <v>57.65</v>
      </c>
      <c r="I4" s="204" t="s">
        <v>121</v>
      </c>
      <c r="J4" s="204" t="s">
        <v>121</v>
      </c>
      <c r="K4" s="204" t="s">
        <v>121</v>
      </c>
      <c r="L4" s="205" t="str">
        <f t="array" ref="L4:L7176">SUBSTITUTE(IF($H4:H7176="", IF($I4:I7176="", ""," "&amp;M4:M7176&amp;$I4:I7176)," "&amp;M4:M7176&amp;$H4:H7176),"^","-")</f>
        <v xml:space="preserve"> 57.65</v>
      </c>
      <c r="M4" s="205" t="str">
        <f t="array" ref="M4:M7176">IF($J4:J7176="",IF($K4:K7176="","",$K4:K7176),$J4:J7176)</f>
        <v/>
      </c>
    </row>
    <row r="5" spans="1:21">
      <c r="A5" s="201" t="str">
        <f ca="1">IFERROR(__xludf.DUMMYFUNCTION("""COMPUTED_VALUE"""),"A")</f>
        <v>A</v>
      </c>
      <c r="B5" s="200" t="str">
        <f ca="1">IFERROR(__xludf.DUMMYFUNCTION("""COMPUTED_VALUE"""),"Brian Tran")</f>
        <v>Brian Tran</v>
      </c>
      <c r="C5" s="199">
        <f ca="1">IFERROR(__xludf.DUMMYFUNCTION("""COMPUTED_VALUE"""),14)</f>
        <v>14</v>
      </c>
      <c r="D5" s="201" t="str">
        <f ca="1">IFERROR(__xludf.DUMMYFUNCTION("""COMPUTED_VALUE"""),"B")</f>
        <v>B</v>
      </c>
      <c r="E5" s="202" t="str">
        <f ca="1">IFERROR(__xludf.DUMMYFUNCTION("""COMPUTED_VALUE"""),"I")</f>
        <v>I</v>
      </c>
      <c r="F5" s="202" t="str">
        <f ca="1">IFERROR(__xludf.DUMMYFUNCTION("""COMPUTED_VALUE"""),"S")</f>
        <v>S</v>
      </c>
      <c r="G5" s="202">
        <f ca="1">IFERROR(__xludf.DUMMYFUNCTION("""COMPUTED_VALUE"""),8)</f>
        <v>8</v>
      </c>
      <c r="H5" s="206"/>
      <c r="I5" s="206">
        <v>100.8</v>
      </c>
      <c r="J5" s="206"/>
      <c r="K5" s="206" t="s">
        <v>121</v>
      </c>
      <c r="L5" s="206" t="str">
        <v xml:space="preserve"> 100.8</v>
      </c>
      <c r="M5" s="206" t="str">
        <v/>
      </c>
    </row>
    <row r="6" spans="1:21">
      <c r="A6" s="201" t="str">
        <f ca="1">IFERROR(__xludf.DUMMYFUNCTION("""COMPUTED_VALUE"""),"A")</f>
        <v>A</v>
      </c>
      <c r="B6" s="200" t="str">
        <f ca="1">IFERROR(__xludf.DUMMYFUNCTION("""COMPUTED_VALUE"""),"Ethan Garvin")</f>
        <v>Ethan Garvin</v>
      </c>
      <c r="C6" s="199">
        <f ca="1">IFERROR(__xludf.DUMMYFUNCTION("""COMPUTED_VALUE"""),13)</f>
        <v>13</v>
      </c>
      <c r="D6" s="201" t="str">
        <f ca="1">IFERROR(__xludf.DUMMYFUNCTION("""COMPUTED_VALUE"""),"B")</f>
        <v>B</v>
      </c>
      <c r="E6" s="202" t="str">
        <f ca="1">IFERROR(__xludf.DUMMYFUNCTION("""COMPUTED_VALUE"""),"I")</f>
        <v>I</v>
      </c>
      <c r="F6" s="202" t="str">
        <f ca="1">IFERROR(__xludf.DUMMYFUNCTION("""COMPUTED_VALUE"""),"S")</f>
        <v>S</v>
      </c>
      <c r="G6" s="202">
        <f ca="1">IFERROR(__xludf.DUMMYFUNCTION("""COMPUTED_VALUE"""),8)</f>
        <v>8</v>
      </c>
      <c r="H6" s="206"/>
      <c r="I6" s="206"/>
      <c r="J6" s="206"/>
      <c r="K6" s="206"/>
      <c r="L6" s="206" t="str">
        <v/>
      </c>
      <c r="M6" s="206" t="str">
        <v/>
      </c>
    </row>
    <row r="7" spans="1:21">
      <c r="A7" s="201" t="str">
        <f ca="1">IFERROR(__xludf.DUMMYFUNCTION("""COMPUTED_VALUE"""),"A")</f>
        <v>A</v>
      </c>
      <c r="B7" s="200" t="str">
        <f ca="1">IFERROR(__xludf.DUMMYFUNCTION("""COMPUTED_VALUE"""),"Ben Tran")</f>
        <v>Ben Tran</v>
      </c>
      <c r="C7" s="201">
        <f ca="1">IFERROR(__xludf.DUMMYFUNCTION("""COMPUTED_VALUE"""),12)</f>
        <v>12</v>
      </c>
      <c r="D7" s="201" t="str">
        <f ca="1">IFERROR(__xludf.DUMMYFUNCTION("""COMPUTED_VALUE"""),"B")</f>
        <v>B</v>
      </c>
      <c r="E7" s="202" t="str">
        <f ca="1">IFERROR(__xludf.DUMMYFUNCTION("""COMPUTED_VALUE"""),"J")</f>
        <v>J</v>
      </c>
      <c r="F7" s="202" t="str">
        <f ca="1">IFERROR(__xludf.DUMMYFUNCTION("""COMPUTED_VALUE"""),"I")</f>
        <v>I</v>
      </c>
      <c r="G7" s="202">
        <f ca="1">IFERROR(__xludf.DUMMYFUNCTION("""COMPUTED_VALUE"""),8)</f>
        <v>8</v>
      </c>
      <c r="H7" s="206"/>
      <c r="I7" s="206">
        <v>53.35</v>
      </c>
      <c r="J7" s="206"/>
      <c r="K7" s="206" t="s">
        <v>121</v>
      </c>
      <c r="L7" s="206" t="str">
        <v xml:space="preserve"> 53.35</v>
      </c>
      <c r="M7" s="206" t="str">
        <v/>
      </c>
    </row>
    <row r="8" spans="1:21">
      <c r="A8" s="201" t="str">
        <f ca="1">IFERROR(__xludf.DUMMYFUNCTION("""COMPUTED_VALUE"""),"A")</f>
        <v>A</v>
      </c>
      <c r="B8" s="200" t="str">
        <f ca="1">IFERROR(__xludf.DUMMYFUNCTION("""COMPUTED_VALUE"""),"Mason Du")</f>
        <v>Mason Du</v>
      </c>
      <c r="C8" s="201">
        <f ca="1">IFERROR(__xludf.DUMMYFUNCTION("""COMPUTED_VALUE"""),16)</f>
        <v>16</v>
      </c>
      <c r="D8" s="201" t="str">
        <f ca="1">IFERROR(__xludf.DUMMYFUNCTION("""COMPUTED_VALUE"""),"B")</f>
        <v>B</v>
      </c>
      <c r="E8" s="202" t="str">
        <f ca="1">IFERROR(__xludf.DUMMYFUNCTION("""COMPUTED_VALUE"""),"S")</f>
        <v>S</v>
      </c>
      <c r="F8" s="202" t="str">
        <f ca="1">IFERROR(__xludf.DUMMYFUNCTION("""COMPUTED_VALUE"""),"S")</f>
        <v>S</v>
      </c>
      <c r="G8" s="202">
        <f ca="1">IFERROR(__xludf.DUMMYFUNCTION("""COMPUTED_VALUE"""),8)</f>
        <v>8</v>
      </c>
      <c r="H8" s="206"/>
      <c r="I8" s="206">
        <v>197.6</v>
      </c>
      <c r="J8" s="206"/>
      <c r="K8" s="206" t="s">
        <v>121</v>
      </c>
      <c r="L8" s="206" t="str">
        <v xml:space="preserve"> 197.6</v>
      </c>
      <c r="M8" s="206" t="str">
        <v/>
      </c>
    </row>
    <row r="9" spans="1:21">
      <c r="A9" s="201" t="str">
        <f ca="1">IFERROR(__xludf.DUMMYFUNCTION("""COMPUTED_VALUE"""),"A")</f>
        <v>A</v>
      </c>
      <c r="B9" s="200" t="str">
        <f ca="1">IFERROR(__xludf.DUMMYFUNCTION("""COMPUTED_VALUE"""),"Nathan Tran")</f>
        <v>Nathan Tran</v>
      </c>
      <c r="C9" s="201">
        <f ca="1">IFERROR(__xludf.DUMMYFUNCTION("""COMPUTED_VALUE"""),15)</f>
        <v>15</v>
      </c>
      <c r="D9" s="201" t="str">
        <f ca="1">IFERROR(__xludf.DUMMYFUNCTION("""COMPUTED_VALUE"""),"B")</f>
        <v>B</v>
      </c>
      <c r="E9" s="202" t="str">
        <f ca="1">IFERROR(__xludf.DUMMYFUNCTION("""COMPUTED_VALUE"""),"S")</f>
        <v>S</v>
      </c>
      <c r="F9" s="202" t="str">
        <f ca="1">IFERROR(__xludf.DUMMYFUNCTION("""COMPUTED_VALUE"""),"S")</f>
        <v>S</v>
      </c>
      <c r="G9" s="202">
        <f ca="1">IFERROR(__xludf.DUMMYFUNCTION("""COMPUTED_VALUE"""),8)</f>
        <v>8</v>
      </c>
      <c r="H9" s="206"/>
      <c r="I9" s="206">
        <v>208.65</v>
      </c>
      <c r="J9" s="206"/>
      <c r="K9" s="206" t="s">
        <v>121</v>
      </c>
      <c r="L9" s="206" t="str">
        <v xml:space="preserve"> 208.65</v>
      </c>
      <c r="M9" s="206" t="str">
        <v/>
      </c>
    </row>
    <row r="10" spans="1:21">
      <c r="A10" s="201" t="str">
        <f ca="1">IFERROR(__xludf.DUMMYFUNCTION("""COMPUTED_VALUE"""),"AF")</f>
        <v>AF</v>
      </c>
      <c r="B10" s="200" t="str">
        <f ca="1">IFERROR(__xludf.DUMMYFUNCTION("""COMPUTED_VALUE"""),"Aiden Kunkle")</f>
        <v>Aiden Kunkle</v>
      </c>
      <c r="C10" s="201">
        <f ca="1">IFERROR(__xludf.DUMMYFUNCTION("""COMPUTED_VALUE"""),8)</f>
        <v>8</v>
      </c>
      <c r="D10" s="201" t="str">
        <f ca="1">IFERROR(__xludf.DUMMYFUNCTION("""COMPUTED_VALUE"""),"B")</f>
        <v>B</v>
      </c>
      <c r="E10" s="202" t="str">
        <f ca="1">IFERROR(__xludf.DUMMYFUNCTION("""COMPUTED_VALUE"""),"F")</f>
        <v>F</v>
      </c>
      <c r="F10" s="202" t="str">
        <f ca="1">IFERROR(__xludf.DUMMYFUNCTION("""COMPUTED_VALUE"""),"J")</f>
        <v>J</v>
      </c>
      <c r="G10" s="202">
        <f ca="1">IFERROR(__xludf.DUMMYFUNCTION("""COMPUTED_VALUE"""),3)</f>
        <v>3</v>
      </c>
      <c r="H10" s="206"/>
      <c r="I10" s="206"/>
      <c r="J10" s="206"/>
      <c r="K10" s="206"/>
      <c r="L10" s="206" t="str">
        <v/>
      </c>
      <c r="M10" s="206" t="str">
        <v/>
      </c>
    </row>
    <row r="11" spans="1:21">
      <c r="A11" s="201" t="str">
        <f ca="1">IFERROR(__xludf.DUMMYFUNCTION("""COMPUTED_VALUE"""),"AF")</f>
        <v>AF</v>
      </c>
      <c r="B11" s="200" t="str">
        <f ca="1">IFERROR(__xludf.DUMMYFUNCTION("""COMPUTED_VALUE"""),"Alex Stewart")</f>
        <v>Alex Stewart</v>
      </c>
      <c r="C11" s="201">
        <f ca="1">IFERROR(__xludf.DUMMYFUNCTION("""COMPUTED_VALUE"""),9)</f>
        <v>9</v>
      </c>
      <c r="D11" s="201" t="str">
        <f ca="1">IFERROR(__xludf.DUMMYFUNCTION("""COMPUTED_VALUE"""),"B")</f>
        <v>B</v>
      </c>
      <c r="E11" s="202" t="str">
        <f ca="1">IFERROR(__xludf.DUMMYFUNCTION("""COMPUTED_VALUE"""),"F")</f>
        <v>F</v>
      </c>
      <c r="F11" s="202" t="str">
        <f ca="1">IFERROR(__xludf.DUMMYFUNCTION("""COMPUTED_VALUE"""),"J")</f>
        <v>J</v>
      </c>
      <c r="G11" s="202">
        <f ca="1">IFERROR(__xludf.DUMMYFUNCTION("""COMPUTED_VALUE"""),3)</f>
        <v>3</v>
      </c>
      <c r="H11" s="206"/>
      <c r="I11" s="206">
        <v>57.1</v>
      </c>
      <c r="J11" s="206"/>
      <c r="K11" s="206" t="s">
        <v>121</v>
      </c>
      <c r="L11" s="206" t="str">
        <v xml:space="preserve"> 57.1</v>
      </c>
      <c r="M11" s="206" t="str">
        <v/>
      </c>
    </row>
    <row r="12" spans="1:21">
      <c r="A12" s="201" t="str">
        <f ca="1">IFERROR(__xludf.DUMMYFUNCTION("""COMPUTED_VALUE"""),"AF")</f>
        <v>AF</v>
      </c>
      <c r="B12" s="200" t="str">
        <f ca="1">IFERROR(__xludf.DUMMYFUNCTION("""COMPUTED_VALUE"""),"Banks Buergler")</f>
        <v>Banks Buergler</v>
      </c>
      <c r="C12" s="201">
        <f ca="1">IFERROR(__xludf.DUMMYFUNCTION("""COMPUTED_VALUE"""),10)</f>
        <v>10</v>
      </c>
      <c r="D12" s="201" t="str">
        <f ca="1">IFERROR(__xludf.DUMMYFUNCTION("""COMPUTED_VALUE"""),"B")</f>
        <v>B</v>
      </c>
      <c r="E12" s="202" t="str">
        <f ca="1">IFERROR(__xludf.DUMMYFUNCTION("""COMPUTED_VALUE"""),"F")</f>
        <v>F</v>
      </c>
      <c r="F12" s="202" t="str">
        <f ca="1">IFERROR(__xludf.DUMMYFUNCTION("""COMPUTED_VALUE"""),"J")</f>
        <v>J</v>
      </c>
      <c r="G12" s="202">
        <f ca="1">IFERROR(__xludf.DUMMYFUNCTION("""COMPUTED_VALUE"""),3)</f>
        <v>3</v>
      </c>
      <c r="H12" s="206"/>
      <c r="I12" s="206">
        <v>66.650000000000006</v>
      </c>
      <c r="J12" s="206"/>
      <c r="K12" s="206" t="s">
        <v>121</v>
      </c>
      <c r="L12" s="206" t="str">
        <v xml:space="preserve"> 66.65</v>
      </c>
      <c r="M12" s="206" t="str">
        <v/>
      </c>
    </row>
    <row r="13" spans="1:21">
      <c r="A13" s="201" t="str">
        <f ca="1">IFERROR(__xludf.DUMMYFUNCTION("""COMPUTED_VALUE"""),"AF")</f>
        <v>AF</v>
      </c>
      <c r="B13" s="200" t="str">
        <f ca="1">IFERROR(__xludf.DUMMYFUNCTION("""COMPUTED_VALUE"""),"Connor Bergen")</f>
        <v>Connor Bergen</v>
      </c>
      <c r="C13" s="201">
        <f ca="1">IFERROR(__xludf.DUMMYFUNCTION("""COMPUTED_VALUE"""),6)</f>
        <v>6</v>
      </c>
      <c r="D13" s="201" t="str">
        <f ca="1">IFERROR(__xludf.DUMMYFUNCTION("""COMPUTED_VALUE"""),"B")</f>
        <v>B</v>
      </c>
      <c r="E13" s="202" t="str">
        <f ca="1">IFERROR(__xludf.DUMMYFUNCTION("""COMPUTED_VALUE"""),"F")</f>
        <v>F</v>
      </c>
      <c r="F13" s="202" t="str">
        <f ca="1">IFERROR(__xludf.DUMMYFUNCTION("""COMPUTED_VALUE"""),"J")</f>
        <v>J</v>
      </c>
      <c r="G13" s="202">
        <f ca="1">IFERROR(__xludf.DUMMYFUNCTION("""COMPUTED_VALUE"""),3)</f>
        <v>3</v>
      </c>
      <c r="H13" s="206"/>
      <c r="I13" s="206"/>
      <c r="J13" s="206"/>
      <c r="K13" s="206"/>
      <c r="L13" s="206" t="str">
        <v/>
      </c>
      <c r="M13" s="206" t="str">
        <v/>
      </c>
    </row>
    <row r="14" spans="1:21">
      <c r="A14" s="201" t="str">
        <f ca="1">IFERROR(__xludf.DUMMYFUNCTION("""COMPUTED_VALUE"""),"AF")</f>
        <v>AF</v>
      </c>
      <c r="B14" s="200" t="str">
        <f ca="1">IFERROR(__xludf.DUMMYFUNCTION("""COMPUTED_VALUE"""),"Jackson Polsinelli")</f>
        <v>Jackson Polsinelli</v>
      </c>
      <c r="C14" s="201">
        <f ca="1">IFERROR(__xludf.DUMMYFUNCTION("""COMPUTED_VALUE"""),7)</f>
        <v>7</v>
      </c>
      <c r="D14" s="201" t="str">
        <f ca="1">IFERROR(__xludf.DUMMYFUNCTION("""COMPUTED_VALUE"""),"B")</f>
        <v>B</v>
      </c>
      <c r="E14" s="202" t="str">
        <f ca="1">IFERROR(__xludf.DUMMYFUNCTION("""COMPUTED_VALUE"""),"F")</f>
        <v>F</v>
      </c>
      <c r="F14" s="202" t="str">
        <f ca="1">IFERROR(__xludf.DUMMYFUNCTION("""COMPUTED_VALUE"""),"J")</f>
        <v>J</v>
      </c>
      <c r="G14" s="202">
        <f ca="1">IFERROR(__xludf.DUMMYFUNCTION("""COMPUTED_VALUE"""),3)</f>
        <v>3</v>
      </c>
      <c r="H14" s="206"/>
      <c r="I14" s="206"/>
      <c r="J14" s="206"/>
      <c r="K14" s="206"/>
      <c r="L14" s="206" t="str">
        <v/>
      </c>
      <c r="M14" s="206" t="str">
        <v/>
      </c>
    </row>
    <row r="15" spans="1:21">
      <c r="A15" s="201" t="str">
        <f ca="1">IFERROR(__xludf.DUMMYFUNCTION("""COMPUTED_VALUE"""),"AF")</f>
        <v>AF</v>
      </c>
      <c r="B15" s="200" t="str">
        <f ca="1">IFERROR(__xludf.DUMMYFUNCTION("""COMPUTED_VALUE"""),"Matthew Petrucelli")</f>
        <v>Matthew Petrucelli</v>
      </c>
      <c r="C15" s="201">
        <f ca="1">IFERROR(__xludf.DUMMYFUNCTION("""COMPUTED_VALUE"""),10)</f>
        <v>10</v>
      </c>
      <c r="D15" s="201" t="str">
        <f ca="1">IFERROR(__xludf.DUMMYFUNCTION("""COMPUTED_VALUE"""),"B")</f>
        <v>B</v>
      </c>
      <c r="E15" s="202" t="str">
        <f ca="1">IFERROR(__xludf.DUMMYFUNCTION("""COMPUTED_VALUE"""),"F")</f>
        <v>F</v>
      </c>
      <c r="F15" s="202" t="str">
        <f ca="1">IFERROR(__xludf.DUMMYFUNCTION("""COMPUTED_VALUE"""),"J")</f>
        <v>J</v>
      </c>
      <c r="G15" s="202">
        <f ca="1">IFERROR(__xludf.DUMMYFUNCTION("""COMPUTED_VALUE"""),3)</f>
        <v>3</v>
      </c>
      <c r="H15" s="206"/>
      <c r="I15" s="206"/>
      <c r="J15" s="206"/>
      <c r="K15" s="206"/>
      <c r="L15" s="206" t="str">
        <v/>
      </c>
      <c r="M15" s="206" t="str">
        <v/>
      </c>
    </row>
    <row r="16" spans="1:21">
      <c r="A16" s="201" t="str">
        <f ca="1">IFERROR(__xludf.DUMMYFUNCTION("""COMPUTED_VALUE"""),"AF")</f>
        <v>AF</v>
      </c>
      <c r="B16" s="200" t="str">
        <f ca="1">IFERROR(__xludf.DUMMYFUNCTION("""COMPUTED_VALUE"""),"Matthew Vogt")</f>
        <v>Matthew Vogt</v>
      </c>
      <c r="C16" s="201">
        <f ca="1">IFERROR(__xludf.DUMMYFUNCTION("""COMPUTED_VALUE"""),9)</f>
        <v>9</v>
      </c>
      <c r="D16" s="201" t="str">
        <f ca="1">IFERROR(__xludf.DUMMYFUNCTION("""COMPUTED_VALUE"""),"B")</f>
        <v>B</v>
      </c>
      <c r="E16" s="202" t="str">
        <f ca="1">IFERROR(__xludf.DUMMYFUNCTION("""COMPUTED_VALUE"""),"F")</f>
        <v>F</v>
      </c>
      <c r="F16" s="202" t="str">
        <f ca="1">IFERROR(__xludf.DUMMYFUNCTION("""COMPUTED_VALUE"""),"J")</f>
        <v>J</v>
      </c>
      <c r="G16" s="202">
        <f ca="1">IFERROR(__xludf.DUMMYFUNCTION("""COMPUTED_VALUE"""),3)</f>
        <v>3</v>
      </c>
      <c r="H16" s="206"/>
      <c r="I16" s="206">
        <v>31.45</v>
      </c>
      <c r="J16" s="206"/>
      <c r="K16" s="206" t="s">
        <v>121</v>
      </c>
      <c r="L16" s="206" t="str">
        <v xml:space="preserve"> 31.45</v>
      </c>
      <c r="M16" s="206" t="str">
        <v/>
      </c>
    </row>
    <row r="17" spans="1:13">
      <c r="A17" s="199" t="str">
        <f ca="1">IFERROR(__xludf.DUMMYFUNCTION("""COMPUTED_VALUE"""),"AF")</f>
        <v>AF</v>
      </c>
      <c r="B17" s="207" t="str">
        <f ca="1">IFERROR(__xludf.DUMMYFUNCTION("""COMPUTED_VALUE"""),"Nicholas Petrucelli")</f>
        <v>Nicholas Petrucelli</v>
      </c>
      <c r="C17" s="199">
        <f ca="1">IFERROR(__xludf.DUMMYFUNCTION("""COMPUTED_VALUE"""),8)</f>
        <v>8</v>
      </c>
      <c r="D17" s="199" t="str">
        <f ca="1">IFERROR(__xludf.DUMMYFUNCTION("""COMPUTED_VALUE"""),"B")</f>
        <v>B</v>
      </c>
      <c r="E17" s="202" t="str">
        <f ca="1">IFERROR(__xludf.DUMMYFUNCTION("""COMPUTED_VALUE"""),"F")</f>
        <v>F</v>
      </c>
      <c r="F17" s="202" t="str">
        <f ca="1">IFERROR(__xludf.DUMMYFUNCTION("""COMPUTED_VALUE"""),"J")</f>
        <v>J</v>
      </c>
      <c r="G17" s="202">
        <f ca="1">IFERROR(__xludf.DUMMYFUNCTION("""COMPUTED_VALUE"""),3)</f>
        <v>3</v>
      </c>
      <c r="H17" s="206"/>
      <c r="I17" s="206"/>
      <c r="J17" s="206"/>
      <c r="K17" s="206"/>
      <c r="L17" s="206" t="str">
        <v/>
      </c>
      <c r="M17" s="206" t="str">
        <v/>
      </c>
    </row>
    <row r="18" spans="1:13">
      <c r="A18" s="199" t="str">
        <f ca="1">IFERROR(__xludf.DUMMYFUNCTION("""COMPUTED_VALUE"""),"AF")</f>
        <v>AF</v>
      </c>
      <c r="B18" s="207" t="str">
        <f ca="1">IFERROR(__xludf.DUMMYFUNCTION("""COMPUTED_VALUE"""),"Ryan Foshay")</f>
        <v>Ryan Foshay</v>
      </c>
      <c r="C18" s="199">
        <f ca="1">IFERROR(__xludf.DUMMYFUNCTION("""COMPUTED_VALUE"""),8)</f>
        <v>8</v>
      </c>
      <c r="D18" s="199" t="str">
        <f ca="1">IFERROR(__xludf.DUMMYFUNCTION("""COMPUTED_VALUE"""),"B")</f>
        <v>B</v>
      </c>
      <c r="E18" s="202" t="str">
        <f ca="1">IFERROR(__xludf.DUMMYFUNCTION("""COMPUTED_VALUE"""),"F")</f>
        <v>F</v>
      </c>
      <c r="F18" s="202" t="str">
        <f ca="1">IFERROR(__xludf.DUMMYFUNCTION("""COMPUTED_VALUE"""),"J")</f>
        <v>J</v>
      </c>
      <c r="G18" s="202">
        <f ca="1">IFERROR(__xludf.DUMMYFUNCTION("""COMPUTED_VALUE"""),3)</f>
        <v>3</v>
      </c>
      <c r="H18" s="206"/>
      <c r="I18" s="206"/>
      <c r="J18" s="206"/>
      <c r="K18" s="206"/>
      <c r="L18" s="206" t="str">
        <v/>
      </c>
      <c r="M18" s="206" t="str">
        <v/>
      </c>
    </row>
    <row r="19" spans="1:13">
      <c r="A19" s="199" t="str">
        <f ca="1">IFERROR(__xludf.DUMMYFUNCTION("""COMPUTED_VALUE"""),"AF")</f>
        <v>AF</v>
      </c>
      <c r="B19" s="207" t="str">
        <f ca="1">IFERROR(__xludf.DUMMYFUNCTION("""COMPUTED_VALUE"""),"Tanner Green")</f>
        <v>Tanner Green</v>
      </c>
      <c r="C19" s="199">
        <f ca="1">IFERROR(__xludf.DUMMYFUNCTION("""COMPUTED_VALUE"""),9)</f>
        <v>9</v>
      </c>
      <c r="D19" s="199" t="str">
        <f ca="1">IFERROR(__xludf.DUMMYFUNCTION("""COMPUTED_VALUE"""),"B")</f>
        <v>B</v>
      </c>
      <c r="E19" s="202" t="str">
        <f ca="1">IFERROR(__xludf.DUMMYFUNCTION("""COMPUTED_VALUE"""),"F")</f>
        <v>F</v>
      </c>
      <c r="F19" s="202" t="str">
        <f ca="1">IFERROR(__xludf.DUMMYFUNCTION("""COMPUTED_VALUE"""),"J")</f>
        <v>J</v>
      </c>
      <c r="G19" s="202">
        <f ca="1">IFERROR(__xludf.DUMMYFUNCTION("""COMPUTED_VALUE"""),3)</f>
        <v>3</v>
      </c>
      <c r="H19" s="206"/>
      <c r="I19" s="206"/>
      <c r="J19" s="206"/>
      <c r="K19" s="206"/>
      <c r="L19" s="206" t="str">
        <v/>
      </c>
      <c r="M19" s="206" t="str">
        <v/>
      </c>
    </row>
    <row r="20" spans="1:13">
      <c r="A20" s="199" t="str">
        <f ca="1">IFERROR(__xludf.DUMMYFUNCTION("""COMPUTED_VALUE"""),"AF")</f>
        <v>AF</v>
      </c>
      <c r="B20" s="207" t="str">
        <f ca="1">IFERROR(__xludf.DUMMYFUNCTION("""COMPUTED_VALUE"""),"Wesley Klapmust")</f>
        <v>Wesley Klapmust</v>
      </c>
      <c r="C20" s="199">
        <f ca="1">IFERROR(__xludf.DUMMYFUNCTION("""COMPUTED_VALUE"""),8)</f>
        <v>8</v>
      </c>
      <c r="D20" s="199" t="str">
        <f ca="1">IFERROR(__xludf.DUMMYFUNCTION("""COMPUTED_VALUE"""),"B")</f>
        <v>B</v>
      </c>
      <c r="E20" s="202" t="str">
        <f ca="1">IFERROR(__xludf.DUMMYFUNCTION("""COMPUTED_VALUE"""),"F")</f>
        <v>F</v>
      </c>
      <c r="F20" s="202" t="str">
        <f ca="1">IFERROR(__xludf.DUMMYFUNCTION("""COMPUTED_VALUE"""),"J")</f>
        <v>J</v>
      </c>
      <c r="G20" s="202">
        <f ca="1">IFERROR(__xludf.DUMMYFUNCTION("""COMPUTED_VALUE"""),3)</f>
        <v>3</v>
      </c>
      <c r="H20" s="208"/>
      <c r="I20" s="208"/>
      <c r="J20" s="208"/>
      <c r="K20" s="208"/>
      <c r="L20" s="208" t="str">
        <v/>
      </c>
      <c r="M20" s="208" t="str">
        <v/>
      </c>
    </row>
    <row r="21" spans="1:13">
      <c r="A21" s="199" t="str">
        <f ca="1">IFERROR(__xludf.DUMMYFUNCTION("""COMPUTED_VALUE"""),"AF")</f>
        <v>AF</v>
      </c>
      <c r="B21" s="207" t="str">
        <f ca="1">IFERROR(__xludf.DUMMYFUNCTION("""COMPUTED_VALUE"""),"Abby Galanes")</f>
        <v>Abby Galanes</v>
      </c>
      <c r="C21" s="199">
        <f ca="1">IFERROR(__xludf.DUMMYFUNCTION("""COMPUTED_VALUE"""),9)</f>
        <v>9</v>
      </c>
      <c r="D21" s="199" t="str">
        <f ca="1">IFERROR(__xludf.DUMMYFUNCTION("""COMPUTED_VALUE"""),"G")</f>
        <v>G</v>
      </c>
      <c r="E21" s="202" t="str">
        <f ca="1">IFERROR(__xludf.DUMMYFUNCTION("""COMPUTED_VALUE"""),"F")</f>
        <v>F</v>
      </c>
      <c r="F21" s="202" t="str">
        <f ca="1">IFERROR(__xludf.DUMMYFUNCTION("""COMPUTED_VALUE"""),"J")</f>
        <v>J</v>
      </c>
      <c r="G21" s="202">
        <f ca="1">IFERROR(__xludf.DUMMYFUNCTION("""COMPUTED_VALUE"""),3)</f>
        <v>3</v>
      </c>
      <c r="H21" s="206">
        <v>46.05</v>
      </c>
      <c r="I21" s="206"/>
      <c r="J21" s="206" t="s">
        <v>121</v>
      </c>
      <c r="K21" s="206"/>
      <c r="L21" s="206" t="str">
        <v xml:space="preserve"> 46.05</v>
      </c>
      <c r="M21" s="206" t="str">
        <v/>
      </c>
    </row>
    <row r="22" spans="1:13">
      <c r="A22" s="199" t="str">
        <f ca="1">IFERROR(__xludf.DUMMYFUNCTION("""COMPUTED_VALUE"""),"AF")</f>
        <v>AF</v>
      </c>
      <c r="B22" s="207" t="str">
        <f ca="1">IFERROR(__xludf.DUMMYFUNCTION("""COMPUTED_VALUE"""),"Bella Foshay")</f>
        <v>Bella Foshay</v>
      </c>
      <c r="C22" s="199">
        <f ca="1">IFERROR(__xludf.DUMMYFUNCTION("""COMPUTED_VALUE"""),10)</f>
        <v>10</v>
      </c>
      <c r="D22" s="199" t="str">
        <f ca="1">IFERROR(__xludf.DUMMYFUNCTION("""COMPUTED_VALUE"""),"G")</f>
        <v>G</v>
      </c>
      <c r="E22" s="202" t="str">
        <f ca="1">IFERROR(__xludf.DUMMYFUNCTION("""COMPUTED_VALUE"""),"F")</f>
        <v>F</v>
      </c>
      <c r="F22" s="202" t="str">
        <f ca="1">IFERROR(__xludf.DUMMYFUNCTION("""COMPUTED_VALUE"""),"J")</f>
        <v>J</v>
      </c>
      <c r="G22" s="202">
        <f ca="1">IFERROR(__xludf.DUMMYFUNCTION("""COMPUTED_VALUE"""),3)</f>
        <v>3</v>
      </c>
      <c r="H22" s="206"/>
      <c r="I22" s="206"/>
      <c r="J22" s="206"/>
      <c r="K22" s="206"/>
      <c r="L22" s="206" t="str">
        <v/>
      </c>
      <c r="M22" s="206" t="str">
        <v/>
      </c>
    </row>
    <row r="23" spans="1:13">
      <c r="A23" s="199" t="str">
        <f ca="1">IFERROR(__xludf.DUMMYFUNCTION("""COMPUTED_VALUE"""),"AF")</f>
        <v>AF</v>
      </c>
      <c r="B23" s="207" t="str">
        <f ca="1">IFERROR(__xludf.DUMMYFUNCTION("""COMPUTED_VALUE"""),"Claire Bella Polsinelli")</f>
        <v>Claire Bella Polsinelli</v>
      </c>
      <c r="C23" s="199">
        <f ca="1">IFERROR(__xludf.DUMMYFUNCTION("""COMPUTED_VALUE"""),10)</f>
        <v>10</v>
      </c>
      <c r="D23" s="199" t="str">
        <f ca="1">IFERROR(__xludf.DUMMYFUNCTION("""COMPUTED_VALUE"""),"G")</f>
        <v>G</v>
      </c>
      <c r="E23" s="202" t="str">
        <f ca="1">IFERROR(__xludf.DUMMYFUNCTION("""COMPUTED_VALUE"""),"F")</f>
        <v>F</v>
      </c>
      <c r="F23" s="202" t="str">
        <f ca="1">IFERROR(__xludf.DUMMYFUNCTION("""COMPUTED_VALUE"""),"J")</f>
        <v>J</v>
      </c>
      <c r="G23" s="202">
        <f ca="1">IFERROR(__xludf.DUMMYFUNCTION("""COMPUTED_VALUE"""),3)</f>
        <v>3</v>
      </c>
      <c r="H23" s="208"/>
      <c r="I23" s="208"/>
      <c r="J23" s="208"/>
      <c r="K23" s="208"/>
      <c r="L23" s="208" t="str">
        <v/>
      </c>
      <c r="M23" s="208" t="str">
        <v/>
      </c>
    </row>
    <row r="24" spans="1:13">
      <c r="A24" s="199" t="str">
        <f ca="1">IFERROR(__xludf.DUMMYFUNCTION("""COMPUTED_VALUE"""),"AF")</f>
        <v>AF</v>
      </c>
      <c r="B24" s="207" t="str">
        <f ca="1">IFERROR(__xludf.DUMMYFUNCTION("""COMPUTED_VALUE"""),"Ella Turner")</f>
        <v>Ella Turner</v>
      </c>
      <c r="C24" s="199">
        <f ca="1">IFERROR(__xludf.DUMMYFUNCTION("""COMPUTED_VALUE"""),8)</f>
        <v>8</v>
      </c>
      <c r="D24" s="199" t="str">
        <f ca="1">IFERROR(__xludf.DUMMYFUNCTION("""COMPUTED_VALUE"""),"G")</f>
        <v>G</v>
      </c>
      <c r="E24" s="202" t="str">
        <f ca="1">IFERROR(__xludf.DUMMYFUNCTION("""COMPUTED_VALUE"""),"F")</f>
        <v>F</v>
      </c>
      <c r="F24" s="202" t="str">
        <f ca="1">IFERROR(__xludf.DUMMYFUNCTION("""COMPUTED_VALUE"""),"J")</f>
        <v>J</v>
      </c>
      <c r="G24" s="202">
        <f ca="1">IFERROR(__xludf.DUMMYFUNCTION("""COMPUTED_VALUE"""),3)</f>
        <v>3</v>
      </c>
      <c r="H24" s="206">
        <v>54.25</v>
      </c>
      <c r="I24" s="206"/>
      <c r="J24" s="206" t="s">
        <v>121</v>
      </c>
      <c r="K24" s="206"/>
      <c r="L24" s="206" t="str">
        <v xml:space="preserve"> 54.25</v>
      </c>
      <c r="M24" s="206" t="str">
        <v/>
      </c>
    </row>
    <row r="25" spans="1:13">
      <c r="A25" s="199" t="str">
        <f ca="1">IFERROR(__xludf.DUMMYFUNCTION("""COMPUTED_VALUE"""),"AF")</f>
        <v>AF</v>
      </c>
      <c r="B25" s="207" t="str">
        <f ca="1">IFERROR(__xludf.DUMMYFUNCTION("""COMPUTED_VALUE"""),"Olivia Turner")</f>
        <v>Olivia Turner</v>
      </c>
      <c r="C25" s="199">
        <f ca="1">IFERROR(__xludf.DUMMYFUNCTION("""COMPUTED_VALUE"""),10)</f>
        <v>10</v>
      </c>
      <c r="D25" s="199" t="str">
        <f ca="1">IFERROR(__xludf.DUMMYFUNCTION("""COMPUTED_VALUE"""),"G")</f>
        <v>G</v>
      </c>
      <c r="E25" s="202" t="str">
        <f ca="1">IFERROR(__xludf.DUMMYFUNCTION("""COMPUTED_VALUE"""),"F")</f>
        <v>F</v>
      </c>
      <c r="F25" s="202" t="str">
        <f ca="1">IFERROR(__xludf.DUMMYFUNCTION("""COMPUTED_VALUE"""),"J")</f>
        <v>J</v>
      </c>
      <c r="G25" s="202">
        <f ca="1">IFERROR(__xludf.DUMMYFUNCTION("""COMPUTED_VALUE"""),3)</f>
        <v>3</v>
      </c>
      <c r="H25" s="208"/>
      <c r="I25" s="208"/>
      <c r="J25" s="208"/>
      <c r="K25" s="208"/>
      <c r="L25" s="208" t="str">
        <v/>
      </c>
      <c r="M25" s="208" t="str">
        <v/>
      </c>
    </row>
    <row r="26" spans="1:13">
      <c r="A26" s="199" t="str">
        <f ca="1">IFERROR(__xludf.DUMMYFUNCTION("""COMPUTED_VALUE"""),"AF")</f>
        <v>AF</v>
      </c>
      <c r="B26" s="207" t="str">
        <f ca="1">IFERROR(__xludf.DUMMYFUNCTION("""COMPUTED_VALUE"""),"Benjamin Tahu ")</f>
        <v xml:space="preserve">Benjamin Tahu </v>
      </c>
      <c r="C26" s="199">
        <f ca="1">IFERROR(__xludf.DUMMYFUNCTION("""COMPUTED_VALUE"""),13)</f>
        <v>13</v>
      </c>
      <c r="D26" s="199" t="str">
        <f ca="1">IFERROR(__xludf.DUMMYFUNCTION("""COMPUTED_VALUE"""),"B")</f>
        <v>B</v>
      </c>
      <c r="E26" s="202" t="str">
        <f ca="1">IFERROR(__xludf.DUMMYFUNCTION("""COMPUTED_VALUE"""),"I")</f>
        <v>I</v>
      </c>
      <c r="F26" s="202" t="str">
        <f ca="1">IFERROR(__xludf.DUMMYFUNCTION("""COMPUTED_VALUE"""),"S")</f>
        <v>S</v>
      </c>
      <c r="G26" s="202">
        <f ca="1">IFERROR(__xludf.DUMMYFUNCTION("""COMPUTED_VALUE"""),3)</f>
        <v>3</v>
      </c>
      <c r="H26" s="206"/>
      <c r="I26" s="206">
        <v>98.5</v>
      </c>
      <c r="J26" s="206"/>
      <c r="K26" s="206" t="s">
        <v>121</v>
      </c>
      <c r="L26" s="206" t="str">
        <v xml:space="preserve"> 98.5</v>
      </c>
      <c r="M26" s="206" t="str">
        <v/>
      </c>
    </row>
    <row r="27" spans="1:13">
      <c r="A27" s="199" t="str">
        <f ca="1">IFERROR(__xludf.DUMMYFUNCTION("""COMPUTED_VALUE"""),"AF")</f>
        <v>AF</v>
      </c>
      <c r="B27" s="207" t="str">
        <f ca="1">IFERROR(__xludf.DUMMYFUNCTION("""COMPUTED_VALUE"""),"Greyson Schroeher")</f>
        <v>Greyson Schroeher</v>
      </c>
      <c r="C27" s="199">
        <f ca="1">IFERROR(__xludf.DUMMYFUNCTION("""COMPUTED_VALUE"""),13)</f>
        <v>13</v>
      </c>
      <c r="D27" s="199" t="str">
        <f ca="1">IFERROR(__xludf.DUMMYFUNCTION("""COMPUTED_VALUE"""),"B")</f>
        <v>B</v>
      </c>
      <c r="E27" s="202" t="str">
        <f ca="1">IFERROR(__xludf.DUMMYFUNCTION("""COMPUTED_VALUE"""),"I")</f>
        <v>I</v>
      </c>
      <c r="F27" s="202" t="str">
        <f ca="1">IFERROR(__xludf.DUMMYFUNCTION("""COMPUTED_VALUE"""),"S")</f>
        <v>S</v>
      </c>
      <c r="G27" s="202">
        <f ca="1">IFERROR(__xludf.DUMMYFUNCTION("""COMPUTED_VALUE"""),3)</f>
        <v>3</v>
      </c>
      <c r="H27" s="206"/>
      <c r="I27" s="206">
        <v>119.9</v>
      </c>
      <c r="J27" s="206"/>
      <c r="K27" s="206" t="s">
        <v>121</v>
      </c>
      <c r="L27" s="206" t="str">
        <v xml:space="preserve"> 119.9</v>
      </c>
      <c r="M27" s="206" t="str">
        <v/>
      </c>
    </row>
    <row r="28" spans="1:13">
      <c r="A28" s="199" t="str">
        <f ca="1">IFERROR(__xludf.DUMMYFUNCTION("""COMPUTED_VALUE"""),"AF")</f>
        <v>AF</v>
      </c>
      <c r="B28" s="207" t="str">
        <f ca="1">IFERROR(__xludf.DUMMYFUNCTION("""COMPUTED_VALUE"""),"Ada Jordan")</f>
        <v>Ada Jordan</v>
      </c>
      <c r="C28" s="199">
        <f ca="1">IFERROR(__xludf.DUMMYFUNCTION("""COMPUTED_VALUE"""),13)</f>
        <v>13</v>
      </c>
      <c r="D28" s="199" t="str">
        <f ca="1">IFERROR(__xludf.DUMMYFUNCTION("""COMPUTED_VALUE"""),"G")</f>
        <v>G</v>
      </c>
      <c r="E28" s="202" t="str">
        <f ca="1">IFERROR(__xludf.DUMMYFUNCTION("""COMPUTED_VALUE"""),"I")</f>
        <v>I</v>
      </c>
      <c r="F28" s="202" t="str">
        <f ca="1">IFERROR(__xludf.DUMMYFUNCTION("""COMPUTED_VALUE"""),"S")</f>
        <v>S</v>
      </c>
      <c r="G28" s="202">
        <f ca="1">IFERROR(__xludf.DUMMYFUNCTION("""COMPUTED_VALUE"""),3)</f>
        <v>3</v>
      </c>
      <c r="H28" s="208">
        <v>123.7</v>
      </c>
      <c r="I28" s="208"/>
      <c r="J28" s="208" t="s">
        <v>121</v>
      </c>
      <c r="K28" s="208"/>
      <c r="L28" s="208" t="str">
        <v xml:space="preserve"> 123.7</v>
      </c>
      <c r="M28" s="208" t="str">
        <v/>
      </c>
    </row>
    <row r="29" spans="1:13">
      <c r="A29" s="199" t="str">
        <f ca="1">IFERROR(__xludf.DUMMYFUNCTION("""COMPUTED_VALUE"""),"AF")</f>
        <v>AF</v>
      </c>
      <c r="B29" s="207" t="str">
        <f ca="1">IFERROR(__xludf.DUMMYFUNCTION("""COMPUTED_VALUE"""),"Allison Felluca")</f>
        <v>Allison Felluca</v>
      </c>
      <c r="C29" s="199">
        <f ca="1">IFERROR(__xludf.DUMMYFUNCTION("""COMPUTED_VALUE"""),13)</f>
        <v>13</v>
      </c>
      <c r="D29" s="199" t="str">
        <f ca="1">IFERROR(__xludf.DUMMYFUNCTION("""COMPUTED_VALUE"""),"G")</f>
        <v>G</v>
      </c>
      <c r="E29" s="202" t="str">
        <f ca="1">IFERROR(__xludf.DUMMYFUNCTION("""COMPUTED_VALUE"""),"I")</f>
        <v>I</v>
      </c>
      <c r="F29" s="202" t="str">
        <f ca="1">IFERROR(__xludf.DUMMYFUNCTION("""COMPUTED_VALUE"""),"S")</f>
        <v>S</v>
      </c>
      <c r="G29" s="202">
        <f ca="1">IFERROR(__xludf.DUMMYFUNCTION("""COMPUTED_VALUE"""),3)</f>
        <v>3</v>
      </c>
      <c r="H29" s="208"/>
      <c r="I29" s="208"/>
      <c r="J29" s="208"/>
      <c r="K29" s="208"/>
      <c r="L29" s="208" t="str">
        <v/>
      </c>
      <c r="M29" s="208" t="str">
        <v/>
      </c>
    </row>
    <row r="30" spans="1:13">
      <c r="A30" s="199" t="str">
        <f ca="1">IFERROR(__xludf.DUMMYFUNCTION("""COMPUTED_VALUE"""),"AF")</f>
        <v>AF</v>
      </c>
      <c r="B30" s="207" t="str">
        <f ca="1">IFERROR(__xludf.DUMMYFUNCTION("""COMPUTED_VALUE"""),"Teagan Boone")</f>
        <v>Teagan Boone</v>
      </c>
      <c r="C30" s="199">
        <f ca="1">IFERROR(__xludf.DUMMYFUNCTION("""COMPUTED_VALUE"""),14)</f>
        <v>14</v>
      </c>
      <c r="D30" s="199" t="str">
        <f ca="1">IFERROR(__xludf.DUMMYFUNCTION("""COMPUTED_VALUE"""),"G")</f>
        <v>G</v>
      </c>
      <c r="E30" s="202" t="str">
        <f ca="1">IFERROR(__xludf.DUMMYFUNCTION("""COMPUTED_VALUE"""),"I")</f>
        <v>I</v>
      </c>
      <c r="F30" s="202" t="str">
        <f ca="1">IFERROR(__xludf.DUMMYFUNCTION("""COMPUTED_VALUE"""),"S")</f>
        <v>S</v>
      </c>
      <c r="G30" s="202">
        <f ca="1">IFERROR(__xludf.DUMMYFUNCTION("""COMPUTED_VALUE"""),3)</f>
        <v>3</v>
      </c>
      <c r="H30" s="208">
        <v>86.15</v>
      </c>
      <c r="I30" s="208"/>
      <c r="J30" s="208" t="s">
        <v>121</v>
      </c>
      <c r="K30" s="208"/>
      <c r="L30" s="208" t="str">
        <v xml:space="preserve"> 86.15</v>
      </c>
      <c r="M30" s="208" t="str">
        <v/>
      </c>
    </row>
    <row r="31" spans="1:13">
      <c r="A31" s="199" t="str">
        <f ca="1">IFERROR(__xludf.DUMMYFUNCTION("""COMPUTED_VALUE"""),"AF")</f>
        <v>AF</v>
      </c>
      <c r="B31" s="207" t="str">
        <f ca="1">IFERROR(__xludf.DUMMYFUNCTION("""COMPUTED_VALUE"""),"Connor Hogan")</f>
        <v>Connor Hogan</v>
      </c>
      <c r="C31" s="199">
        <f ca="1">IFERROR(__xludf.DUMMYFUNCTION("""COMPUTED_VALUE"""),12)</f>
        <v>12</v>
      </c>
      <c r="D31" s="199" t="str">
        <f ca="1">IFERROR(__xludf.DUMMYFUNCTION("""COMPUTED_VALUE"""),"B")</f>
        <v>B</v>
      </c>
      <c r="E31" s="202" t="str">
        <f ca="1">IFERROR(__xludf.DUMMYFUNCTION("""COMPUTED_VALUE"""),"J")</f>
        <v>J</v>
      </c>
      <c r="F31" s="202" t="str">
        <f ca="1">IFERROR(__xludf.DUMMYFUNCTION("""COMPUTED_VALUE"""),"I")</f>
        <v>I</v>
      </c>
      <c r="G31" s="202">
        <f ca="1">IFERROR(__xludf.DUMMYFUNCTION("""COMPUTED_VALUE"""),3)</f>
        <v>3</v>
      </c>
      <c r="H31" s="206"/>
      <c r="I31" s="206"/>
      <c r="J31" s="206"/>
      <c r="K31" s="206"/>
      <c r="L31" s="206" t="str">
        <v/>
      </c>
      <c r="M31" s="206" t="str">
        <v/>
      </c>
    </row>
    <row r="32" spans="1:13">
      <c r="A32" s="199" t="str">
        <f ca="1">IFERROR(__xludf.DUMMYFUNCTION("""COMPUTED_VALUE"""),"AF")</f>
        <v>AF</v>
      </c>
      <c r="B32" s="207" t="str">
        <f ca="1">IFERROR(__xludf.DUMMYFUNCTION("""COMPUTED_VALUE"""),"Daniel Vogt")</f>
        <v>Daniel Vogt</v>
      </c>
      <c r="C32" s="199">
        <f ca="1">IFERROR(__xludf.DUMMYFUNCTION("""COMPUTED_VALUE"""),11)</f>
        <v>11</v>
      </c>
      <c r="D32" s="199" t="str">
        <f ca="1">IFERROR(__xludf.DUMMYFUNCTION("""COMPUTED_VALUE"""),"B")</f>
        <v>B</v>
      </c>
      <c r="E32" s="202" t="str">
        <f ca="1">IFERROR(__xludf.DUMMYFUNCTION("""COMPUTED_VALUE"""),"J")</f>
        <v>J</v>
      </c>
      <c r="F32" s="202" t="str">
        <f ca="1">IFERROR(__xludf.DUMMYFUNCTION("""COMPUTED_VALUE"""),"I")</f>
        <v>I</v>
      </c>
      <c r="G32" s="202">
        <f ca="1">IFERROR(__xludf.DUMMYFUNCTION("""COMPUTED_VALUE"""),3)</f>
        <v>3</v>
      </c>
      <c r="H32" s="208"/>
      <c r="I32" s="208">
        <v>75.349999999999994</v>
      </c>
      <c r="J32" s="208"/>
      <c r="K32" s="208" t="s">
        <v>121</v>
      </c>
      <c r="L32" s="208" t="str">
        <v xml:space="preserve"> 75.35</v>
      </c>
      <c r="M32" s="208" t="str">
        <v/>
      </c>
    </row>
    <row r="33" spans="1:13" ht="14.4">
      <c r="A33" s="199" t="str">
        <f ca="1">IFERROR(__xludf.DUMMYFUNCTION("""COMPUTED_VALUE"""),"AF")</f>
        <v>AF</v>
      </c>
      <c r="B33" s="207" t="str">
        <f ca="1">IFERROR(__xludf.DUMMYFUNCTION("""COMPUTED_VALUE"""),"Lincoln Koller")</f>
        <v>Lincoln Koller</v>
      </c>
      <c r="C33" s="199">
        <f ca="1">IFERROR(__xludf.DUMMYFUNCTION("""COMPUTED_VALUE"""),11)</f>
        <v>11</v>
      </c>
      <c r="D33" s="199" t="str">
        <f ca="1">IFERROR(__xludf.DUMMYFUNCTION("""COMPUTED_VALUE"""),"B")</f>
        <v>B</v>
      </c>
      <c r="E33" s="202" t="str">
        <f ca="1">IFERROR(__xludf.DUMMYFUNCTION("""COMPUTED_VALUE"""),"J")</f>
        <v>J</v>
      </c>
      <c r="F33" s="202" t="str">
        <f ca="1">IFERROR(__xludf.DUMMYFUNCTION("""COMPUTED_VALUE"""),"I")</f>
        <v>I</v>
      </c>
      <c r="G33" s="202">
        <f ca="1">IFERROR(__xludf.DUMMYFUNCTION("""COMPUTED_VALUE"""),3)</f>
        <v>3</v>
      </c>
      <c r="H33" s="206"/>
      <c r="I33" s="206"/>
      <c r="J33" s="206"/>
      <c r="K33" s="206"/>
      <c r="L33" s="206" t="str">
        <v/>
      </c>
      <c r="M33" s="206" t="str">
        <v/>
      </c>
    </row>
    <row r="34" spans="1:13" ht="14.4">
      <c r="A34" s="199" t="str">
        <f ca="1">IFERROR(__xludf.DUMMYFUNCTION("""COMPUTED_VALUE"""),"AF")</f>
        <v>AF</v>
      </c>
      <c r="B34" s="207" t="str">
        <f ca="1">IFERROR(__xludf.DUMMYFUNCTION("""COMPUTED_VALUE"""),"David Alves")</f>
        <v>David Alves</v>
      </c>
      <c r="C34" s="199">
        <f ca="1">IFERROR(__xludf.DUMMYFUNCTION("""COMPUTED_VALUE"""),15)</f>
        <v>15</v>
      </c>
      <c r="D34" s="199" t="str">
        <f ca="1">IFERROR(__xludf.DUMMYFUNCTION("""COMPUTED_VALUE"""),"B")</f>
        <v>B</v>
      </c>
      <c r="E34" s="202" t="str">
        <f ca="1">IFERROR(__xludf.DUMMYFUNCTION("""COMPUTED_VALUE"""),"S")</f>
        <v>S</v>
      </c>
      <c r="F34" s="202" t="str">
        <f ca="1">IFERROR(__xludf.DUMMYFUNCTION("""COMPUTED_VALUE"""),"S")</f>
        <v>S</v>
      </c>
      <c r="G34" s="202">
        <f ca="1">IFERROR(__xludf.DUMMYFUNCTION("""COMPUTED_VALUE"""),3)</f>
        <v>3</v>
      </c>
      <c r="H34" s="206"/>
      <c r="I34" s="206">
        <v>131.30000000000001</v>
      </c>
      <c r="J34" s="206"/>
      <c r="K34" s="206" t="s">
        <v>121</v>
      </c>
      <c r="L34" s="206" t="str">
        <v xml:space="preserve"> 131.3</v>
      </c>
      <c r="M34" s="206" t="str">
        <v/>
      </c>
    </row>
    <row r="35" spans="1:13" ht="14.4">
      <c r="A35" s="199" t="str">
        <f ca="1">IFERROR(__xludf.DUMMYFUNCTION("""COMPUTED_VALUE"""),"AF")</f>
        <v>AF</v>
      </c>
      <c r="B35" s="207" t="str">
        <f ca="1">IFERROR(__xludf.DUMMYFUNCTION("""COMPUTED_VALUE"""),"Max Cassatt")</f>
        <v>Max Cassatt</v>
      </c>
      <c r="C35" s="199">
        <f ca="1">IFERROR(__xludf.DUMMYFUNCTION("""COMPUTED_VALUE"""),15)</f>
        <v>15</v>
      </c>
      <c r="D35" s="199" t="str">
        <f ca="1">IFERROR(__xludf.DUMMYFUNCTION("""COMPUTED_VALUE"""),"B")</f>
        <v>B</v>
      </c>
      <c r="E35" s="202" t="str">
        <f ca="1">IFERROR(__xludf.DUMMYFUNCTION("""COMPUTED_VALUE"""),"S")</f>
        <v>S</v>
      </c>
      <c r="F35" s="202" t="str">
        <f ca="1">IFERROR(__xludf.DUMMYFUNCTION("""COMPUTED_VALUE"""),"S")</f>
        <v>S</v>
      </c>
      <c r="G35" s="202">
        <f ca="1">IFERROR(__xludf.DUMMYFUNCTION("""COMPUTED_VALUE"""),3)</f>
        <v>3</v>
      </c>
      <c r="H35" s="206"/>
      <c r="I35" s="206">
        <v>148.35</v>
      </c>
      <c r="J35" s="206"/>
      <c r="K35" s="206" t="s">
        <v>121</v>
      </c>
      <c r="L35" s="206" t="str">
        <v xml:space="preserve"> 148.35</v>
      </c>
      <c r="M35" s="206" t="str">
        <v/>
      </c>
    </row>
    <row r="36" spans="1:13" ht="14.4">
      <c r="A36" s="199" t="str">
        <f ca="1">IFERROR(__xludf.DUMMYFUNCTION("""COMPUTED_VALUE"""),"AF")</f>
        <v>AF</v>
      </c>
      <c r="B36" s="207" t="str">
        <f ca="1">IFERROR(__xludf.DUMMYFUNCTION("""COMPUTED_VALUE"""),"Wyatt Hogan")</f>
        <v>Wyatt Hogan</v>
      </c>
      <c r="C36" s="199">
        <f ca="1">IFERROR(__xludf.DUMMYFUNCTION("""COMPUTED_VALUE"""),15)</f>
        <v>15</v>
      </c>
      <c r="D36" s="199" t="str">
        <f ca="1">IFERROR(__xludf.DUMMYFUNCTION("""COMPUTED_VALUE"""),"B")</f>
        <v>B</v>
      </c>
      <c r="E36" s="202" t="str">
        <f ca="1">IFERROR(__xludf.DUMMYFUNCTION("""COMPUTED_VALUE"""),"S")</f>
        <v>S</v>
      </c>
      <c r="F36" s="202" t="str">
        <f ca="1">IFERROR(__xludf.DUMMYFUNCTION("""COMPUTED_VALUE"""),"S")</f>
        <v>S</v>
      </c>
      <c r="G36" s="202">
        <f ca="1">IFERROR(__xludf.DUMMYFUNCTION("""COMPUTED_VALUE"""),3)</f>
        <v>3</v>
      </c>
      <c r="H36" s="208"/>
      <c r="I36" s="208"/>
      <c r="J36" s="208"/>
      <c r="K36" s="208"/>
      <c r="L36" s="208" t="str">
        <v/>
      </c>
      <c r="M36" s="208" t="str">
        <v/>
      </c>
    </row>
    <row r="37" spans="1:13" ht="14.4">
      <c r="A37" s="199" t="str">
        <f ca="1">IFERROR(__xludf.DUMMYFUNCTION("""COMPUTED_VALUE"""),"AF")</f>
        <v>AF</v>
      </c>
      <c r="B37" s="207" t="str">
        <f ca="1">IFERROR(__xludf.DUMMYFUNCTION("""COMPUTED_VALUE"""),"Alexa Brooke")</f>
        <v>Alexa Brooke</v>
      </c>
      <c r="C37" s="199">
        <f ca="1">IFERROR(__xludf.DUMMYFUNCTION("""COMPUTED_VALUE"""),16)</f>
        <v>16</v>
      </c>
      <c r="D37" s="199" t="str">
        <f ca="1">IFERROR(__xludf.DUMMYFUNCTION("""COMPUTED_VALUE"""),"G")</f>
        <v>G</v>
      </c>
      <c r="E37" s="202" t="str">
        <f ca="1">IFERROR(__xludf.DUMMYFUNCTION("""COMPUTED_VALUE"""),"S")</f>
        <v>S</v>
      </c>
      <c r="F37" s="202" t="str">
        <f ca="1">IFERROR(__xludf.DUMMYFUNCTION("""COMPUTED_VALUE"""),"S")</f>
        <v>S</v>
      </c>
      <c r="G37" s="202">
        <f ca="1">IFERROR(__xludf.DUMMYFUNCTION("""COMPUTED_VALUE"""),3)</f>
        <v>3</v>
      </c>
      <c r="H37" s="206"/>
      <c r="I37" s="206"/>
      <c r="J37" s="206"/>
      <c r="K37" s="206"/>
      <c r="L37" s="206" t="str">
        <v/>
      </c>
      <c r="M37" s="206" t="str">
        <v/>
      </c>
    </row>
    <row r="38" spans="1:13" ht="14.4">
      <c r="A38" s="199" t="str">
        <f ca="1">IFERROR(__xludf.DUMMYFUNCTION("""COMPUTED_VALUE"""),"AF")</f>
        <v>AF</v>
      </c>
      <c r="B38" s="207" t="str">
        <f ca="1">IFERROR(__xludf.DUMMYFUNCTION("""COMPUTED_VALUE"""),"Ava Smialowicz")</f>
        <v>Ava Smialowicz</v>
      </c>
      <c r="C38" s="199">
        <f ca="1">IFERROR(__xludf.DUMMYFUNCTION("""COMPUTED_VALUE"""),17)</f>
        <v>17</v>
      </c>
      <c r="D38" s="199" t="str">
        <f ca="1">IFERROR(__xludf.DUMMYFUNCTION("""COMPUTED_VALUE"""),"G")</f>
        <v>G</v>
      </c>
      <c r="E38" s="202" t="str">
        <f ca="1">IFERROR(__xludf.DUMMYFUNCTION("""COMPUTED_VALUE"""),"S")</f>
        <v>S</v>
      </c>
      <c r="F38" s="202" t="str">
        <f ca="1">IFERROR(__xludf.DUMMYFUNCTION("""COMPUTED_VALUE"""),"S")</f>
        <v>S</v>
      </c>
      <c r="G38" s="202">
        <f ca="1">IFERROR(__xludf.DUMMYFUNCTION("""COMPUTED_VALUE"""),3)</f>
        <v>3</v>
      </c>
      <c r="H38" s="206"/>
      <c r="I38" s="206"/>
      <c r="J38" s="206"/>
      <c r="K38" s="206"/>
      <c r="L38" s="206" t="str">
        <v/>
      </c>
      <c r="M38" s="206" t="str">
        <v/>
      </c>
    </row>
    <row r="39" spans="1:13" ht="14.4">
      <c r="A39" s="199" t="str">
        <f ca="1">IFERROR(__xludf.DUMMYFUNCTION("""COMPUTED_VALUE"""),"AF")</f>
        <v>AF</v>
      </c>
      <c r="B39" s="207" t="str">
        <f ca="1">IFERROR(__xludf.DUMMYFUNCTION("""COMPUTED_VALUE"""),"Charlotte Weir")</f>
        <v>Charlotte Weir</v>
      </c>
      <c r="C39" s="199">
        <f ca="1">IFERROR(__xludf.DUMMYFUNCTION("""COMPUTED_VALUE"""),15)</f>
        <v>15</v>
      </c>
      <c r="D39" s="199" t="str">
        <f ca="1">IFERROR(__xludf.DUMMYFUNCTION("""COMPUTED_VALUE"""),"G")</f>
        <v>G</v>
      </c>
      <c r="E39" s="202" t="str">
        <f ca="1">IFERROR(__xludf.DUMMYFUNCTION("""COMPUTED_VALUE"""),"S")</f>
        <v>S</v>
      </c>
      <c r="F39" s="202" t="str">
        <f ca="1">IFERROR(__xludf.DUMMYFUNCTION("""COMPUTED_VALUE"""),"S")</f>
        <v>S</v>
      </c>
      <c r="G39" s="202">
        <f ca="1">IFERROR(__xludf.DUMMYFUNCTION("""COMPUTED_VALUE"""),3)</f>
        <v>3</v>
      </c>
      <c r="H39" s="206">
        <v>139.55000000000001</v>
      </c>
      <c r="I39" s="206"/>
      <c r="J39" s="206" t="s">
        <v>121</v>
      </c>
      <c r="K39" s="206"/>
      <c r="L39" s="206" t="str">
        <v xml:space="preserve"> 139.55</v>
      </c>
      <c r="M39" s="206" t="str">
        <v/>
      </c>
    </row>
    <row r="40" spans="1:13" ht="14.4">
      <c r="A40" s="199" t="str">
        <f ca="1">IFERROR(__xludf.DUMMYFUNCTION("""COMPUTED_VALUE"""),"AF")</f>
        <v>AF</v>
      </c>
      <c r="B40" s="207" t="str">
        <f ca="1">IFERROR(__xludf.DUMMYFUNCTION("""COMPUTED_VALUE"""),"Ella Wyman")</f>
        <v>Ella Wyman</v>
      </c>
      <c r="C40" s="199">
        <f ca="1">IFERROR(__xludf.DUMMYFUNCTION("""COMPUTED_VALUE"""),18)</f>
        <v>18</v>
      </c>
      <c r="D40" s="199" t="str">
        <f ca="1">IFERROR(__xludf.DUMMYFUNCTION("""COMPUTED_VALUE"""),"G")</f>
        <v>G</v>
      </c>
      <c r="E40" s="202" t="str">
        <f ca="1">IFERROR(__xludf.DUMMYFUNCTION("""COMPUTED_VALUE"""),"S")</f>
        <v>S</v>
      </c>
      <c r="F40" s="202" t="str">
        <f ca="1">IFERROR(__xludf.DUMMYFUNCTION("""COMPUTED_VALUE"""),"S")</f>
        <v>S</v>
      </c>
      <c r="G40" s="202">
        <f ca="1">IFERROR(__xludf.DUMMYFUNCTION("""COMPUTED_VALUE"""),3)</f>
        <v>3</v>
      </c>
      <c r="H40" s="206"/>
      <c r="I40" s="206"/>
      <c r="J40" s="206"/>
      <c r="K40" s="206"/>
      <c r="L40" s="206" t="str">
        <v/>
      </c>
      <c r="M40" s="206" t="str">
        <v/>
      </c>
    </row>
    <row r="41" spans="1:13" ht="14.4">
      <c r="A41" s="199" t="str">
        <f ca="1">IFERROR(__xludf.DUMMYFUNCTION("""COMPUTED_VALUE"""),"CB")</f>
        <v>CB</v>
      </c>
      <c r="B41" s="207" t="str">
        <f ca="1">IFERROR(__xludf.DUMMYFUNCTION("""COMPUTED_VALUE"""),"Charles Rogers")</f>
        <v>Charles Rogers</v>
      </c>
      <c r="C41" s="199">
        <f ca="1">IFERROR(__xludf.DUMMYFUNCTION("""COMPUTED_VALUE"""),8)</f>
        <v>8</v>
      </c>
      <c r="D41" s="199" t="str">
        <f ca="1">IFERROR(__xludf.DUMMYFUNCTION("""COMPUTED_VALUE"""),"B")</f>
        <v>B</v>
      </c>
      <c r="E41" s="202" t="str">
        <f ca="1">IFERROR(__xludf.DUMMYFUNCTION("""COMPUTED_VALUE"""),"F")</f>
        <v>F</v>
      </c>
      <c r="F41" s="202" t="str">
        <f ca="1">IFERROR(__xludf.DUMMYFUNCTION("""COMPUTED_VALUE"""),"J")</f>
        <v>J</v>
      </c>
      <c r="G41" s="202">
        <f ca="1">IFERROR(__xludf.DUMMYFUNCTION("""COMPUTED_VALUE"""),4)</f>
        <v>4</v>
      </c>
      <c r="H41" s="206"/>
      <c r="I41" s="206"/>
      <c r="J41" s="206"/>
      <c r="K41" s="206"/>
      <c r="L41" s="206" t="str">
        <v/>
      </c>
      <c r="M41" s="206" t="str">
        <v/>
      </c>
    </row>
    <row r="42" spans="1:13" ht="14.4">
      <c r="A42" s="199" t="str">
        <f ca="1">IFERROR(__xludf.DUMMYFUNCTION("""COMPUTED_VALUE"""),"CB")</f>
        <v>CB</v>
      </c>
      <c r="B42" s="207" t="str">
        <f ca="1">IFERROR(__xludf.DUMMYFUNCTION("""COMPUTED_VALUE"""),"Edison Tan")</f>
        <v>Edison Tan</v>
      </c>
      <c r="C42" s="199">
        <f ca="1">IFERROR(__xludf.DUMMYFUNCTION("""COMPUTED_VALUE"""),9)</f>
        <v>9</v>
      </c>
      <c r="D42" s="199" t="str">
        <f ca="1">IFERROR(__xludf.DUMMYFUNCTION("""COMPUTED_VALUE"""),"B")</f>
        <v>B</v>
      </c>
      <c r="E42" s="202" t="str">
        <f ca="1">IFERROR(__xludf.DUMMYFUNCTION("""COMPUTED_VALUE"""),"F")</f>
        <v>F</v>
      </c>
      <c r="F42" s="202" t="str">
        <f ca="1">IFERROR(__xludf.DUMMYFUNCTION("""COMPUTED_VALUE"""),"J")</f>
        <v>J</v>
      </c>
      <c r="G42" s="202">
        <f ca="1">IFERROR(__xludf.DUMMYFUNCTION("""COMPUTED_VALUE"""),4)</f>
        <v>4</v>
      </c>
      <c r="H42" s="208"/>
      <c r="I42" s="208"/>
      <c r="J42" s="208"/>
      <c r="K42" s="208"/>
      <c r="L42" s="208" t="str">
        <v/>
      </c>
      <c r="M42" s="208" t="str">
        <v/>
      </c>
    </row>
    <row r="43" spans="1:13" ht="14.4">
      <c r="A43" s="199" t="str">
        <f ca="1">IFERROR(__xludf.DUMMYFUNCTION("""COMPUTED_VALUE"""),"CB")</f>
        <v>CB</v>
      </c>
      <c r="B43" s="207" t="str">
        <f ca="1">IFERROR(__xludf.DUMMYFUNCTION("""COMPUTED_VALUE"""),"Evan Tan")</f>
        <v>Evan Tan</v>
      </c>
      <c r="C43" s="199">
        <f ca="1">IFERROR(__xludf.DUMMYFUNCTION("""COMPUTED_VALUE"""),6)</f>
        <v>6</v>
      </c>
      <c r="D43" s="199" t="str">
        <f ca="1">IFERROR(__xludf.DUMMYFUNCTION("""COMPUTED_VALUE"""),"B")</f>
        <v>B</v>
      </c>
      <c r="E43" s="202" t="str">
        <f ca="1">IFERROR(__xludf.DUMMYFUNCTION("""COMPUTED_VALUE"""),"F")</f>
        <v>F</v>
      </c>
      <c r="F43" s="202" t="str">
        <f ca="1">IFERROR(__xludf.DUMMYFUNCTION("""COMPUTED_VALUE"""),"J")</f>
        <v>J</v>
      </c>
      <c r="G43" s="202">
        <f ca="1">IFERROR(__xludf.DUMMYFUNCTION("""COMPUTED_VALUE"""),4)</f>
        <v>4</v>
      </c>
      <c r="H43" s="208"/>
      <c r="I43" s="208"/>
      <c r="J43" s="208"/>
      <c r="K43" s="208"/>
      <c r="L43" s="208" t="str">
        <v/>
      </c>
      <c r="M43" s="208" t="str">
        <v/>
      </c>
    </row>
    <row r="44" spans="1:13" ht="14.4">
      <c r="A44" s="199" t="str">
        <f ca="1">IFERROR(__xludf.DUMMYFUNCTION("""COMPUTED_VALUE"""),"CB")</f>
        <v>CB</v>
      </c>
      <c r="B44" s="207" t="str">
        <f ca="1">IFERROR(__xludf.DUMMYFUNCTION("""COMPUTED_VALUE"""),"Grayson Grass")</f>
        <v>Grayson Grass</v>
      </c>
      <c r="C44" s="199">
        <f ca="1">IFERROR(__xludf.DUMMYFUNCTION("""COMPUTED_VALUE"""),9)</f>
        <v>9</v>
      </c>
      <c r="D44" s="199" t="str">
        <f ca="1">IFERROR(__xludf.DUMMYFUNCTION("""COMPUTED_VALUE"""),"B")</f>
        <v>B</v>
      </c>
      <c r="E44" s="202" t="str">
        <f ca="1">IFERROR(__xludf.DUMMYFUNCTION("""COMPUTED_VALUE"""),"F")</f>
        <v>F</v>
      </c>
      <c r="F44" s="202" t="str">
        <f ca="1">IFERROR(__xludf.DUMMYFUNCTION("""COMPUTED_VALUE"""),"J")</f>
        <v>J</v>
      </c>
      <c r="G44" s="202">
        <f ca="1">IFERROR(__xludf.DUMMYFUNCTION("""COMPUTED_VALUE"""),4)</f>
        <v>4</v>
      </c>
      <c r="H44" s="206"/>
      <c r="I44" s="206"/>
      <c r="J44" s="206"/>
      <c r="K44" s="206"/>
      <c r="L44" s="206" t="str">
        <v/>
      </c>
      <c r="M44" s="206" t="str">
        <v/>
      </c>
    </row>
    <row r="45" spans="1:13" ht="14.4">
      <c r="A45" s="199" t="str">
        <f ca="1">IFERROR(__xludf.DUMMYFUNCTION("""COMPUTED_VALUE"""),"CB")</f>
        <v>CB</v>
      </c>
      <c r="B45" s="207" t="str">
        <f ca="1">IFERROR(__xludf.DUMMYFUNCTION("""COMPUTED_VALUE"""),"Gudrun Burnison")</f>
        <v>Gudrun Burnison</v>
      </c>
      <c r="C45" s="199">
        <f ca="1">IFERROR(__xludf.DUMMYFUNCTION("""COMPUTED_VALUE"""),10)</f>
        <v>10</v>
      </c>
      <c r="D45" s="199" t="str">
        <f ca="1">IFERROR(__xludf.DUMMYFUNCTION("""COMPUTED_VALUE"""),"B")</f>
        <v>B</v>
      </c>
      <c r="E45" s="202" t="str">
        <f ca="1">IFERROR(__xludf.DUMMYFUNCTION("""COMPUTED_VALUE"""),"F")</f>
        <v>F</v>
      </c>
      <c r="F45" s="202" t="str">
        <f ca="1">IFERROR(__xludf.DUMMYFUNCTION("""COMPUTED_VALUE"""),"J")</f>
        <v>J</v>
      </c>
      <c r="G45" s="202">
        <f ca="1">IFERROR(__xludf.DUMMYFUNCTION("""COMPUTED_VALUE"""),4)</f>
        <v>4</v>
      </c>
      <c r="H45" s="208"/>
      <c r="I45" s="208"/>
      <c r="J45" s="208"/>
      <c r="K45" s="208"/>
      <c r="L45" s="208" t="str">
        <v/>
      </c>
      <c r="M45" s="208" t="str">
        <v/>
      </c>
    </row>
    <row r="46" spans="1:13" ht="14.4">
      <c r="A46" s="199" t="str">
        <f ca="1">IFERROR(__xludf.DUMMYFUNCTION("""COMPUTED_VALUE"""),"CB")</f>
        <v>CB</v>
      </c>
      <c r="B46" s="207" t="str">
        <f ca="1">IFERROR(__xludf.DUMMYFUNCTION("""COMPUTED_VALUE"""),"Gunnar Anderson")</f>
        <v>Gunnar Anderson</v>
      </c>
      <c r="C46" s="199">
        <f ca="1">IFERROR(__xludf.DUMMYFUNCTION("""COMPUTED_VALUE"""),8)</f>
        <v>8</v>
      </c>
      <c r="D46" s="199" t="str">
        <f ca="1">IFERROR(__xludf.DUMMYFUNCTION("""COMPUTED_VALUE"""),"B")</f>
        <v>B</v>
      </c>
      <c r="E46" s="202" t="str">
        <f ca="1">IFERROR(__xludf.DUMMYFUNCTION("""COMPUTED_VALUE"""),"F")</f>
        <v>F</v>
      </c>
      <c r="F46" s="202" t="str">
        <f ca="1">IFERROR(__xludf.DUMMYFUNCTION("""COMPUTED_VALUE"""),"J")</f>
        <v>J</v>
      </c>
      <c r="G46" s="202">
        <f ca="1">IFERROR(__xludf.DUMMYFUNCTION("""COMPUTED_VALUE"""),4)</f>
        <v>4</v>
      </c>
      <c r="H46" s="206"/>
      <c r="I46" s="206"/>
      <c r="J46" s="206"/>
      <c r="K46" s="206"/>
      <c r="L46" s="206" t="str">
        <v/>
      </c>
      <c r="M46" s="206" t="str">
        <v/>
      </c>
    </row>
    <row r="47" spans="1:13" ht="14.4">
      <c r="A47" s="199" t="str">
        <f ca="1">IFERROR(__xludf.DUMMYFUNCTION("""COMPUTED_VALUE"""),"CB")</f>
        <v>CB</v>
      </c>
      <c r="B47" s="207" t="str">
        <f ca="1">IFERROR(__xludf.DUMMYFUNCTION("""COMPUTED_VALUE"""),"Jack Miller")</f>
        <v>Jack Miller</v>
      </c>
      <c r="C47" s="199">
        <f ca="1">IFERROR(__xludf.DUMMYFUNCTION("""COMPUTED_VALUE"""),7)</f>
        <v>7</v>
      </c>
      <c r="D47" s="199" t="str">
        <f ca="1">IFERROR(__xludf.DUMMYFUNCTION("""COMPUTED_VALUE"""),"B")</f>
        <v>B</v>
      </c>
      <c r="E47" s="202" t="str">
        <f ca="1">IFERROR(__xludf.DUMMYFUNCTION("""COMPUTED_VALUE"""),"F")</f>
        <v>F</v>
      </c>
      <c r="F47" s="202" t="str">
        <f ca="1">IFERROR(__xludf.DUMMYFUNCTION("""COMPUTED_VALUE"""),"J")</f>
        <v>J</v>
      </c>
      <c r="G47" s="202">
        <f ca="1">IFERROR(__xludf.DUMMYFUNCTION("""COMPUTED_VALUE"""),4)</f>
        <v>4</v>
      </c>
      <c r="H47" s="208"/>
      <c r="I47" s="208"/>
      <c r="J47" s="208"/>
      <c r="K47" s="208"/>
      <c r="L47" s="208" t="str">
        <v/>
      </c>
      <c r="M47" s="208" t="str">
        <v/>
      </c>
    </row>
    <row r="48" spans="1:13" ht="14.4">
      <c r="A48" s="199" t="str">
        <f ca="1">IFERROR(__xludf.DUMMYFUNCTION("""COMPUTED_VALUE"""),"CB")</f>
        <v>CB</v>
      </c>
      <c r="B48" s="207" t="str">
        <f ca="1">IFERROR(__xludf.DUMMYFUNCTION("""COMPUTED_VALUE"""),"Jack Zecher")</f>
        <v>Jack Zecher</v>
      </c>
      <c r="C48" s="199">
        <f ca="1">IFERROR(__xludf.DUMMYFUNCTION("""COMPUTED_VALUE"""),7)</f>
        <v>7</v>
      </c>
      <c r="D48" s="199" t="str">
        <f ca="1">IFERROR(__xludf.DUMMYFUNCTION("""COMPUTED_VALUE"""),"b")</f>
        <v>b</v>
      </c>
      <c r="E48" s="202" t="str">
        <f ca="1">IFERROR(__xludf.DUMMYFUNCTION("""COMPUTED_VALUE"""),"F")</f>
        <v>F</v>
      </c>
      <c r="F48" s="202" t="str">
        <f ca="1">IFERROR(__xludf.DUMMYFUNCTION("""COMPUTED_VALUE"""),"J")</f>
        <v>J</v>
      </c>
      <c r="G48" s="202">
        <f ca="1">IFERROR(__xludf.DUMMYFUNCTION("""COMPUTED_VALUE"""),4)</f>
        <v>4</v>
      </c>
      <c r="H48" s="208"/>
      <c r="I48" s="208">
        <v>51.1</v>
      </c>
      <c r="J48" s="208"/>
      <c r="K48" s="208" t="s">
        <v>121</v>
      </c>
      <c r="L48" s="208" t="str">
        <v xml:space="preserve"> 51.1</v>
      </c>
      <c r="M48" s="208" t="str">
        <v/>
      </c>
    </row>
    <row r="49" spans="1:13" ht="14.4">
      <c r="A49" s="199" t="str">
        <f ca="1">IFERROR(__xludf.DUMMYFUNCTION("""COMPUTED_VALUE"""),"CB")</f>
        <v>CB</v>
      </c>
      <c r="B49" s="207" t="str">
        <f ca="1">IFERROR(__xludf.DUMMYFUNCTION("""COMPUTED_VALUE"""),"Jacob Pacific")</f>
        <v>Jacob Pacific</v>
      </c>
      <c r="C49" s="199">
        <f ca="1">IFERROR(__xludf.DUMMYFUNCTION("""COMPUTED_VALUE"""),10)</f>
        <v>10</v>
      </c>
      <c r="D49" s="199" t="str">
        <f ca="1">IFERROR(__xludf.DUMMYFUNCTION("""COMPUTED_VALUE"""),"b")</f>
        <v>b</v>
      </c>
      <c r="E49" s="202" t="str">
        <f ca="1">IFERROR(__xludf.DUMMYFUNCTION("""COMPUTED_VALUE"""),"F")</f>
        <v>F</v>
      </c>
      <c r="F49" s="202" t="str">
        <f ca="1">IFERROR(__xludf.DUMMYFUNCTION("""COMPUTED_VALUE"""),"J")</f>
        <v>J</v>
      </c>
      <c r="G49" s="202">
        <f ca="1">IFERROR(__xludf.DUMMYFUNCTION("""COMPUTED_VALUE"""),4)</f>
        <v>4</v>
      </c>
      <c r="H49" s="208"/>
      <c r="I49" s="208"/>
      <c r="J49" s="208"/>
      <c r="K49" s="208"/>
      <c r="L49" s="208" t="str">
        <v/>
      </c>
      <c r="M49" s="208" t="str">
        <v/>
      </c>
    </row>
    <row r="50" spans="1:13" ht="14.4">
      <c r="A50" s="199" t="str">
        <f ca="1">IFERROR(__xludf.DUMMYFUNCTION("""COMPUTED_VALUE"""),"CB")</f>
        <v>CB</v>
      </c>
      <c r="B50" s="207" t="str">
        <f ca="1">IFERROR(__xludf.DUMMYFUNCTION("""COMPUTED_VALUE"""),"Michael Moss")</f>
        <v>Michael Moss</v>
      </c>
      <c r="C50" s="199">
        <f ca="1">IFERROR(__xludf.DUMMYFUNCTION("""COMPUTED_VALUE"""),6)</f>
        <v>6</v>
      </c>
      <c r="D50" s="199" t="str">
        <f ca="1">IFERROR(__xludf.DUMMYFUNCTION("""COMPUTED_VALUE"""),"B")</f>
        <v>B</v>
      </c>
      <c r="E50" s="202" t="str">
        <f ca="1">IFERROR(__xludf.DUMMYFUNCTION("""COMPUTED_VALUE"""),"F")</f>
        <v>F</v>
      </c>
      <c r="F50" s="202" t="str">
        <f ca="1">IFERROR(__xludf.DUMMYFUNCTION("""COMPUTED_VALUE"""),"J")</f>
        <v>J</v>
      </c>
      <c r="G50" s="202">
        <f ca="1">IFERROR(__xludf.DUMMYFUNCTION("""COMPUTED_VALUE"""),4)</f>
        <v>4</v>
      </c>
      <c r="H50" s="206"/>
      <c r="I50" s="206"/>
      <c r="J50" s="206"/>
      <c r="K50" s="206"/>
      <c r="L50" s="206" t="str">
        <v/>
      </c>
      <c r="M50" s="206" t="str">
        <v/>
      </c>
    </row>
    <row r="51" spans="1:13" ht="14.4">
      <c r="A51" s="199" t="str">
        <f ca="1">IFERROR(__xludf.DUMMYFUNCTION("""COMPUTED_VALUE"""),"CB")</f>
        <v>CB</v>
      </c>
      <c r="B51" s="207" t="str">
        <f ca="1">IFERROR(__xludf.DUMMYFUNCTION("""COMPUTED_VALUE"""),"Nicholas Harvey")</f>
        <v>Nicholas Harvey</v>
      </c>
      <c r="C51" s="199">
        <f ca="1">IFERROR(__xludf.DUMMYFUNCTION("""COMPUTED_VALUE"""),6)</f>
        <v>6</v>
      </c>
      <c r="D51" s="199" t="str">
        <f ca="1">IFERROR(__xludf.DUMMYFUNCTION("""COMPUTED_VALUE"""),"B")</f>
        <v>B</v>
      </c>
      <c r="E51" s="202" t="str">
        <f ca="1">IFERROR(__xludf.DUMMYFUNCTION("""COMPUTED_VALUE"""),"F")</f>
        <v>F</v>
      </c>
      <c r="F51" s="202" t="str">
        <f ca="1">IFERROR(__xludf.DUMMYFUNCTION("""COMPUTED_VALUE"""),"J")</f>
        <v>J</v>
      </c>
      <c r="G51" s="202">
        <f ca="1">IFERROR(__xludf.DUMMYFUNCTION("""COMPUTED_VALUE"""),4)</f>
        <v>4</v>
      </c>
      <c r="H51" s="208"/>
      <c r="I51" s="208"/>
      <c r="J51" s="208"/>
      <c r="K51" s="208"/>
      <c r="L51" s="208" t="str">
        <v/>
      </c>
      <c r="M51" s="208" t="str">
        <v/>
      </c>
    </row>
    <row r="52" spans="1:13" ht="14.4">
      <c r="A52" s="199" t="str">
        <f ca="1">IFERROR(__xludf.DUMMYFUNCTION("""COMPUTED_VALUE"""),"CB")</f>
        <v>CB</v>
      </c>
      <c r="B52" s="207" t="str">
        <f ca="1">IFERROR(__xludf.DUMMYFUNCTION("""COMPUTED_VALUE"""),"Nicholas Pacific")</f>
        <v>Nicholas Pacific</v>
      </c>
      <c r="C52" s="199">
        <f ca="1">IFERROR(__xludf.DUMMYFUNCTION("""COMPUTED_VALUE"""),6)</f>
        <v>6</v>
      </c>
      <c r="D52" s="199" t="str">
        <f ca="1">IFERROR(__xludf.DUMMYFUNCTION("""COMPUTED_VALUE"""),"b")</f>
        <v>b</v>
      </c>
      <c r="E52" s="202" t="str">
        <f ca="1">IFERROR(__xludf.DUMMYFUNCTION("""COMPUTED_VALUE"""),"F")</f>
        <v>F</v>
      </c>
      <c r="F52" s="202" t="str">
        <f ca="1">IFERROR(__xludf.DUMMYFUNCTION("""COMPUTED_VALUE"""),"J")</f>
        <v>J</v>
      </c>
      <c r="G52" s="202">
        <f ca="1">IFERROR(__xludf.DUMMYFUNCTION("""COMPUTED_VALUE"""),4)</f>
        <v>4</v>
      </c>
      <c r="H52" s="206"/>
      <c r="I52" s="206"/>
      <c r="J52" s="206"/>
      <c r="K52" s="206"/>
      <c r="L52" s="206" t="str">
        <v/>
      </c>
      <c r="M52" s="206" t="str">
        <v/>
      </c>
    </row>
    <row r="53" spans="1:13" ht="14.4">
      <c r="A53" s="199" t="str">
        <f ca="1">IFERROR(__xludf.DUMMYFUNCTION("""COMPUTED_VALUE"""),"CB")</f>
        <v>CB</v>
      </c>
      <c r="B53" s="207" t="str">
        <f ca="1">IFERROR(__xludf.DUMMYFUNCTION("""COMPUTED_VALUE"""),"William Duffy")</f>
        <v>William Duffy</v>
      </c>
      <c r="C53" s="199">
        <f ca="1">IFERROR(__xludf.DUMMYFUNCTION("""COMPUTED_VALUE"""),7)</f>
        <v>7</v>
      </c>
      <c r="D53" s="199" t="str">
        <f ca="1">IFERROR(__xludf.DUMMYFUNCTION("""COMPUTED_VALUE"""),"B")</f>
        <v>B</v>
      </c>
      <c r="E53" s="202" t="str">
        <f ca="1">IFERROR(__xludf.DUMMYFUNCTION("""COMPUTED_VALUE"""),"F")</f>
        <v>F</v>
      </c>
      <c r="F53" s="202" t="str">
        <f ca="1">IFERROR(__xludf.DUMMYFUNCTION("""COMPUTED_VALUE"""),"J")</f>
        <v>J</v>
      </c>
      <c r="G53" s="202">
        <f ca="1">IFERROR(__xludf.DUMMYFUNCTION("""COMPUTED_VALUE"""),4)</f>
        <v>4</v>
      </c>
      <c r="H53" s="206"/>
      <c r="I53" s="206"/>
      <c r="J53" s="206"/>
      <c r="K53" s="206"/>
      <c r="L53" s="206" t="str">
        <v/>
      </c>
      <c r="M53" s="206" t="str">
        <v/>
      </c>
    </row>
    <row r="54" spans="1:13" ht="14.4">
      <c r="A54" s="199" t="str">
        <f ca="1">IFERROR(__xludf.DUMMYFUNCTION("""COMPUTED_VALUE"""),"CB")</f>
        <v>CB</v>
      </c>
      <c r="B54" s="207" t="str">
        <f ca="1">IFERROR(__xludf.DUMMYFUNCTION("""COMPUTED_VALUE"""),"Abby Babb")</f>
        <v>Abby Babb</v>
      </c>
      <c r="C54" s="199">
        <f ca="1">IFERROR(__xludf.DUMMYFUNCTION("""COMPUTED_VALUE"""),9)</f>
        <v>9</v>
      </c>
      <c r="D54" s="199" t="str">
        <f ca="1">IFERROR(__xludf.DUMMYFUNCTION("""COMPUTED_VALUE"""),"G")</f>
        <v>G</v>
      </c>
      <c r="E54" s="202" t="str">
        <f ca="1">IFERROR(__xludf.DUMMYFUNCTION("""COMPUTED_VALUE"""),"F")</f>
        <v>F</v>
      </c>
      <c r="F54" s="202" t="str">
        <f ca="1">IFERROR(__xludf.DUMMYFUNCTION("""COMPUTED_VALUE"""),"J")</f>
        <v>J</v>
      </c>
      <c r="G54" s="202">
        <f ca="1">IFERROR(__xludf.DUMMYFUNCTION("""COMPUTED_VALUE"""),4)</f>
        <v>4</v>
      </c>
      <c r="H54" s="208"/>
      <c r="I54" s="208"/>
      <c r="J54" s="208"/>
      <c r="K54" s="208"/>
      <c r="L54" s="208" t="str">
        <v/>
      </c>
      <c r="M54" s="208" t="str">
        <v/>
      </c>
    </row>
    <row r="55" spans="1:13" ht="14.4">
      <c r="A55" s="199" t="str">
        <f ca="1">IFERROR(__xludf.DUMMYFUNCTION("""COMPUTED_VALUE"""),"CB")</f>
        <v>CB</v>
      </c>
      <c r="B55" s="207" t="str">
        <f ca="1">IFERROR(__xludf.DUMMYFUNCTION("""COMPUTED_VALUE"""),"Ashley Shen")</f>
        <v>Ashley Shen</v>
      </c>
      <c r="C55" s="199">
        <f ca="1">IFERROR(__xludf.DUMMYFUNCTION("""COMPUTED_VALUE"""),9)</f>
        <v>9</v>
      </c>
      <c r="D55" s="199" t="str">
        <f ca="1">IFERROR(__xludf.DUMMYFUNCTION("""COMPUTED_VALUE"""),"G")</f>
        <v>G</v>
      </c>
      <c r="E55" s="202" t="str">
        <f ca="1">IFERROR(__xludf.DUMMYFUNCTION("""COMPUTED_VALUE"""),"F")</f>
        <v>F</v>
      </c>
      <c r="F55" s="202" t="str">
        <f ca="1">IFERROR(__xludf.DUMMYFUNCTION("""COMPUTED_VALUE"""),"J")</f>
        <v>J</v>
      </c>
      <c r="G55" s="202">
        <f ca="1">IFERROR(__xludf.DUMMYFUNCTION("""COMPUTED_VALUE"""),4)</f>
        <v>4</v>
      </c>
      <c r="H55" s="208"/>
      <c r="I55" s="208"/>
      <c r="J55" s="208"/>
      <c r="K55" s="208"/>
      <c r="L55" s="208" t="str">
        <v/>
      </c>
      <c r="M55" s="208" t="str">
        <v/>
      </c>
    </row>
    <row r="56" spans="1:13" ht="14.4">
      <c r="A56" s="199" t="str">
        <f ca="1">IFERROR(__xludf.DUMMYFUNCTION("""COMPUTED_VALUE"""),"CB")</f>
        <v>CB</v>
      </c>
      <c r="B56" s="207" t="str">
        <f ca="1">IFERROR(__xludf.DUMMYFUNCTION("""COMPUTED_VALUE"""),"Ava Kulkin")</f>
        <v>Ava Kulkin</v>
      </c>
      <c r="C56" s="199">
        <f ca="1">IFERROR(__xludf.DUMMYFUNCTION("""COMPUTED_VALUE"""),9)</f>
        <v>9</v>
      </c>
      <c r="D56" s="199" t="str">
        <f ca="1">IFERROR(__xludf.DUMMYFUNCTION("""COMPUTED_VALUE"""),"G")</f>
        <v>G</v>
      </c>
      <c r="E56" s="202" t="str">
        <f ca="1">IFERROR(__xludf.DUMMYFUNCTION("""COMPUTED_VALUE"""),"F")</f>
        <v>F</v>
      </c>
      <c r="F56" s="202" t="str">
        <f ca="1">IFERROR(__xludf.DUMMYFUNCTION("""COMPUTED_VALUE"""),"J")</f>
        <v>J</v>
      </c>
      <c r="G56" s="202">
        <f ca="1">IFERROR(__xludf.DUMMYFUNCTION("""COMPUTED_VALUE"""),4)</f>
        <v>4</v>
      </c>
      <c r="H56" s="208"/>
      <c r="I56" s="208"/>
      <c r="J56" s="208"/>
      <c r="K56" s="208"/>
      <c r="L56" s="208" t="str">
        <v/>
      </c>
      <c r="M56" s="208" t="str">
        <v/>
      </c>
    </row>
    <row r="57" spans="1:13" ht="14.4">
      <c r="A57" s="199" t="str">
        <f ca="1">IFERROR(__xludf.DUMMYFUNCTION("""COMPUTED_VALUE"""),"CB")</f>
        <v>CB</v>
      </c>
      <c r="B57" s="207" t="str">
        <f ca="1">IFERROR(__xludf.DUMMYFUNCTION("""COMPUTED_VALUE"""),"Ava Tan")</f>
        <v>Ava Tan</v>
      </c>
      <c r="C57" s="199">
        <f ca="1">IFERROR(__xludf.DUMMYFUNCTION("""COMPUTED_VALUE"""),10)</f>
        <v>10</v>
      </c>
      <c r="D57" s="199" t="str">
        <f ca="1">IFERROR(__xludf.DUMMYFUNCTION("""COMPUTED_VALUE"""),"G")</f>
        <v>G</v>
      </c>
      <c r="E57" s="202" t="str">
        <f ca="1">IFERROR(__xludf.DUMMYFUNCTION("""COMPUTED_VALUE"""),"F")</f>
        <v>F</v>
      </c>
      <c r="F57" s="202" t="str">
        <f ca="1">IFERROR(__xludf.DUMMYFUNCTION("""COMPUTED_VALUE"""),"J")</f>
        <v>J</v>
      </c>
      <c r="G57" s="202">
        <f ca="1">IFERROR(__xludf.DUMMYFUNCTION("""COMPUTED_VALUE"""),4)</f>
        <v>4</v>
      </c>
      <c r="H57" s="206"/>
      <c r="I57" s="206"/>
      <c r="J57" s="206"/>
      <c r="K57" s="206"/>
      <c r="L57" s="206" t="str">
        <v/>
      </c>
      <c r="M57" s="206" t="str">
        <v/>
      </c>
    </row>
    <row r="58" spans="1:13" ht="14.4">
      <c r="A58" s="199" t="str">
        <f ca="1">IFERROR(__xludf.DUMMYFUNCTION("""COMPUTED_VALUE"""),"CB")</f>
        <v>CB</v>
      </c>
      <c r="B58" s="207" t="str">
        <f ca="1">IFERROR(__xludf.DUMMYFUNCTION("""COMPUTED_VALUE"""),"Catherine Burnison")</f>
        <v>Catherine Burnison</v>
      </c>
      <c r="C58" s="199">
        <f ca="1">IFERROR(__xludf.DUMMYFUNCTION("""COMPUTED_VALUE"""),10)</f>
        <v>10</v>
      </c>
      <c r="D58" s="199" t="str">
        <f ca="1">IFERROR(__xludf.DUMMYFUNCTION("""COMPUTED_VALUE"""),"G")</f>
        <v>G</v>
      </c>
      <c r="E58" s="202" t="str">
        <f ca="1">IFERROR(__xludf.DUMMYFUNCTION("""COMPUTED_VALUE"""),"F")</f>
        <v>F</v>
      </c>
      <c r="F58" s="202" t="str">
        <f ca="1">IFERROR(__xludf.DUMMYFUNCTION("""COMPUTED_VALUE"""),"J")</f>
        <v>J</v>
      </c>
      <c r="G58" s="202">
        <f ca="1">IFERROR(__xludf.DUMMYFUNCTION("""COMPUTED_VALUE"""),4)</f>
        <v>4</v>
      </c>
      <c r="H58" s="208"/>
      <c r="I58" s="208"/>
      <c r="J58" s="208"/>
      <c r="K58" s="208"/>
      <c r="L58" s="208" t="str">
        <v/>
      </c>
      <c r="M58" s="208" t="str">
        <v/>
      </c>
    </row>
    <row r="59" spans="1:13" ht="14.4">
      <c r="A59" s="199" t="str">
        <f ca="1">IFERROR(__xludf.DUMMYFUNCTION("""COMPUTED_VALUE"""),"CB")</f>
        <v>CB</v>
      </c>
      <c r="B59" s="207" t="str">
        <f ca="1">IFERROR(__xludf.DUMMYFUNCTION("""COMPUTED_VALUE"""),"Elaine Jensen")</f>
        <v>Elaine Jensen</v>
      </c>
      <c r="C59" s="199">
        <f ca="1">IFERROR(__xludf.DUMMYFUNCTION("""COMPUTED_VALUE"""),6)</f>
        <v>6</v>
      </c>
      <c r="D59" s="199" t="str">
        <f ca="1">IFERROR(__xludf.DUMMYFUNCTION("""COMPUTED_VALUE"""),"G")</f>
        <v>G</v>
      </c>
      <c r="E59" s="202" t="str">
        <f ca="1">IFERROR(__xludf.DUMMYFUNCTION("""COMPUTED_VALUE"""),"F")</f>
        <v>F</v>
      </c>
      <c r="F59" s="202" t="str">
        <f ca="1">IFERROR(__xludf.DUMMYFUNCTION("""COMPUTED_VALUE"""),"J")</f>
        <v>J</v>
      </c>
      <c r="G59" s="202">
        <f ca="1">IFERROR(__xludf.DUMMYFUNCTION("""COMPUTED_VALUE"""),4)</f>
        <v>4</v>
      </c>
      <c r="H59" s="208"/>
      <c r="I59" s="208"/>
      <c r="J59" s="208"/>
      <c r="K59" s="208"/>
      <c r="L59" s="208" t="str">
        <v/>
      </c>
      <c r="M59" s="208" t="str">
        <v/>
      </c>
    </row>
    <row r="60" spans="1:13" ht="14.4">
      <c r="A60" s="199" t="str">
        <f ca="1">IFERROR(__xludf.DUMMYFUNCTION("""COMPUTED_VALUE"""),"CB")</f>
        <v>CB</v>
      </c>
      <c r="B60" s="207" t="str">
        <f ca="1">IFERROR(__xludf.DUMMYFUNCTION("""COMPUTED_VALUE"""),"Eliza Harvey")</f>
        <v>Eliza Harvey</v>
      </c>
      <c r="C60" s="199">
        <f ca="1">IFERROR(__xludf.DUMMYFUNCTION("""COMPUTED_VALUE"""),9)</f>
        <v>9</v>
      </c>
      <c r="D60" s="199" t="str">
        <f ca="1">IFERROR(__xludf.DUMMYFUNCTION("""COMPUTED_VALUE"""),"G")</f>
        <v>G</v>
      </c>
      <c r="E60" s="202" t="str">
        <f ca="1">IFERROR(__xludf.DUMMYFUNCTION("""COMPUTED_VALUE"""),"F")</f>
        <v>F</v>
      </c>
      <c r="F60" s="202" t="str">
        <f ca="1">IFERROR(__xludf.DUMMYFUNCTION("""COMPUTED_VALUE"""),"J")</f>
        <v>J</v>
      </c>
      <c r="G60" s="202">
        <f ca="1">IFERROR(__xludf.DUMMYFUNCTION("""COMPUTED_VALUE"""),4)</f>
        <v>4</v>
      </c>
      <c r="H60" s="208"/>
      <c r="I60" s="208"/>
      <c r="J60" s="208"/>
      <c r="K60" s="208"/>
      <c r="L60" s="208" t="str">
        <v/>
      </c>
      <c r="M60" s="208" t="str">
        <v/>
      </c>
    </row>
    <row r="61" spans="1:13" ht="14.4">
      <c r="A61" s="199" t="str">
        <f ca="1">IFERROR(__xludf.DUMMYFUNCTION("""COMPUTED_VALUE"""),"CB")</f>
        <v>CB</v>
      </c>
      <c r="B61" s="207" t="str">
        <f ca="1">IFERROR(__xludf.DUMMYFUNCTION("""COMPUTED_VALUE"""),"Elizabeth Burnison")</f>
        <v>Elizabeth Burnison</v>
      </c>
      <c r="C61" s="199">
        <f ca="1">IFERROR(__xludf.DUMMYFUNCTION("""COMPUTED_VALUE"""),9)</f>
        <v>9</v>
      </c>
      <c r="D61" s="199" t="str">
        <f ca="1">IFERROR(__xludf.DUMMYFUNCTION("""COMPUTED_VALUE"""),"G")</f>
        <v>G</v>
      </c>
      <c r="E61" s="202" t="str">
        <f ca="1">IFERROR(__xludf.DUMMYFUNCTION("""COMPUTED_VALUE"""),"F")</f>
        <v>F</v>
      </c>
      <c r="F61" s="202" t="str">
        <f ca="1">IFERROR(__xludf.DUMMYFUNCTION("""COMPUTED_VALUE"""),"J")</f>
        <v>J</v>
      </c>
      <c r="G61" s="202">
        <f ca="1">IFERROR(__xludf.DUMMYFUNCTION("""COMPUTED_VALUE"""),4)</f>
        <v>4</v>
      </c>
      <c r="H61" s="206"/>
      <c r="I61" s="206"/>
      <c r="J61" s="206"/>
      <c r="K61" s="206"/>
      <c r="L61" s="206" t="str">
        <v/>
      </c>
      <c r="M61" s="206" t="str">
        <v/>
      </c>
    </row>
    <row r="62" spans="1:13" ht="14.4">
      <c r="A62" s="199" t="str">
        <f ca="1">IFERROR(__xludf.DUMMYFUNCTION("""COMPUTED_VALUE"""),"CB")</f>
        <v>CB</v>
      </c>
      <c r="B62" s="207" t="str">
        <f ca="1">IFERROR(__xludf.DUMMYFUNCTION("""COMPUTED_VALUE"""),"Elle Whitney")</f>
        <v>Elle Whitney</v>
      </c>
      <c r="C62" s="199">
        <f ca="1">IFERROR(__xludf.DUMMYFUNCTION("""COMPUTED_VALUE"""),10)</f>
        <v>10</v>
      </c>
      <c r="D62" s="199" t="str">
        <f ca="1">IFERROR(__xludf.DUMMYFUNCTION("""COMPUTED_VALUE"""),"G")</f>
        <v>G</v>
      </c>
      <c r="E62" s="202" t="str">
        <f ca="1">IFERROR(__xludf.DUMMYFUNCTION("""COMPUTED_VALUE"""),"F")</f>
        <v>F</v>
      </c>
      <c r="F62" s="202" t="str">
        <f ca="1">IFERROR(__xludf.DUMMYFUNCTION("""COMPUTED_VALUE"""),"J")</f>
        <v>J</v>
      </c>
      <c r="G62" s="202">
        <f ca="1">IFERROR(__xludf.DUMMYFUNCTION("""COMPUTED_VALUE"""),4)</f>
        <v>4</v>
      </c>
      <c r="H62" s="206"/>
      <c r="I62" s="206"/>
      <c r="J62" s="206"/>
      <c r="K62" s="206"/>
      <c r="L62" s="206" t="str">
        <v/>
      </c>
      <c r="M62" s="206" t="str">
        <v/>
      </c>
    </row>
    <row r="63" spans="1:13" ht="14.4">
      <c r="A63" s="199" t="str">
        <f ca="1">IFERROR(__xludf.DUMMYFUNCTION("""COMPUTED_VALUE"""),"CB")</f>
        <v>CB</v>
      </c>
      <c r="B63" s="207" t="str">
        <f ca="1">IFERROR(__xludf.DUMMYFUNCTION("""COMPUTED_VALUE"""),"Ellie Hook")</f>
        <v>Ellie Hook</v>
      </c>
      <c r="C63" s="199">
        <f ca="1">IFERROR(__xludf.DUMMYFUNCTION("""COMPUTED_VALUE"""),8)</f>
        <v>8</v>
      </c>
      <c r="D63" s="199" t="str">
        <f ca="1">IFERROR(__xludf.DUMMYFUNCTION("""COMPUTED_VALUE"""),"G")</f>
        <v>G</v>
      </c>
      <c r="E63" s="202" t="str">
        <f ca="1">IFERROR(__xludf.DUMMYFUNCTION("""COMPUTED_VALUE"""),"F")</f>
        <v>F</v>
      </c>
      <c r="F63" s="202" t="str">
        <f ca="1">IFERROR(__xludf.DUMMYFUNCTION("""COMPUTED_VALUE"""),"J")</f>
        <v>J</v>
      </c>
      <c r="G63" s="202">
        <f ca="1">IFERROR(__xludf.DUMMYFUNCTION("""COMPUTED_VALUE"""),4)</f>
        <v>4</v>
      </c>
      <c r="H63" s="206"/>
      <c r="I63" s="206"/>
      <c r="J63" s="206"/>
      <c r="K63" s="206"/>
      <c r="L63" s="206" t="str">
        <v/>
      </c>
      <c r="M63" s="206" t="str">
        <v/>
      </c>
    </row>
    <row r="64" spans="1:13" ht="14.4">
      <c r="A64" s="199" t="str">
        <f ca="1">IFERROR(__xludf.DUMMYFUNCTION("""COMPUTED_VALUE"""),"CB")</f>
        <v>CB</v>
      </c>
      <c r="B64" s="207" t="str">
        <f ca="1">IFERROR(__xludf.DUMMYFUNCTION("""COMPUTED_VALUE"""),"Emma Roques")</f>
        <v>Emma Roques</v>
      </c>
      <c r="C64" s="199">
        <f ca="1">IFERROR(__xludf.DUMMYFUNCTION("""COMPUTED_VALUE"""),8)</f>
        <v>8</v>
      </c>
      <c r="D64" s="199" t="str">
        <f ca="1">IFERROR(__xludf.DUMMYFUNCTION("""COMPUTED_VALUE"""),"G")</f>
        <v>G</v>
      </c>
      <c r="E64" s="202" t="str">
        <f ca="1">IFERROR(__xludf.DUMMYFUNCTION("""COMPUTED_VALUE"""),"F")</f>
        <v>F</v>
      </c>
      <c r="F64" s="202" t="str">
        <f ca="1">IFERROR(__xludf.DUMMYFUNCTION("""COMPUTED_VALUE"""),"J")</f>
        <v>J</v>
      </c>
      <c r="G64" s="202">
        <f ca="1">IFERROR(__xludf.DUMMYFUNCTION("""COMPUTED_VALUE"""),4)</f>
        <v>4</v>
      </c>
      <c r="H64" s="208"/>
      <c r="I64" s="208"/>
      <c r="J64" s="208"/>
      <c r="K64" s="208"/>
      <c r="L64" s="208" t="str">
        <v/>
      </c>
      <c r="M64" s="208" t="str">
        <v/>
      </c>
    </row>
    <row r="65" spans="1:13" ht="14.4">
      <c r="A65" s="199" t="str">
        <f ca="1">IFERROR(__xludf.DUMMYFUNCTION("""COMPUTED_VALUE"""),"CB")</f>
        <v>CB</v>
      </c>
      <c r="B65" s="207" t="str">
        <f ca="1">IFERROR(__xludf.DUMMYFUNCTION("""COMPUTED_VALUE"""),"Evah Pho")</f>
        <v>Evah Pho</v>
      </c>
      <c r="C65" s="199">
        <f ca="1">IFERROR(__xludf.DUMMYFUNCTION("""COMPUTED_VALUE"""),9)</f>
        <v>9</v>
      </c>
      <c r="D65" s="199" t="str">
        <f ca="1">IFERROR(__xludf.DUMMYFUNCTION("""COMPUTED_VALUE"""),"G")</f>
        <v>G</v>
      </c>
      <c r="E65" s="202" t="str">
        <f ca="1">IFERROR(__xludf.DUMMYFUNCTION("""COMPUTED_VALUE"""),"F")</f>
        <v>F</v>
      </c>
      <c r="F65" s="202" t="str">
        <f ca="1">IFERROR(__xludf.DUMMYFUNCTION("""COMPUTED_VALUE"""),"J")</f>
        <v>J</v>
      </c>
      <c r="G65" s="202">
        <f ca="1">IFERROR(__xludf.DUMMYFUNCTION("""COMPUTED_VALUE"""),4)</f>
        <v>4</v>
      </c>
      <c r="H65" s="206">
        <v>55.8</v>
      </c>
      <c r="I65" s="206"/>
      <c r="J65" s="206" t="s">
        <v>121</v>
      </c>
      <c r="K65" s="206"/>
      <c r="L65" s="206" t="str">
        <v xml:space="preserve"> 55.8</v>
      </c>
      <c r="M65" s="206" t="str">
        <v/>
      </c>
    </row>
    <row r="66" spans="1:13" ht="14.4">
      <c r="A66" s="199" t="str">
        <f ca="1">IFERROR(__xludf.DUMMYFUNCTION("""COMPUTED_VALUE"""),"CB")</f>
        <v>CB</v>
      </c>
      <c r="B66" s="207" t="str">
        <f ca="1">IFERROR(__xludf.DUMMYFUNCTION("""COMPUTED_VALUE"""),"Gabby Gallagher")</f>
        <v>Gabby Gallagher</v>
      </c>
      <c r="C66" s="199">
        <f ca="1">IFERROR(__xludf.DUMMYFUNCTION("""COMPUTED_VALUE"""),10)</f>
        <v>10</v>
      </c>
      <c r="D66" s="199" t="str">
        <f ca="1">IFERROR(__xludf.DUMMYFUNCTION("""COMPUTED_VALUE"""),"G")</f>
        <v>G</v>
      </c>
      <c r="E66" s="202" t="str">
        <f ca="1">IFERROR(__xludf.DUMMYFUNCTION("""COMPUTED_VALUE"""),"F")</f>
        <v>F</v>
      </c>
      <c r="F66" s="202" t="str">
        <f ca="1">IFERROR(__xludf.DUMMYFUNCTION("""COMPUTED_VALUE"""),"J")</f>
        <v>J</v>
      </c>
      <c r="G66" s="202">
        <f ca="1">IFERROR(__xludf.DUMMYFUNCTION("""COMPUTED_VALUE"""),4)</f>
        <v>4</v>
      </c>
      <c r="H66" s="206"/>
      <c r="I66" s="206"/>
      <c r="J66" s="206"/>
      <c r="K66" s="206"/>
      <c r="L66" s="206" t="str">
        <v/>
      </c>
      <c r="M66" s="206" t="str">
        <v/>
      </c>
    </row>
    <row r="67" spans="1:13" ht="14.4">
      <c r="A67" s="199" t="str">
        <f ca="1">IFERROR(__xludf.DUMMYFUNCTION("""COMPUTED_VALUE"""),"CB")</f>
        <v>CB</v>
      </c>
      <c r="B67" s="207" t="str">
        <f ca="1">IFERROR(__xludf.DUMMYFUNCTION("""COMPUTED_VALUE"""),"Johanna Moss")</f>
        <v>Johanna Moss</v>
      </c>
      <c r="C67" s="199">
        <f ca="1">IFERROR(__xludf.DUMMYFUNCTION("""COMPUTED_VALUE"""),6)</f>
        <v>6</v>
      </c>
      <c r="D67" s="199" t="str">
        <f ca="1">IFERROR(__xludf.DUMMYFUNCTION("""COMPUTED_VALUE"""),"G")</f>
        <v>G</v>
      </c>
      <c r="E67" s="202" t="str">
        <f ca="1">IFERROR(__xludf.DUMMYFUNCTION("""COMPUTED_VALUE"""),"F")</f>
        <v>F</v>
      </c>
      <c r="F67" s="202" t="str">
        <f ca="1">IFERROR(__xludf.DUMMYFUNCTION("""COMPUTED_VALUE"""),"J")</f>
        <v>J</v>
      </c>
      <c r="G67" s="202">
        <f ca="1">IFERROR(__xludf.DUMMYFUNCTION("""COMPUTED_VALUE"""),4)</f>
        <v>4</v>
      </c>
      <c r="H67" s="206"/>
      <c r="I67" s="206"/>
      <c r="J67" s="206"/>
      <c r="K67" s="206"/>
      <c r="L67" s="206" t="str">
        <v/>
      </c>
      <c r="M67" s="206" t="str">
        <v/>
      </c>
    </row>
    <row r="68" spans="1:13" ht="14.4">
      <c r="A68" s="199" t="str">
        <f ca="1">IFERROR(__xludf.DUMMYFUNCTION("""COMPUTED_VALUE"""),"CB")</f>
        <v>CB</v>
      </c>
      <c r="B68" s="207" t="str">
        <f ca="1">IFERROR(__xludf.DUMMYFUNCTION("""COMPUTED_VALUE"""),"Julianne Carle")</f>
        <v>Julianne Carle</v>
      </c>
      <c r="C68" s="199">
        <f ca="1">IFERROR(__xludf.DUMMYFUNCTION("""COMPUTED_VALUE"""),10)</f>
        <v>10</v>
      </c>
      <c r="D68" s="199" t="str">
        <f ca="1">IFERROR(__xludf.DUMMYFUNCTION("""COMPUTED_VALUE"""),"G")</f>
        <v>G</v>
      </c>
      <c r="E68" s="202" t="str">
        <f ca="1">IFERROR(__xludf.DUMMYFUNCTION("""COMPUTED_VALUE"""),"F")</f>
        <v>F</v>
      </c>
      <c r="F68" s="202" t="str">
        <f ca="1">IFERROR(__xludf.DUMMYFUNCTION("""COMPUTED_VALUE"""),"J")</f>
        <v>J</v>
      </c>
      <c r="G68" s="202">
        <f ca="1">IFERROR(__xludf.DUMMYFUNCTION("""COMPUTED_VALUE"""),4)</f>
        <v>4</v>
      </c>
      <c r="H68" s="206">
        <v>76.75</v>
      </c>
      <c r="I68" s="206"/>
      <c r="J68" s="206" t="s">
        <v>121</v>
      </c>
      <c r="K68" s="206"/>
      <c r="L68" s="206" t="str">
        <v xml:space="preserve"> 76.75</v>
      </c>
      <c r="M68" s="206" t="str">
        <v/>
      </c>
    </row>
    <row r="69" spans="1:13" ht="14.4">
      <c r="A69" s="199" t="str">
        <f ca="1">IFERROR(__xludf.DUMMYFUNCTION("""COMPUTED_VALUE"""),"CB")</f>
        <v>CB</v>
      </c>
      <c r="B69" s="207" t="str">
        <f ca="1">IFERROR(__xludf.DUMMYFUNCTION("""COMPUTED_VALUE"""),"Kaitlin Moss")</f>
        <v>Kaitlin Moss</v>
      </c>
      <c r="C69" s="199">
        <f ca="1">IFERROR(__xludf.DUMMYFUNCTION("""COMPUTED_VALUE"""),10)</f>
        <v>10</v>
      </c>
      <c r="D69" s="199" t="str">
        <f ca="1">IFERROR(__xludf.DUMMYFUNCTION("""COMPUTED_VALUE"""),"G")</f>
        <v>G</v>
      </c>
      <c r="E69" s="202" t="str">
        <f ca="1">IFERROR(__xludf.DUMMYFUNCTION("""COMPUTED_VALUE"""),"F")</f>
        <v>F</v>
      </c>
      <c r="F69" s="202" t="str">
        <f ca="1">IFERROR(__xludf.DUMMYFUNCTION("""COMPUTED_VALUE"""),"J")</f>
        <v>J</v>
      </c>
      <c r="G69" s="202">
        <f ca="1">IFERROR(__xludf.DUMMYFUNCTION("""COMPUTED_VALUE"""),4)</f>
        <v>4</v>
      </c>
      <c r="H69" s="206"/>
      <c r="I69" s="206"/>
      <c r="J69" s="206"/>
      <c r="K69" s="206"/>
      <c r="L69" s="206" t="str">
        <v/>
      </c>
      <c r="M69" s="206" t="str">
        <v/>
      </c>
    </row>
    <row r="70" spans="1:13" ht="14.4">
      <c r="A70" s="199" t="str">
        <f ca="1">IFERROR(__xludf.DUMMYFUNCTION("""COMPUTED_VALUE"""),"CB")</f>
        <v>CB</v>
      </c>
      <c r="B70" s="207" t="str">
        <f ca="1">IFERROR(__xludf.DUMMYFUNCTION("""COMPUTED_VALUE"""),"Lilah Gallagher")</f>
        <v>Lilah Gallagher</v>
      </c>
      <c r="C70" s="199">
        <f ca="1">IFERROR(__xludf.DUMMYFUNCTION("""COMPUTED_VALUE"""),10)</f>
        <v>10</v>
      </c>
      <c r="D70" s="199" t="str">
        <f ca="1">IFERROR(__xludf.DUMMYFUNCTION("""COMPUTED_VALUE"""),"G")</f>
        <v>G</v>
      </c>
      <c r="E70" s="202" t="str">
        <f ca="1">IFERROR(__xludf.DUMMYFUNCTION("""COMPUTED_VALUE"""),"F")</f>
        <v>F</v>
      </c>
      <c r="F70" s="202" t="str">
        <f ca="1">IFERROR(__xludf.DUMMYFUNCTION("""COMPUTED_VALUE"""),"J")</f>
        <v>J</v>
      </c>
      <c r="G70" s="202">
        <f ca="1">IFERROR(__xludf.DUMMYFUNCTION("""COMPUTED_VALUE"""),4)</f>
        <v>4</v>
      </c>
      <c r="H70" s="206"/>
      <c r="I70" s="206"/>
      <c r="J70" s="206"/>
      <c r="K70" s="206"/>
      <c r="L70" s="206" t="str">
        <v/>
      </c>
      <c r="M70" s="206" t="str">
        <v/>
      </c>
    </row>
    <row r="71" spans="1:13" ht="14.4">
      <c r="A71" s="199" t="str">
        <f ca="1">IFERROR(__xludf.DUMMYFUNCTION("""COMPUTED_VALUE"""),"CB")</f>
        <v>CB</v>
      </c>
      <c r="B71" s="207" t="str">
        <f ca="1">IFERROR(__xludf.DUMMYFUNCTION("""COMPUTED_VALUE"""),"Lily Wilson")</f>
        <v>Lily Wilson</v>
      </c>
      <c r="C71" s="199">
        <f ca="1">IFERROR(__xludf.DUMMYFUNCTION("""COMPUTED_VALUE"""),7)</f>
        <v>7</v>
      </c>
      <c r="D71" s="199" t="str">
        <f ca="1">IFERROR(__xludf.DUMMYFUNCTION("""COMPUTED_VALUE"""),"G")</f>
        <v>G</v>
      </c>
      <c r="E71" s="202" t="str">
        <f ca="1">IFERROR(__xludf.DUMMYFUNCTION("""COMPUTED_VALUE"""),"F")</f>
        <v>F</v>
      </c>
      <c r="F71" s="202" t="str">
        <f ca="1">IFERROR(__xludf.DUMMYFUNCTION("""COMPUTED_VALUE"""),"J")</f>
        <v>J</v>
      </c>
      <c r="G71" s="202">
        <f ca="1">IFERROR(__xludf.DUMMYFUNCTION("""COMPUTED_VALUE"""),4)</f>
        <v>4</v>
      </c>
      <c r="H71" s="206"/>
      <c r="I71" s="206"/>
      <c r="J71" s="206"/>
      <c r="K71" s="206"/>
      <c r="L71" s="206" t="str">
        <v/>
      </c>
      <c r="M71" s="206" t="str">
        <v/>
      </c>
    </row>
    <row r="72" spans="1:13" ht="14.4">
      <c r="A72" s="199" t="str">
        <f ca="1">IFERROR(__xludf.DUMMYFUNCTION("""COMPUTED_VALUE"""),"CB")</f>
        <v>CB</v>
      </c>
      <c r="B72" s="207" t="str">
        <f ca="1">IFERROR(__xludf.DUMMYFUNCTION("""COMPUTED_VALUE"""),"Lyrics Chen")</f>
        <v>Lyrics Chen</v>
      </c>
      <c r="C72" s="199">
        <f ca="1">IFERROR(__xludf.DUMMYFUNCTION("""COMPUTED_VALUE"""),10)</f>
        <v>10</v>
      </c>
      <c r="D72" s="199" t="str">
        <f ca="1">IFERROR(__xludf.DUMMYFUNCTION("""COMPUTED_VALUE"""),"G")</f>
        <v>G</v>
      </c>
      <c r="E72" s="202" t="str">
        <f ca="1">IFERROR(__xludf.DUMMYFUNCTION("""COMPUTED_VALUE"""),"F")</f>
        <v>F</v>
      </c>
      <c r="F72" s="202" t="str">
        <f ca="1">IFERROR(__xludf.DUMMYFUNCTION("""COMPUTED_VALUE"""),"J")</f>
        <v>J</v>
      </c>
      <c r="G72" s="202">
        <f ca="1">IFERROR(__xludf.DUMMYFUNCTION("""COMPUTED_VALUE"""),4)</f>
        <v>4</v>
      </c>
      <c r="H72" s="206"/>
      <c r="I72" s="206"/>
      <c r="J72" s="206"/>
      <c r="K72" s="206"/>
      <c r="L72" s="206" t="str">
        <v/>
      </c>
      <c r="M72" s="206" t="str">
        <v/>
      </c>
    </row>
    <row r="73" spans="1:13" ht="14.4">
      <c r="A73" s="199" t="str">
        <f ca="1">IFERROR(__xludf.DUMMYFUNCTION("""COMPUTED_VALUE"""),"CB")</f>
        <v>CB</v>
      </c>
      <c r="B73" s="207" t="str">
        <f ca="1">IFERROR(__xludf.DUMMYFUNCTION("""COMPUTED_VALUE"""),"Madeleine Philbin")</f>
        <v>Madeleine Philbin</v>
      </c>
      <c r="C73" s="199">
        <f ca="1">IFERROR(__xludf.DUMMYFUNCTION("""COMPUTED_VALUE"""),8)</f>
        <v>8</v>
      </c>
      <c r="D73" s="199" t="str">
        <f ca="1">IFERROR(__xludf.DUMMYFUNCTION("""COMPUTED_VALUE"""),"G")</f>
        <v>G</v>
      </c>
      <c r="E73" s="202" t="str">
        <f ca="1">IFERROR(__xludf.DUMMYFUNCTION("""COMPUTED_VALUE"""),"F")</f>
        <v>F</v>
      </c>
      <c r="F73" s="202" t="str">
        <f ca="1">IFERROR(__xludf.DUMMYFUNCTION("""COMPUTED_VALUE"""),"J")</f>
        <v>J</v>
      </c>
      <c r="G73" s="202">
        <f ca="1">IFERROR(__xludf.DUMMYFUNCTION("""COMPUTED_VALUE"""),4)</f>
        <v>4</v>
      </c>
      <c r="H73" s="206">
        <v>54.5</v>
      </c>
      <c r="I73" s="206"/>
      <c r="J73" s="206" t="s">
        <v>121</v>
      </c>
      <c r="K73" s="206"/>
      <c r="L73" s="206" t="str">
        <v xml:space="preserve"> 54.5</v>
      </c>
      <c r="M73" s="206" t="str">
        <v/>
      </c>
    </row>
    <row r="74" spans="1:13" ht="14.4">
      <c r="A74" s="199" t="str">
        <f ca="1">IFERROR(__xludf.DUMMYFUNCTION("""COMPUTED_VALUE"""),"CB")</f>
        <v>CB</v>
      </c>
      <c r="B74" s="207" t="str">
        <f ca="1">IFERROR(__xludf.DUMMYFUNCTION("""COMPUTED_VALUE"""),"Madeline Fatula")</f>
        <v>Madeline Fatula</v>
      </c>
      <c r="C74" s="199">
        <f ca="1">IFERROR(__xludf.DUMMYFUNCTION("""COMPUTED_VALUE"""),7)</f>
        <v>7</v>
      </c>
      <c r="D74" s="199" t="str">
        <f ca="1">IFERROR(__xludf.DUMMYFUNCTION("""COMPUTED_VALUE"""),"G")</f>
        <v>G</v>
      </c>
      <c r="E74" s="202" t="str">
        <f ca="1">IFERROR(__xludf.DUMMYFUNCTION("""COMPUTED_VALUE"""),"F")</f>
        <v>F</v>
      </c>
      <c r="F74" s="202" t="str">
        <f ca="1">IFERROR(__xludf.DUMMYFUNCTION("""COMPUTED_VALUE"""),"J")</f>
        <v>J</v>
      </c>
      <c r="G74" s="202">
        <f ca="1">IFERROR(__xludf.DUMMYFUNCTION("""COMPUTED_VALUE"""),4)</f>
        <v>4</v>
      </c>
      <c r="H74" s="206"/>
      <c r="I74" s="206"/>
      <c r="J74" s="206"/>
      <c r="K74" s="206"/>
      <c r="L74" s="206" t="str">
        <v/>
      </c>
      <c r="M74" s="206" t="str">
        <v/>
      </c>
    </row>
    <row r="75" spans="1:13" ht="14.4">
      <c r="A75" s="199" t="str">
        <f ca="1">IFERROR(__xludf.DUMMYFUNCTION("""COMPUTED_VALUE"""),"CB")</f>
        <v>CB</v>
      </c>
      <c r="B75" s="207" t="str">
        <f ca="1">IFERROR(__xludf.DUMMYFUNCTION("""COMPUTED_VALUE"""),"Margot Zecher")</f>
        <v>Margot Zecher</v>
      </c>
      <c r="C75" s="199">
        <f ca="1">IFERROR(__xludf.DUMMYFUNCTION("""COMPUTED_VALUE"""),9)</f>
        <v>9</v>
      </c>
      <c r="D75" s="199" t="str">
        <f ca="1">IFERROR(__xludf.DUMMYFUNCTION("""COMPUTED_VALUE"""),"G")</f>
        <v>G</v>
      </c>
      <c r="E75" s="202" t="str">
        <f ca="1">IFERROR(__xludf.DUMMYFUNCTION("""COMPUTED_VALUE"""),"F")</f>
        <v>F</v>
      </c>
      <c r="F75" s="202" t="str">
        <f ca="1">IFERROR(__xludf.DUMMYFUNCTION("""COMPUTED_VALUE"""),"J")</f>
        <v>J</v>
      </c>
      <c r="G75" s="202">
        <f ca="1">IFERROR(__xludf.DUMMYFUNCTION("""COMPUTED_VALUE"""),4)</f>
        <v>4</v>
      </c>
      <c r="H75" s="206"/>
      <c r="I75" s="206"/>
      <c r="J75" s="206"/>
      <c r="K75" s="206"/>
      <c r="L75" s="206" t="str">
        <v/>
      </c>
      <c r="M75" s="206" t="str">
        <v/>
      </c>
    </row>
    <row r="76" spans="1:13" ht="14.4">
      <c r="A76" s="199" t="str">
        <f ca="1">IFERROR(__xludf.DUMMYFUNCTION("""COMPUTED_VALUE"""),"CB")</f>
        <v>CB</v>
      </c>
      <c r="B76" s="207" t="str">
        <f ca="1">IFERROR(__xludf.DUMMYFUNCTION("""COMPUTED_VALUE"""),"Mary Moss")</f>
        <v>Mary Moss</v>
      </c>
      <c r="C76" s="199">
        <f ca="1">IFERROR(__xludf.DUMMYFUNCTION("""COMPUTED_VALUE"""),10)</f>
        <v>10</v>
      </c>
      <c r="D76" s="199" t="str">
        <f ca="1">IFERROR(__xludf.DUMMYFUNCTION("""COMPUTED_VALUE"""),"G")</f>
        <v>G</v>
      </c>
      <c r="E76" s="202" t="str">
        <f ca="1">IFERROR(__xludf.DUMMYFUNCTION("""COMPUTED_VALUE"""),"F")</f>
        <v>F</v>
      </c>
      <c r="F76" s="202" t="str">
        <f ca="1">IFERROR(__xludf.DUMMYFUNCTION("""COMPUTED_VALUE"""),"J")</f>
        <v>J</v>
      </c>
      <c r="G76" s="202">
        <f ca="1">IFERROR(__xludf.DUMMYFUNCTION("""COMPUTED_VALUE"""),4)</f>
        <v>4</v>
      </c>
      <c r="H76" s="206">
        <v>45.6</v>
      </c>
      <c r="I76" s="206"/>
      <c r="J76" s="206" t="s">
        <v>121</v>
      </c>
      <c r="K76" s="206"/>
      <c r="L76" s="206" t="str">
        <v xml:space="preserve"> 45.6</v>
      </c>
      <c r="M76" s="206" t="str">
        <v/>
      </c>
    </row>
    <row r="77" spans="1:13" ht="14.4">
      <c r="A77" s="199" t="str">
        <f ca="1">IFERROR(__xludf.DUMMYFUNCTION("""COMPUTED_VALUE"""),"CB")</f>
        <v>CB</v>
      </c>
      <c r="B77" s="207" t="str">
        <f ca="1">IFERROR(__xludf.DUMMYFUNCTION("""COMPUTED_VALUE"""),"McKenzie Spencer")</f>
        <v>McKenzie Spencer</v>
      </c>
      <c r="C77" s="199">
        <f ca="1">IFERROR(__xludf.DUMMYFUNCTION("""COMPUTED_VALUE"""),9)</f>
        <v>9</v>
      </c>
      <c r="D77" s="199" t="str">
        <f ca="1">IFERROR(__xludf.DUMMYFUNCTION("""COMPUTED_VALUE"""),"G")</f>
        <v>G</v>
      </c>
      <c r="E77" s="202" t="str">
        <f ca="1">IFERROR(__xludf.DUMMYFUNCTION("""COMPUTED_VALUE"""),"F")</f>
        <v>F</v>
      </c>
      <c r="F77" s="202" t="str">
        <f ca="1">IFERROR(__xludf.DUMMYFUNCTION("""COMPUTED_VALUE"""),"J")</f>
        <v>J</v>
      </c>
      <c r="G77" s="202">
        <f ca="1">IFERROR(__xludf.DUMMYFUNCTION("""COMPUTED_VALUE"""),4)</f>
        <v>4</v>
      </c>
      <c r="H77" s="206"/>
      <c r="I77" s="206"/>
      <c r="J77" s="206"/>
      <c r="K77" s="206"/>
      <c r="L77" s="206" t="str">
        <v/>
      </c>
      <c r="M77" s="206" t="str">
        <v/>
      </c>
    </row>
    <row r="78" spans="1:13" ht="14.4">
      <c r="A78" s="199" t="str">
        <f ca="1">IFERROR(__xludf.DUMMYFUNCTION("""COMPUTED_VALUE"""),"CB")</f>
        <v>CB</v>
      </c>
      <c r="B78" s="207" t="str">
        <f ca="1">IFERROR(__xludf.DUMMYFUNCTION("""COMPUTED_VALUE"""),"Milin Doshi")</f>
        <v>Milin Doshi</v>
      </c>
      <c r="C78" s="199">
        <f ca="1">IFERROR(__xludf.DUMMYFUNCTION("""COMPUTED_VALUE"""),7)</f>
        <v>7</v>
      </c>
      <c r="D78" s="199" t="str">
        <f ca="1">IFERROR(__xludf.DUMMYFUNCTION("""COMPUTED_VALUE"""),"G")</f>
        <v>G</v>
      </c>
      <c r="E78" s="202" t="str">
        <f ca="1">IFERROR(__xludf.DUMMYFUNCTION("""COMPUTED_VALUE"""),"F")</f>
        <v>F</v>
      </c>
      <c r="F78" s="202" t="str">
        <f ca="1">IFERROR(__xludf.DUMMYFUNCTION("""COMPUTED_VALUE"""),"J")</f>
        <v>J</v>
      </c>
      <c r="G78" s="202">
        <f ca="1">IFERROR(__xludf.DUMMYFUNCTION("""COMPUTED_VALUE"""),4)</f>
        <v>4</v>
      </c>
      <c r="H78" s="206"/>
      <c r="I78" s="206"/>
      <c r="J78" s="206"/>
      <c r="K78" s="206"/>
      <c r="L78" s="206" t="str">
        <v/>
      </c>
      <c r="M78" s="206" t="str">
        <v/>
      </c>
    </row>
    <row r="79" spans="1:13" ht="14.4">
      <c r="A79" s="199" t="str">
        <f ca="1">IFERROR(__xludf.DUMMYFUNCTION("""COMPUTED_VALUE"""),"CB")</f>
        <v>CB</v>
      </c>
      <c r="B79" s="207" t="str">
        <f ca="1">IFERROR(__xludf.DUMMYFUNCTION("""COMPUTED_VALUE"""),"Riya Doshi")</f>
        <v>Riya Doshi</v>
      </c>
      <c r="C79" s="199">
        <f ca="1">IFERROR(__xludf.DUMMYFUNCTION("""COMPUTED_VALUE"""),9)</f>
        <v>9</v>
      </c>
      <c r="D79" s="199" t="str">
        <f ca="1">IFERROR(__xludf.DUMMYFUNCTION("""COMPUTED_VALUE"""),"G")</f>
        <v>G</v>
      </c>
      <c r="E79" s="202" t="str">
        <f ca="1">IFERROR(__xludf.DUMMYFUNCTION("""COMPUTED_VALUE"""),"F")</f>
        <v>F</v>
      </c>
      <c r="F79" s="202" t="str">
        <f ca="1">IFERROR(__xludf.DUMMYFUNCTION("""COMPUTED_VALUE"""),"J")</f>
        <v>J</v>
      </c>
      <c r="G79" s="202">
        <f ca="1">IFERROR(__xludf.DUMMYFUNCTION("""COMPUTED_VALUE"""),4)</f>
        <v>4</v>
      </c>
      <c r="H79" s="206"/>
      <c r="I79" s="206"/>
      <c r="J79" s="206"/>
      <c r="K79" s="206"/>
      <c r="L79" s="206" t="str">
        <v/>
      </c>
      <c r="M79" s="206" t="str">
        <v/>
      </c>
    </row>
    <row r="80" spans="1:13" ht="14.4">
      <c r="A80" s="199" t="str">
        <f ca="1">IFERROR(__xludf.DUMMYFUNCTION("""COMPUTED_VALUE"""),"CB")</f>
        <v>CB</v>
      </c>
      <c r="B80" s="207" t="str">
        <f ca="1">IFERROR(__xludf.DUMMYFUNCTION("""COMPUTED_VALUE"""),"Samhita Budharaju")</f>
        <v>Samhita Budharaju</v>
      </c>
      <c r="C80" s="199">
        <f ca="1">IFERROR(__xludf.DUMMYFUNCTION("""COMPUTED_VALUE"""),9)</f>
        <v>9</v>
      </c>
      <c r="D80" s="199" t="str">
        <f ca="1">IFERROR(__xludf.DUMMYFUNCTION("""COMPUTED_VALUE"""),"G")</f>
        <v>G</v>
      </c>
      <c r="E80" s="202" t="str">
        <f ca="1">IFERROR(__xludf.DUMMYFUNCTION("""COMPUTED_VALUE"""),"F")</f>
        <v>F</v>
      </c>
      <c r="F80" s="202" t="str">
        <f ca="1">IFERROR(__xludf.DUMMYFUNCTION("""COMPUTED_VALUE"""),"J")</f>
        <v>J</v>
      </c>
      <c r="G80" s="202">
        <f ca="1">IFERROR(__xludf.DUMMYFUNCTION("""COMPUTED_VALUE"""),4)</f>
        <v>4</v>
      </c>
      <c r="H80" s="206"/>
      <c r="I80" s="206"/>
      <c r="J80" s="206"/>
      <c r="K80" s="206"/>
      <c r="L80" s="206" t="str">
        <v/>
      </c>
      <c r="M80" s="206" t="str">
        <v/>
      </c>
    </row>
    <row r="81" spans="1:13" ht="14.4">
      <c r="A81" s="199" t="str">
        <f ca="1">IFERROR(__xludf.DUMMYFUNCTION("""COMPUTED_VALUE"""),"CB")</f>
        <v>CB</v>
      </c>
      <c r="B81" s="207" t="str">
        <f ca="1">IFERROR(__xludf.DUMMYFUNCTION("""COMPUTED_VALUE"""),"Sierra Willmore")</f>
        <v>Sierra Willmore</v>
      </c>
      <c r="C81" s="199">
        <f ca="1">IFERROR(__xludf.DUMMYFUNCTION("""COMPUTED_VALUE"""),9)</f>
        <v>9</v>
      </c>
      <c r="D81" s="199" t="str">
        <f ca="1">IFERROR(__xludf.DUMMYFUNCTION("""COMPUTED_VALUE"""),"G")</f>
        <v>G</v>
      </c>
      <c r="E81" s="202" t="str">
        <f ca="1">IFERROR(__xludf.DUMMYFUNCTION("""COMPUTED_VALUE"""),"F")</f>
        <v>F</v>
      </c>
      <c r="F81" s="202" t="str">
        <f ca="1">IFERROR(__xludf.DUMMYFUNCTION("""COMPUTED_VALUE"""),"J")</f>
        <v>J</v>
      </c>
      <c r="G81" s="202">
        <f ca="1">IFERROR(__xludf.DUMMYFUNCTION("""COMPUTED_VALUE"""),4)</f>
        <v>4</v>
      </c>
      <c r="H81" s="206"/>
      <c r="I81" s="206"/>
      <c r="J81" s="206"/>
      <c r="K81" s="206"/>
      <c r="L81" s="206" t="str">
        <v/>
      </c>
      <c r="M81" s="206" t="str">
        <v/>
      </c>
    </row>
    <row r="82" spans="1:13" ht="14.4">
      <c r="A82" s="199" t="str">
        <f ca="1">IFERROR(__xludf.DUMMYFUNCTION("""COMPUTED_VALUE"""),"CB")</f>
        <v>CB</v>
      </c>
      <c r="B82" s="207" t="str">
        <f ca="1">IFERROR(__xludf.DUMMYFUNCTION("""COMPUTED_VALUE"""),"Sloane Carle")</f>
        <v>Sloane Carle</v>
      </c>
      <c r="C82" s="199">
        <f ca="1">IFERROR(__xludf.DUMMYFUNCTION("""COMPUTED_VALUE"""),10)</f>
        <v>10</v>
      </c>
      <c r="D82" s="199" t="str">
        <f ca="1">IFERROR(__xludf.DUMMYFUNCTION("""COMPUTED_VALUE"""),"G")</f>
        <v>G</v>
      </c>
      <c r="E82" s="202" t="str">
        <f ca="1">IFERROR(__xludf.DUMMYFUNCTION("""COMPUTED_VALUE"""),"F")</f>
        <v>F</v>
      </c>
      <c r="F82" s="202" t="str">
        <f ca="1">IFERROR(__xludf.DUMMYFUNCTION("""COMPUTED_VALUE"""),"J")</f>
        <v>J</v>
      </c>
      <c r="G82" s="202">
        <f ca="1">IFERROR(__xludf.DUMMYFUNCTION("""COMPUTED_VALUE"""),4)</f>
        <v>4</v>
      </c>
      <c r="H82" s="206">
        <v>62.5</v>
      </c>
      <c r="I82" s="206"/>
      <c r="J82" s="206" t="s">
        <v>121</v>
      </c>
      <c r="K82" s="206"/>
      <c r="L82" s="206" t="str">
        <v xml:space="preserve"> 62.5</v>
      </c>
      <c r="M82" s="206" t="str">
        <v/>
      </c>
    </row>
    <row r="83" spans="1:13" ht="14.4">
      <c r="A83" s="199" t="str">
        <f ca="1">IFERROR(__xludf.DUMMYFUNCTION("""COMPUTED_VALUE"""),"CB")</f>
        <v>CB</v>
      </c>
      <c r="B83" s="207" t="str">
        <f ca="1">IFERROR(__xludf.DUMMYFUNCTION("""COMPUTED_VALUE"""),"Jesse Holt")</f>
        <v>Jesse Holt</v>
      </c>
      <c r="C83" s="199">
        <f ca="1">IFERROR(__xludf.DUMMYFUNCTION("""COMPUTED_VALUE"""),13)</f>
        <v>13</v>
      </c>
      <c r="D83" s="199" t="str">
        <f ca="1">IFERROR(__xludf.DUMMYFUNCTION("""COMPUTED_VALUE"""),"B")</f>
        <v>B</v>
      </c>
      <c r="E83" s="202" t="str">
        <f ca="1">IFERROR(__xludf.DUMMYFUNCTION("""COMPUTED_VALUE"""),"I")</f>
        <v>I</v>
      </c>
      <c r="F83" s="202" t="str">
        <f ca="1">IFERROR(__xludf.DUMMYFUNCTION("""COMPUTED_VALUE"""),"S")</f>
        <v>S</v>
      </c>
      <c r="G83" s="202">
        <f ca="1">IFERROR(__xludf.DUMMYFUNCTION("""COMPUTED_VALUE"""),4)</f>
        <v>4</v>
      </c>
      <c r="H83" s="206"/>
      <c r="I83" s="206"/>
      <c r="J83" s="206"/>
      <c r="K83" s="206"/>
      <c r="L83" s="206" t="str">
        <v/>
      </c>
      <c r="M83" s="206" t="str">
        <v/>
      </c>
    </row>
    <row r="84" spans="1:13" ht="14.4">
      <c r="A84" s="199" t="str">
        <f ca="1">IFERROR(__xludf.DUMMYFUNCTION("""COMPUTED_VALUE"""),"CB")</f>
        <v>CB</v>
      </c>
      <c r="B84" s="207" t="str">
        <f ca="1">IFERROR(__xludf.DUMMYFUNCTION("""COMPUTED_VALUE"""),"Elisabeth Beach")</f>
        <v>Elisabeth Beach</v>
      </c>
      <c r="C84" s="199">
        <f ca="1">IFERROR(__xludf.DUMMYFUNCTION("""COMPUTED_VALUE"""),13)</f>
        <v>13</v>
      </c>
      <c r="D84" s="199" t="str">
        <f ca="1">IFERROR(__xludf.DUMMYFUNCTION("""COMPUTED_VALUE"""),"G")</f>
        <v>G</v>
      </c>
      <c r="E84" s="202" t="str">
        <f ca="1">IFERROR(__xludf.DUMMYFUNCTION("""COMPUTED_VALUE"""),"I")</f>
        <v>I</v>
      </c>
      <c r="F84" s="202" t="str">
        <f ca="1">IFERROR(__xludf.DUMMYFUNCTION("""COMPUTED_VALUE"""),"S")</f>
        <v>S</v>
      </c>
      <c r="G84" s="202">
        <f ca="1">IFERROR(__xludf.DUMMYFUNCTION("""COMPUTED_VALUE"""),4)</f>
        <v>4</v>
      </c>
      <c r="H84" s="208"/>
      <c r="I84" s="208"/>
      <c r="J84" s="208"/>
      <c r="K84" s="208"/>
      <c r="L84" s="208" t="str">
        <v/>
      </c>
      <c r="M84" s="208" t="str">
        <v/>
      </c>
    </row>
    <row r="85" spans="1:13" ht="14.4">
      <c r="A85" s="199" t="str">
        <f ca="1">IFERROR(__xludf.DUMMYFUNCTION("""COMPUTED_VALUE"""),"CB")</f>
        <v>CB</v>
      </c>
      <c r="B85" s="207" t="str">
        <f ca="1">IFERROR(__xludf.DUMMYFUNCTION("""COMPUTED_VALUE"""),"Ellie Mallard")</f>
        <v>Ellie Mallard</v>
      </c>
      <c r="C85" s="199">
        <f ca="1">IFERROR(__xludf.DUMMYFUNCTION("""COMPUTED_VALUE"""),13)</f>
        <v>13</v>
      </c>
      <c r="D85" s="199" t="str">
        <f ca="1">IFERROR(__xludf.DUMMYFUNCTION("""COMPUTED_VALUE"""),"G")</f>
        <v>G</v>
      </c>
      <c r="E85" s="202" t="str">
        <f ca="1">IFERROR(__xludf.DUMMYFUNCTION("""COMPUTED_VALUE"""),"I")</f>
        <v>I</v>
      </c>
      <c r="F85" s="202" t="str">
        <f ca="1">IFERROR(__xludf.DUMMYFUNCTION("""COMPUTED_VALUE"""),"S")</f>
        <v>S</v>
      </c>
      <c r="G85" s="202">
        <f ca="1">IFERROR(__xludf.DUMMYFUNCTION("""COMPUTED_VALUE"""),4)</f>
        <v>4</v>
      </c>
      <c r="H85" s="206">
        <v>119.75</v>
      </c>
      <c r="I85" s="206"/>
      <c r="J85" s="206" t="s">
        <v>121</v>
      </c>
      <c r="K85" s="206"/>
      <c r="L85" s="206" t="str">
        <v xml:space="preserve"> 119.75</v>
      </c>
      <c r="M85" s="206" t="str">
        <v/>
      </c>
    </row>
    <row r="86" spans="1:13" ht="14.4">
      <c r="A86" s="199" t="str">
        <f ca="1">IFERROR(__xludf.DUMMYFUNCTION("""COMPUTED_VALUE"""),"CB")</f>
        <v>CB</v>
      </c>
      <c r="B86" s="207" t="str">
        <f ca="1">IFERROR(__xludf.DUMMYFUNCTION("""COMPUTED_VALUE"""),"Emma Duffy")</f>
        <v>Emma Duffy</v>
      </c>
      <c r="C86" s="199">
        <f ca="1">IFERROR(__xludf.DUMMYFUNCTION("""COMPUTED_VALUE"""),13)</f>
        <v>13</v>
      </c>
      <c r="D86" s="199" t="str">
        <f ca="1">IFERROR(__xludf.DUMMYFUNCTION("""COMPUTED_VALUE"""),"G")</f>
        <v>G</v>
      </c>
      <c r="E86" s="202" t="str">
        <f ca="1">IFERROR(__xludf.DUMMYFUNCTION("""COMPUTED_VALUE"""),"I")</f>
        <v>I</v>
      </c>
      <c r="F86" s="202" t="str">
        <f ca="1">IFERROR(__xludf.DUMMYFUNCTION("""COMPUTED_VALUE"""),"S")</f>
        <v>S</v>
      </c>
      <c r="G86" s="202">
        <f ca="1">IFERROR(__xludf.DUMMYFUNCTION("""COMPUTED_VALUE"""),4)</f>
        <v>4</v>
      </c>
      <c r="H86" s="206"/>
      <c r="I86" s="206"/>
      <c r="J86" s="206"/>
      <c r="K86" s="206"/>
      <c r="L86" s="206" t="str">
        <v/>
      </c>
      <c r="M86" s="206" t="str">
        <v/>
      </c>
    </row>
    <row r="87" spans="1:13" ht="14.4">
      <c r="A87" s="199" t="str">
        <f ca="1">IFERROR(__xludf.DUMMYFUNCTION("""COMPUTED_VALUE"""),"CB")</f>
        <v>CB</v>
      </c>
      <c r="B87" s="207" t="str">
        <f ca="1">IFERROR(__xludf.DUMMYFUNCTION("""COMPUTED_VALUE"""),"Islay Hamilton")</f>
        <v>Islay Hamilton</v>
      </c>
      <c r="C87" s="199">
        <f ca="1">IFERROR(__xludf.DUMMYFUNCTION("""COMPUTED_VALUE"""),13)</f>
        <v>13</v>
      </c>
      <c r="D87" s="199" t="str">
        <f ca="1">IFERROR(__xludf.DUMMYFUNCTION("""COMPUTED_VALUE"""),"G")</f>
        <v>G</v>
      </c>
      <c r="E87" s="202" t="str">
        <f ca="1">IFERROR(__xludf.DUMMYFUNCTION("""COMPUTED_VALUE"""),"I")</f>
        <v>I</v>
      </c>
      <c r="F87" s="202" t="str">
        <f ca="1">IFERROR(__xludf.DUMMYFUNCTION("""COMPUTED_VALUE"""),"S")</f>
        <v>S</v>
      </c>
      <c r="G87" s="202">
        <f ca="1">IFERROR(__xludf.DUMMYFUNCTION("""COMPUTED_VALUE"""),4)</f>
        <v>4</v>
      </c>
      <c r="H87" s="206"/>
      <c r="I87" s="206"/>
      <c r="J87" s="206"/>
      <c r="K87" s="206"/>
      <c r="L87" s="206" t="str">
        <v/>
      </c>
      <c r="M87" s="206" t="str">
        <v/>
      </c>
    </row>
    <row r="88" spans="1:13" ht="14.4">
      <c r="A88" s="199" t="str">
        <f ca="1">IFERROR(__xludf.DUMMYFUNCTION("""COMPUTED_VALUE"""),"CB")</f>
        <v>CB</v>
      </c>
      <c r="B88" s="207" t="str">
        <f ca="1">IFERROR(__xludf.DUMMYFUNCTION("""COMPUTED_VALUE"""),"Kelly Keough")</f>
        <v>Kelly Keough</v>
      </c>
      <c r="C88" s="199">
        <f ca="1">IFERROR(__xludf.DUMMYFUNCTION("""COMPUTED_VALUE"""),13)</f>
        <v>13</v>
      </c>
      <c r="D88" s="199" t="str">
        <f ca="1">IFERROR(__xludf.DUMMYFUNCTION("""COMPUTED_VALUE"""),"G")</f>
        <v>G</v>
      </c>
      <c r="E88" s="202" t="str">
        <f ca="1">IFERROR(__xludf.DUMMYFUNCTION("""COMPUTED_VALUE"""),"I")</f>
        <v>I</v>
      </c>
      <c r="F88" s="202" t="str">
        <f ca="1">IFERROR(__xludf.DUMMYFUNCTION("""COMPUTED_VALUE"""),"S")</f>
        <v>S</v>
      </c>
      <c r="G88" s="202">
        <f ca="1">IFERROR(__xludf.DUMMYFUNCTION("""COMPUTED_VALUE"""),4)</f>
        <v>4</v>
      </c>
      <c r="H88" s="206"/>
      <c r="I88" s="206"/>
      <c r="J88" s="206"/>
      <c r="K88" s="206"/>
      <c r="L88" s="206" t="str">
        <v/>
      </c>
      <c r="M88" s="206" t="str">
        <v/>
      </c>
    </row>
    <row r="89" spans="1:13" ht="14.4">
      <c r="A89" s="199" t="str">
        <f ca="1">IFERROR(__xludf.DUMMYFUNCTION("""COMPUTED_VALUE"""),"CB")</f>
        <v>CB</v>
      </c>
      <c r="B89" s="207" t="str">
        <f ca="1">IFERROR(__xludf.DUMMYFUNCTION("""COMPUTED_VALUE"""),"Sarah Beach")</f>
        <v>Sarah Beach</v>
      </c>
      <c r="C89" s="199">
        <f ca="1">IFERROR(__xludf.DUMMYFUNCTION("""COMPUTED_VALUE"""),14)</f>
        <v>14</v>
      </c>
      <c r="D89" s="199" t="str">
        <f ca="1">IFERROR(__xludf.DUMMYFUNCTION("""COMPUTED_VALUE"""),"G")</f>
        <v>G</v>
      </c>
      <c r="E89" s="202" t="str">
        <f ca="1">IFERROR(__xludf.DUMMYFUNCTION("""COMPUTED_VALUE"""),"I")</f>
        <v>I</v>
      </c>
      <c r="F89" s="202" t="str">
        <f ca="1">IFERROR(__xludf.DUMMYFUNCTION("""COMPUTED_VALUE"""),"S")</f>
        <v>S</v>
      </c>
      <c r="G89" s="202">
        <f ca="1">IFERROR(__xludf.DUMMYFUNCTION("""COMPUTED_VALUE"""),4)</f>
        <v>4</v>
      </c>
      <c r="H89" s="206">
        <v>145.05000000000001</v>
      </c>
      <c r="I89" s="206"/>
      <c r="J89" s="206" t="s">
        <v>121</v>
      </c>
      <c r="K89" s="206"/>
      <c r="L89" s="206" t="str">
        <v xml:space="preserve"> 145.05</v>
      </c>
      <c r="M89" s="206" t="str">
        <v/>
      </c>
    </row>
    <row r="90" spans="1:13" ht="14.4">
      <c r="A90" s="199" t="str">
        <f ca="1">IFERROR(__xludf.DUMMYFUNCTION("""COMPUTED_VALUE"""),"CB")</f>
        <v>CB</v>
      </c>
      <c r="B90" s="207" t="str">
        <f ca="1">IFERROR(__xludf.DUMMYFUNCTION("""COMPUTED_VALUE"""),"Alex Valencic")</f>
        <v>Alex Valencic</v>
      </c>
      <c r="C90" s="199">
        <f ca="1">IFERROR(__xludf.DUMMYFUNCTION("""COMPUTED_VALUE"""),12)</f>
        <v>12</v>
      </c>
      <c r="D90" s="199" t="str">
        <f ca="1">IFERROR(__xludf.DUMMYFUNCTION("""COMPUTED_VALUE"""),"B")</f>
        <v>B</v>
      </c>
      <c r="E90" s="202" t="str">
        <f ca="1">IFERROR(__xludf.DUMMYFUNCTION("""COMPUTED_VALUE"""),"J")</f>
        <v>J</v>
      </c>
      <c r="F90" s="202" t="str">
        <f ca="1">IFERROR(__xludf.DUMMYFUNCTION("""COMPUTED_VALUE"""),"I")</f>
        <v>I</v>
      </c>
      <c r="G90" s="202">
        <f ca="1">IFERROR(__xludf.DUMMYFUNCTION("""COMPUTED_VALUE"""),4)</f>
        <v>4</v>
      </c>
      <c r="H90" s="208"/>
      <c r="I90" s="208"/>
      <c r="J90" s="208"/>
      <c r="K90" s="208"/>
      <c r="L90" s="208" t="str">
        <v/>
      </c>
      <c r="M90" s="208" t="str">
        <v/>
      </c>
    </row>
    <row r="91" spans="1:13" ht="14.4">
      <c r="A91" s="199" t="str">
        <f ca="1">IFERROR(__xludf.DUMMYFUNCTION("""COMPUTED_VALUE"""),"CB")</f>
        <v>CB</v>
      </c>
      <c r="B91" s="207" t="str">
        <f ca="1">IFERROR(__xludf.DUMMYFUNCTION("""COMPUTED_VALUE"""),"Daniel Roques")</f>
        <v>Daniel Roques</v>
      </c>
      <c r="C91" s="199">
        <f ca="1">IFERROR(__xludf.DUMMYFUNCTION("""COMPUTED_VALUE"""),12)</f>
        <v>12</v>
      </c>
      <c r="D91" s="199" t="str">
        <f ca="1">IFERROR(__xludf.DUMMYFUNCTION("""COMPUTED_VALUE"""),"B")</f>
        <v>B</v>
      </c>
      <c r="E91" s="202" t="str">
        <f ca="1">IFERROR(__xludf.DUMMYFUNCTION("""COMPUTED_VALUE"""),"J")</f>
        <v>J</v>
      </c>
      <c r="F91" s="202" t="str">
        <f ca="1">IFERROR(__xludf.DUMMYFUNCTION("""COMPUTED_VALUE"""),"I")</f>
        <v>I</v>
      </c>
      <c r="G91" s="202">
        <f ca="1">IFERROR(__xludf.DUMMYFUNCTION("""COMPUTED_VALUE"""),4)</f>
        <v>4</v>
      </c>
      <c r="H91" s="206"/>
      <c r="I91" s="206"/>
      <c r="J91" s="206"/>
      <c r="K91" s="206"/>
      <c r="L91" s="206" t="str">
        <v/>
      </c>
      <c r="M91" s="206" t="str">
        <v/>
      </c>
    </row>
    <row r="92" spans="1:13" ht="14.4">
      <c r="A92" s="199" t="str">
        <f ca="1">IFERROR(__xludf.DUMMYFUNCTION("""COMPUTED_VALUE"""),"CB")</f>
        <v>CB</v>
      </c>
      <c r="B92" s="207" t="str">
        <f ca="1">IFERROR(__xludf.DUMMYFUNCTION("""COMPUTED_VALUE"""),"Gordon Anderson")</f>
        <v>Gordon Anderson</v>
      </c>
      <c r="C92" s="199">
        <f ca="1">IFERROR(__xludf.DUMMYFUNCTION("""COMPUTED_VALUE"""),11)</f>
        <v>11</v>
      </c>
      <c r="D92" s="199" t="str">
        <f ca="1">IFERROR(__xludf.DUMMYFUNCTION("""COMPUTED_VALUE"""),"B")</f>
        <v>B</v>
      </c>
      <c r="E92" s="202" t="str">
        <f ca="1">IFERROR(__xludf.DUMMYFUNCTION("""COMPUTED_VALUE"""),"J")</f>
        <v>J</v>
      </c>
      <c r="F92" s="202" t="str">
        <f ca="1">IFERROR(__xludf.DUMMYFUNCTION("""COMPUTED_VALUE"""),"I")</f>
        <v>I</v>
      </c>
      <c r="G92" s="202">
        <f ca="1">IFERROR(__xludf.DUMMYFUNCTION("""COMPUTED_VALUE"""),4)</f>
        <v>4</v>
      </c>
      <c r="H92" s="206"/>
      <c r="I92" s="206">
        <v>102.5</v>
      </c>
      <c r="J92" s="206"/>
      <c r="K92" s="206" t="s">
        <v>121</v>
      </c>
      <c r="L92" s="206" t="str">
        <v xml:space="preserve"> 102.5</v>
      </c>
      <c r="M92" s="206" t="str">
        <v/>
      </c>
    </row>
    <row r="93" spans="1:13" ht="14.4">
      <c r="A93" s="199" t="str">
        <f ca="1">IFERROR(__xludf.DUMMYFUNCTION("""COMPUTED_VALUE"""),"CB")</f>
        <v>CB</v>
      </c>
      <c r="B93" s="207" t="str">
        <f ca="1">IFERROR(__xludf.DUMMYFUNCTION("""COMPUTED_VALUE"""),"Abigail Sweeney")</f>
        <v>Abigail Sweeney</v>
      </c>
      <c r="C93" s="199">
        <f ca="1">IFERROR(__xludf.DUMMYFUNCTION("""COMPUTED_VALUE"""),11)</f>
        <v>11</v>
      </c>
      <c r="D93" s="199" t="str">
        <f ca="1">IFERROR(__xludf.DUMMYFUNCTION("""COMPUTED_VALUE"""),"G")</f>
        <v>G</v>
      </c>
      <c r="E93" s="202" t="str">
        <f ca="1">IFERROR(__xludf.DUMMYFUNCTION("""COMPUTED_VALUE"""),"J")</f>
        <v>J</v>
      </c>
      <c r="F93" s="202" t="str">
        <f ca="1">IFERROR(__xludf.DUMMYFUNCTION("""COMPUTED_VALUE"""),"I")</f>
        <v>I</v>
      </c>
      <c r="G93" s="202">
        <f ca="1">IFERROR(__xludf.DUMMYFUNCTION("""COMPUTED_VALUE"""),4)</f>
        <v>4</v>
      </c>
      <c r="H93" s="206"/>
      <c r="I93" s="206"/>
      <c r="J93" s="206"/>
      <c r="K93" s="206"/>
      <c r="L93" s="206" t="str">
        <v/>
      </c>
      <c r="M93" s="206" t="str">
        <v/>
      </c>
    </row>
    <row r="94" spans="1:13" ht="14.4">
      <c r="A94" s="199" t="str">
        <f ca="1">IFERROR(__xludf.DUMMYFUNCTION("""COMPUTED_VALUE"""),"CB")</f>
        <v>CB</v>
      </c>
      <c r="B94" s="207" t="str">
        <f ca="1">IFERROR(__xludf.DUMMYFUNCTION("""COMPUTED_VALUE"""),"Alexa Noreika")</f>
        <v>Alexa Noreika</v>
      </c>
      <c r="C94" s="199">
        <f ca="1">IFERROR(__xludf.DUMMYFUNCTION("""COMPUTED_VALUE"""),11)</f>
        <v>11</v>
      </c>
      <c r="D94" s="199" t="str">
        <f ca="1">IFERROR(__xludf.DUMMYFUNCTION("""COMPUTED_VALUE"""),"G")</f>
        <v>G</v>
      </c>
      <c r="E94" s="202" t="str">
        <f ca="1">IFERROR(__xludf.DUMMYFUNCTION("""COMPUTED_VALUE"""),"J")</f>
        <v>J</v>
      </c>
      <c r="F94" s="202" t="str">
        <f ca="1">IFERROR(__xludf.DUMMYFUNCTION("""COMPUTED_VALUE"""),"I")</f>
        <v>I</v>
      </c>
      <c r="G94" s="202">
        <f ca="1">IFERROR(__xludf.DUMMYFUNCTION("""COMPUTED_VALUE"""),4)</f>
        <v>4</v>
      </c>
      <c r="H94" s="206"/>
      <c r="I94" s="206"/>
      <c r="J94" s="206"/>
      <c r="K94" s="206"/>
      <c r="L94" s="206" t="str">
        <v/>
      </c>
      <c r="M94" s="206" t="str">
        <v/>
      </c>
    </row>
    <row r="95" spans="1:13" ht="14.4">
      <c r="A95" s="199" t="str">
        <f ca="1">IFERROR(__xludf.DUMMYFUNCTION("""COMPUTED_VALUE"""),"CB")</f>
        <v>CB</v>
      </c>
      <c r="B95" s="207" t="str">
        <f ca="1">IFERROR(__xludf.DUMMYFUNCTION("""COMPUTED_VALUE"""),"Anah Pho")</f>
        <v>Anah Pho</v>
      </c>
      <c r="C95" s="199">
        <f ca="1">IFERROR(__xludf.DUMMYFUNCTION("""COMPUTED_VALUE"""),12)</f>
        <v>12</v>
      </c>
      <c r="D95" s="199" t="str">
        <f ca="1">IFERROR(__xludf.DUMMYFUNCTION("""COMPUTED_VALUE"""),"G")</f>
        <v>G</v>
      </c>
      <c r="E95" s="202" t="str">
        <f ca="1">IFERROR(__xludf.DUMMYFUNCTION("""COMPUTED_VALUE"""),"J")</f>
        <v>J</v>
      </c>
      <c r="F95" s="202" t="str">
        <f ca="1">IFERROR(__xludf.DUMMYFUNCTION("""COMPUTED_VALUE"""),"I")</f>
        <v>I</v>
      </c>
      <c r="G95" s="202">
        <f ca="1">IFERROR(__xludf.DUMMYFUNCTION("""COMPUTED_VALUE"""),4)</f>
        <v>4</v>
      </c>
      <c r="H95" s="206"/>
      <c r="I95" s="206"/>
      <c r="J95" s="206"/>
      <c r="K95" s="206"/>
      <c r="L95" s="206" t="str">
        <v/>
      </c>
      <c r="M95" s="206" t="str">
        <v/>
      </c>
    </row>
    <row r="96" spans="1:13" ht="14.4">
      <c r="A96" s="199" t="str">
        <f ca="1">IFERROR(__xludf.DUMMYFUNCTION("""COMPUTED_VALUE"""),"CB")</f>
        <v>CB</v>
      </c>
      <c r="B96" s="207" t="str">
        <f ca="1">IFERROR(__xludf.DUMMYFUNCTION("""COMPUTED_VALUE"""),"Charlotte Gaskins")</f>
        <v>Charlotte Gaskins</v>
      </c>
      <c r="C96" s="199">
        <f ca="1">IFERROR(__xludf.DUMMYFUNCTION("""COMPUTED_VALUE"""),11)</f>
        <v>11</v>
      </c>
      <c r="D96" s="199" t="str">
        <f ca="1">IFERROR(__xludf.DUMMYFUNCTION("""COMPUTED_VALUE"""),"G")</f>
        <v>G</v>
      </c>
      <c r="E96" s="202" t="str">
        <f ca="1">IFERROR(__xludf.DUMMYFUNCTION("""COMPUTED_VALUE"""),"J")</f>
        <v>J</v>
      </c>
      <c r="F96" s="202" t="str">
        <f ca="1">IFERROR(__xludf.DUMMYFUNCTION("""COMPUTED_VALUE"""),"I")</f>
        <v>I</v>
      </c>
      <c r="G96" s="202">
        <f ca="1">IFERROR(__xludf.DUMMYFUNCTION("""COMPUTED_VALUE"""),4)</f>
        <v>4</v>
      </c>
      <c r="H96" s="206"/>
      <c r="I96" s="206"/>
      <c r="J96" s="206"/>
      <c r="K96" s="206"/>
      <c r="L96" s="206" t="str">
        <v/>
      </c>
      <c r="M96" s="206" t="str">
        <v/>
      </c>
    </row>
    <row r="97" spans="1:13" ht="14.4">
      <c r="A97" s="199" t="str">
        <f ca="1">IFERROR(__xludf.DUMMYFUNCTION("""COMPUTED_VALUE"""),"CB")</f>
        <v>CB</v>
      </c>
      <c r="B97" s="207" t="str">
        <f ca="1">IFERROR(__xludf.DUMMYFUNCTION("""COMPUTED_VALUE"""),"Elise Lucien")</f>
        <v>Elise Lucien</v>
      </c>
      <c r="C97" s="199">
        <f ca="1">IFERROR(__xludf.DUMMYFUNCTION("""COMPUTED_VALUE"""),12)</f>
        <v>12</v>
      </c>
      <c r="D97" s="199" t="str">
        <f ca="1">IFERROR(__xludf.DUMMYFUNCTION("""COMPUTED_VALUE"""),"G")</f>
        <v>G</v>
      </c>
      <c r="E97" s="202" t="str">
        <f ca="1">IFERROR(__xludf.DUMMYFUNCTION("""COMPUTED_VALUE"""),"J")</f>
        <v>J</v>
      </c>
      <c r="F97" s="202" t="str">
        <f ca="1">IFERROR(__xludf.DUMMYFUNCTION("""COMPUTED_VALUE"""),"I")</f>
        <v>I</v>
      </c>
      <c r="G97" s="202">
        <f ca="1">IFERROR(__xludf.DUMMYFUNCTION("""COMPUTED_VALUE"""),4)</f>
        <v>4</v>
      </c>
      <c r="H97" s="206">
        <v>121.15</v>
      </c>
      <c r="I97" s="206"/>
      <c r="J97" s="206" t="s">
        <v>121</v>
      </c>
      <c r="K97" s="206"/>
      <c r="L97" s="206" t="str">
        <v xml:space="preserve"> 121.15</v>
      </c>
      <c r="M97" s="206" t="str">
        <v/>
      </c>
    </row>
    <row r="98" spans="1:13" ht="14.4">
      <c r="A98" s="199" t="str">
        <f ca="1">IFERROR(__xludf.DUMMYFUNCTION("""COMPUTED_VALUE"""),"CB")</f>
        <v>CB</v>
      </c>
      <c r="B98" s="207" t="str">
        <f ca="1">IFERROR(__xludf.DUMMYFUNCTION("""COMPUTED_VALUE"""),"Erika Noreika")</f>
        <v>Erika Noreika</v>
      </c>
      <c r="C98" s="199">
        <f ca="1">IFERROR(__xludf.DUMMYFUNCTION("""COMPUTED_VALUE"""),11)</f>
        <v>11</v>
      </c>
      <c r="D98" s="199" t="str">
        <f ca="1">IFERROR(__xludf.DUMMYFUNCTION("""COMPUTED_VALUE"""),"G")</f>
        <v>G</v>
      </c>
      <c r="E98" s="202" t="str">
        <f ca="1">IFERROR(__xludf.DUMMYFUNCTION("""COMPUTED_VALUE"""),"J")</f>
        <v>J</v>
      </c>
      <c r="F98" s="202" t="str">
        <f ca="1">IFERROR(__xludf.DUMMYFUNCTION("""COMPUTED_VALUE"""),"I")</f>
        <v>I</v>
      </c>
      <c r="G98" s="202">
        <f ca="1">IFERROR(__xludf.DUMMYFUNCTION("""COMPUTED_VALUE"""),4)</f>
        <v>4</v>
      </c>
      <c r="H98" s="206">
        <v>89.15</v>
      </c>
      <c r="I98" s="206"/>
      <c r="J98" s="206" t="s">
        <v>121</v>
      </c>
      <c r="K98" s="206"/>
      <c r="L98" s="206" t="str">
        <v xml:space="preserve"> 89.15</v>
      </c>
      <c r="M98" s="206" t="str">
        <v/>
      </c>
    </row>
    <row r="99" spans="1:13" ht="14.4">
      <c r="A99" s="199" t="str">
        <f ca="1">IFERROR(__xludf.DUMMYFUNCTION("""COMPUTED_VALUE"""),"CB")</f>
        <v>CB</v>
      </c>
      <c r="B99" s="207" t="str">
        <f ca="1">IFERROR(__xludf.DUMMYFUNCTION("""COMPUTED_VALUE"""),"Jordan Willmore")</f>
        <v>Jordan Willmore</v>
      </c>
      <c r="C99" s="199">
        <f ca="1">IFERROR(__xludf.DUMMYFUNCTION("""COMPUTED_VALUE"""),11)</f>
        <v>11</v>
      </c>
      <c r="D99" s="199" t="str">
        <f ca="1">IFERROR(__xludf.DUMMYFUNCTION("""COMPUTED_VALUE"""),"G")</f>
        <v>G</v>
      </c>
      <c r="E99" s="202" t="str">
        <f ca="1">IFERROR(__xludf.DUMMYFUNCTION("""COMPUTED_VALUE"""),"J")</f>
        <v>J</v>
      </c>
      <c r="F99" s="202" t="str">
        <f ca="1">IFERROR(__xludf.DUMMYFUNCTION("""COMPUTED_VALUE"""),"I")</f>
        <v>I</v>
      </c>
      <c r="G99" s="202">
        <f ca="1">IFERROR(__xludf.DUMMYFUNCTION("""COMPUTED_VALUE"""),4)</f>
        <v>4</v>
      </c>
      <c r="H99" s="208"/>
      <c r="I99" s="208"/>
      <c r="J99" s="208"/>
      <c r="K99" s="208"/>
      <c r="L99" s="208" t="str">
        <v/>
      </c>
      <c r="M99" s="208" t="str">
        <v/>
      </c>
    </row>
    <row r="100" spans="1:13" ht="14.4">
      <c r="A100" s="199" t="str">
        <f ca="1">IFERROR(__xludf.DUMMYFUNCTION("""COMPUTED_VALUE"""),"CB")</f>
        <v>CB</v>
      </c>
      <c r="B100" s="207" t="str">
        <f ca="1">IFERROR(__xludf.DUMMYFUNCTION("""COMPUTED_VALUE"""),"Julia Hassi")</f>
        <v>Julia Hassi</v>
      </c>
      <c r="C100" s="199">
        <f ca="1">IFERROR(__xludf.DUMMYFUNCTION("""COMPUTED_VALUE"""),11)</f>
        <v>11</v>
      </c>
      <c r="D100" s="199" t="str">
        <f ca="1">IFERROR(__xludf.DUMMYFUNCTION("""COMPUTED_VALUE"""),"G")</f>
        <v>G</v>
      </c>
      <c r="E100" s="202" t="str">
        <f ca="1">IFERROR(__xludf.DUMMYFUNCTION("""COMPUTED_VALUE"""),"J")</f>
        <v>J</v>
      </c>
      <c r="F100" s="202" t="str">
        <f ca="1">IFERROR(__xludf.DUMMYFUNCTION("""COMPUTED_VALUE"""),"I")</f>
        <v>I</v>
      </c>
      <c r="G100" s="202">
        <f ca="1">IFERROR(__xludf.DUMMYFUNCTION("""COMPUTED_VALUE"""),4)</f>
        <v>4</v>
      </c>
      <c r="H100" s="206"/>
      <c r="I100" s="206"/>
      <c r="J100" s="206"/>
      <c r="K100" s="206"/>
      <c r="L100" s="206" t="str">
        <v/>
      </c>
      <c r="M100" s="206" t="str">
        <v/>
      </c>
    </row>
    <row r="101" spans="1:13" ht="14.4">
      <c r="A101" s="199" t="str">
        <f ca="1">IFERROR(__xludf.DUMMYFUNCTION("""COMPUTED_VALUE"""),"CB")</f>
        <v>CB</v>
      </c>
      <c r="B101" s="207" t="str">
        <f ca="1">IFERROR(__xludf.DUMMYFUNCTION("""COMPUTED_VALUE"""),"Sophie Noreika")</f>
        <v>Sophie Noreika</v>
      </c>
      <c r="C101" s="199">
        <f ca="1">IFERROR(__xludf.DUMMYFUNCTION("""COMPUTED_VALUE"""),11)</f>
        <v>11</v>
      </c>
      <c r="D101" s="199" t="str">
        <f ca="1">IFERROR(__xludf.DUMMYFUNCTION("""COMPUTED_VALUE"""),"G")</f>
        <v>G</v>
      </c>
      <c r="E101" s="202" t="str">
        <f ca="1">IFERROR(__xludf.DUMMYFUNCTION("""COMPUTED_VALUE"""),"J")</f>
        <v>J</v>
      </c>
      <c r="F101" s="202" t="str">
        <f ca="1">IFERROR(__xludf.DUMMYFUNCTION("""COMPUTED_VALUE"""),"I")</f>
        <v>I</v>
      </c>
      <c r="G101" s="202">
        <f ca="1">IFERROR(__xludf.DUMMYFUNCTION("""COMPUTED_VALUE"""),4)</f>
        <v>4</v>
      </c>
      <c r="H101" s="206"/>
      <c r="I101" s="206"/>
      <c r="J101" s="206"/>
      <c r="K101" s="206"/>
      <c r="L101" s="206" t="str">
        <v/>
      </c>
      <c r="M101" s="206" t="str">
        <v/>
      </c>
    </row>
    <row r="102" spans="1:13" ht="14.4">
      <c r="A102" s="199" t="str">
        <f ca="1">IFERROR(__xludf.DUMMYFUNCTION("""COMPUTED_VALUE"""),"CB")</f>
        <v>CB</v>
      </c>
      <c r="B102" s="207" t="str">
        <f ca="1">IFERROR(__xludf.DUMMYFUNCTION("""COMPUTED_VALUE"""),"Susannah Holt")</f>
        <v>Susannah Holt</v>
      </c>
      <c r="C102" s="199">
        <f ca="1">IFERROR(__xludf.DUMMYFUNCTION("""COMPUTED_VALUE"""),11)</f>
        <v>11</v>
      </c>
      <c r="D102" s="199" t="str">
        <f ca="1">IFERROR(__xludf.DUMMYFUNCTION("""COMPUTED_VALUE"""),"G")</f>
        <v>G</v>
      </c>
      <c r="E102" s="202" t="str">
        <f ca="1">IFERROR(__xludf.DUMMYFUNCTION("""COMPUTED_VALUE"""),"J")</f>
        <v>J</v>
      </c>
      <c r="F102" s="202" t="str">
        <f ca="1">IFERROR(__xludf.DUMMYFUNCTION("""COMPUTED_VALUE"""),"I")</f>
        <v>I</v>
      </c>
      <c r="G102" s="202">
        <f ca="1">IFERROR(__xludf.DUMMYFUNCTION("""COMPUTED_VALUE"""),4)</f>
        <v>4</v>
      </c>
      <c r="H102" s="206"/>
      <c r="I102" s="206"/>
      <c r="J102" s="206"/>
      <c r="K102" s="206"/>
      <c r="L102" s="206" t="str">
        <v/>
      </c>
      <c r="M102" s="206" t="str">
        <v/>
      </c>
    </row>
    <row r="103" spans="1:13" ht="14.4">
      <c r="A103" s="199" t="str">
        <f ca="1">IFERROR(__xludf.DUMMYFUNCTION("""COMPUTED_VALUE"""),"CB")</f>
        <v>CB</v>
      </c>
      <c r="B103" s="207" t="str">
        <f ca="1">IFERROR(__xludf.DUMMYFUNCTION("""COMPUTED_VALUE"""),"Christopher Barnes")</f>
        <v>Christopher Barnes</v>
      </c>
      <c r="C103" s="199">
        <f ca="1">IFERROR(__xludf.DUMMYFUNCTION("""COMPUTED_VALUE"""),16)</f>
        <v>16</v>
      </c>
      <c r="D103" s="199" t="str">
        <f ca="1">IFERROR(__xludf.DUMMYFUNCTION("""COMPUTED_VALUE"""),"B")</f>
        <v>B</v>
      </c>
      <c r="E103" s="202" t="str">
        <f ca="1">IFERROR(__xludf.DUMMYFUNCTION("""COMPUTED_VALUE"""),"S")</f>
        <v>S</v>
      </c>
      <c r="F103" s="202" t="str">
        <f ca="1">IFERROR(__xludf.DUMMYFUNCTION("""COMPUTED_VALUE"""),"S")</f>
        <v>S</v>
      </c>
      <c r="G103" s="202">
        <f ca="1">IFERROR(__xludf.DUMMYFUNCTION("""COMPUTED_VALUE"""),4)</f>
        <v>4</v>
      </c>
      <c r="H103" s="208"/>
      <c r="I103" s="208">
        <v>177.15</v>
      </c>
      <c r="J103" s="208"/>
      <c r="K103" s="208" t="s">
        <v>121</v>
      </c>
      <c r="L103" s="208" t="str">
        <v xml:space="preserve"> 177.15</v>
      </c>
      <c r="M103" s="208" t="str">
        <v/>
      </c>
    </row>
    <row r="104" spans="1:13" ht="14.4">
      <c r="A104" s="199" t="str">
        <f ca="1">IFERROR(__xludf.DUMMYFUNCTION("""COMPUTED_VALUE"""),"CB")</f>
        <v>CB</v>
      </c>
      <c r="B104" s="207" t="str">
        <f ca="1">IFERROR(__xludf.DUMMYFUNCTION("""COMPUTED_VALUE"""),"Evan Holt")</f>
        <v>Evan Holt</v>
      </c>
      <c r="C104" s="199">
        <f ca="1">IFERROR(__xludf.DUMMYFUNCTION("""COMPUTED_VALUE"""),15)</f>
        <v>15</v>
      </c>
      <c r="D104" s="199" t="str">
        <f ca="1">IFERROR(__xludf.DUMMYFUNCTION("""COMPUTED_VALUE"""),"B")</f>
        <v>B</v>
      </c>
      <c r="E104" s="202" t="str">
        <f ca="1">IFERROR(__xludf.DUMMYFUNCTION("""COMPUTED_VALUE"""),"S")</f>
        <v>S</v>
      </c>
      <c r="F104" s="202" t="str">
        <f ca="1">IFERROR(__xludf.DUMMYFUNCTION("""COMPUTED_VALUE"""),"S")</f>
        <v>S</v>
      </c>
      <c r="G104" s="202">
        <f ca="1">IFERROR(__xludf.DUMMYFUNCTION("""COMPUTED_VALUE"""),4)</f>
        <v>4</v>
      </c>
      <c r="H104" s="208"/>
      <c r="I104" s="208"/>
      <c r="J104" s="208"/>
      <c r="K104" s="208"/>
      <c r="L104" s="208" t="str">
        <v/>
      </c>
      <c r="M104" s="208" t="str">
        <v/>
      </c>
    </row>
    <row r="105" spans="1:13" ht="14.4">
      <c r="A105" s="199" t="str">
        <f ca="1">IFERROR(__xludf.DUMMYFUNCTION("""COMPUTED_VALUE"""),"CB")</f>
        <v>CB</v>
      </c>
      <c r="B105" s="207" t="str">
        <f ca="1">IFERROR(__xludf.DUMMYFUNCTION("""COMPUTED_VALUE"""),"Thomas Gillen")</f>
        <v>Thomas Gillen</v>
      </c>
      <c r="C105" s="199">
        <f ca="1">IFERROR(__xludf.DUMMYFUNCTION("""COMPUTED_VALUE"""),16)</f>
        <v>16</v>
      </c>
      <c r="D105" s="199" t="str">
        <f ca="1">IFERROR(__xludf.DUMMYFUNCTION("""COMPUTED_VALUE"""),"B")</f>
        <v>B</v>
      </c>
      <c r="E105" s="202" t="str">
        <f ca="1">IFERROR(__xludf.DUMMYFUNCTION("""COMPUTED_VALUE"""),"S")</f>
        <v>S</v>
      </c>
      <c r="F105" s="202" t="str">
        <f ca="1">IFERROR(__xludf.DUMMYFUNCTION("""COMPUTED_VALUE"""),"S")</f>
        <v>S</v>
      </c>
      <c r="G105" s="202">
        <f ca="1">IFERROR(__xludf.DUMMYFUNCTION("""COMPUTED_VALUE"""),4)</f>
        <v>4</v>
      </c>
      <c r="H105" s="206"/>
      <c r="I105" s="206"/>
      <c r="J105" s="206"/>
      <c r="K105" s="206"/>
      <c r="L105" s="206" t="str">
        <v/>
      </c>
      <c r="M105" s="206" t="str">
        <v/>
      </c>
    </row>
    <row r="106" spans="1:13" ht="14.4">
      <c r="A106" s="199" t="str">
        <f ca="1">IFERROR(__xludf.DUMMYFUNCTION("""COMPUTED_VALUE"""),"CB")</f>
        <v>CB</v>
      </c>
      <c r="B106" s="207" t="str">
        <f ca="1">IFERROR(__xludf.DUMMYFUNCTION("""COMPUTED_VALUE"""),"Will Zimmerman")</f>
        <v>Will Zimmerman</v>
      </c>
      <c r="C106" s="199">
        <f ca="1">IFERROR(__xludf.DUMMYFUNCTION("""COMPUTED_VALUE"""),17)</f>
        <v>17</v>
      </c>
      <c r="D106" s="199" t="str">
        <f ca="1">IFERROR(__xludf.DUMMYFUNCTION("""COMPUTED_VALUE"""),"B")</f>
        <v>B</v>
      </c>
      <c r="E106" s="202" t="str">
        <f ca="1">IFERROR(__xludf.DUMMYFUNCTION("""COMPUTED_VALUE"""),"S")</f>
        <v>S</v>
      </c>
      <c r="F106" s="202" t="str">
        <f ca="1">IFERROR(__xludf.DUMMYFUNCTION("""COMPUTED_VALUE"""),"S")</f>
        <v>S</v>
      </c>
      <c r="G106" s="202">
        <f ca="1">IFERROR(__xludf.DUMMYFUNCTION("""COMPUTED_VALUE"""),4)</f>
        <v>4</v>
      </c>
      <c r="H106" s="206"/>
      <c r="I106" s="206">
        <v>150.44999999999999</v>
      </c>
      <c r="J106" s="206"/>
      <c r="K106" s="206" t="s">
        <v>121</v>
      </c>
      <c r="L106" s="206" t="str">
        <v xml:space="preserve"> 150.45</v>
      </c>
      <c r="M106" s="206" t="str">
        <v/>
      </c>
    </row>
    <row r="107" spans="1:13" ht="14.4">
      <c r="A107" s="199" t="str">
        <f ca="1">IFERROR(__xludf.DUMMYFUNCTION("""COMPUTED_VALUE"""),"CB")</f>
        <v>CB</v>
      </c>
      <c r="B107" s="207" t="str">
        <f ca="1">IFERROR(__xludf.DUMMYFUNCTION("""COMPUTED_VALUE"""),"Amelia Lucien")</f>
        <v>Amelia Lucien</v>
      </c>
      <c r="C107" s="199">
        <f ca="1">IFERROR(__xludf.DUMMYFUNCTION("""COMPUTED_VALUE"""),15)</f>
        <v>15</v>
      </c>
      <c r="D107" s="199" t="str">
        <f ca="1">IFERROR(__xludf.DUMMYFUNCTION("""COMPUTED_VALUE"""),"G")</f>
        <v>G</v>
      </c>
      <c r="E107" s="202" t="str">
        <f ca="1">IFERROR(__xludf.DUMMYFUNCTION("""COMPUTED_VALUE"""),"S")</f>
        <v>S</v>
      </c>
      <c r="F107" s="202" t="str">
        <f ca="1">IFERROR(__xludf.DUMMYFUNCTION("""COMPUTED_VALUE"""),"S")</f>
        <v>S</v>
      </c>
      <c r="G107" s="202">
        <f ca="1">IFERROR(__xludf.DUMMYFUNCTION("""COMPUTED_VALUE"""),4)</f>
        <v>4</v>
      </c>
      <c r="H107" s="206"/>
      <c r="I107" s="206"/>
      <c r="J107" s="206"/>
      <c r="K107" s="206"/>
      <c r="L107" s="206" t="str">
        <v/>
      </c>
      <c r="M107" s="206" t="str">
        <v/>
      </c>
    </row>
    <row r="108" spans="1:13" ht="14.4">
      <c r="A108" s="199" t="str">
        <f ca="1">IFERROR(__xludf.DUMMYFUNCTION("""COMPUTED_VALUE"""),"CB")</f>
        <v>CB</v>
      </c>
      <c r="B108" s="207" t="str">
        <f ca="1">IFERROR(__xludf.DUMMYFUNCTION("""COMPUTED_VALUE"""),"Katie Keough")</f>
        <v>Katie Keough</v>
      </c>
      <c r="C108" s="199">
        <f ca="1">IFERROR(__xludf.DUMMYFUNCTION("""COMPUTED_VALUE"""),15)</f>
        <v>15</v>
      </c>
      <c r="D108" s="199" t="str">
        <f ca="1">IFERROR(__xludf.DUMMYFUNCTION("""COMPUTED_VALUE"""),"G")</f>
        <v>G</v>
      </c>
      <c r="E108" s="202" t="str">
        <f ca="1">IFERROR(__xludf.DUMMYFUNCTION("""COMPUTED_VALUE"""),"S")</f>
        <v>S</v>
      </c>
      <c r="F108" s="202" t="str">
        <f ca="1">IFERROR(__xludf.DUMMYFUNCTION("""COMPUTED_VALUE"""),"S")</f>
        <v>S</v>
      </c>
      <c r="G108" s="202">
        <f ca="1">IFERROR(__xludf.DUMMYFUNCTION("""COMPUTED_VALUE"""),4)</f>
        <v>4</v>
      </c>
      <c r="H108" s="206"/>
      <c r="I108" s="206"/>
      <c r="J108" s="206"/>
      <c r="K108" s="206"/>
      <c r="L108" s="206" t="str">
        <v/>
      </c>
      <c r="M108" s="206" t="str">
        <v/>
      </c>
    </row>
    <row r="109" spans="1:13" ht="14.4">
      <c r="A109" s="199" t="str">
        <f ca="1">IFERROR(__xludf.DUMMYFUNCTION("""COMPUTED_VALUE"""),"CCC")</f>
        <v>CCC</v>
      </c>
      <c r="B109" s="207" t="str">
        <f ca="1">IFERROR(__xludf.DUMMYFUNCTION("""COMPUTED_VALUE"""),"Andrew Marks")</f>
        <v>Andrew Marks</v>
      </c>
      <c r="C109" s="199">
        <f ca="1">IFERROR(__xludf.DUMMYFUNCTION("""COMPUTED_VALUE"""),9)</f>
        <v>9</v>
      </c>
      <c r="D109" s="199" t="str">
        <f ca="1">IFERROR(__xludf.DUMMYFUNCTION("""COMPUTED_VALUE"""),"B")</f>
        <v>B</v>
      </c>
      <c r="E109" s="202" t="str">
        <f ca="1">IFERROR(__xludf.DUMMYFUNCTION("""COMPUTED_VALUE"""),"F")</f>
        <v>F</v>
      </c>
      <c r="F109" s="202" t="str">
        <f ca="1">IFERROR(__xludf.DUMMYFUNCTION("""COMPUTED_VALUE"""),"J")</f>
        <v>J</v>
      </c>
      <c r="G109" s="202">
        <f ca="1">IFERROR(__xludf.DUMMYFUNCTION("""COMPUTED_VALUE"""),5)</f>
        <v>5</v>
      </c>
      <c r="H109" s="206"/>
      <c r="I109" s="206"/>
      <c r="J109" s="206"/>
      <c r="K109" s="206"/>
      <c r="L109" s="206" t="str">
        <v/>
      </c>
      <c r="M109" s="206" t="str">
        <v/>
      </c>
    </row>
    <row r="110" spans="1:13" ht="14.4">
      <c r="A110" s="199" t="str">
        <f ca="1">IFERROR(__xludf.DUMMYFUNCTION("""COMPUTED_VALUE"""),"CCC")</f>
        <v>CCC</v>
      </c>
      <c r="B110" s="207" t="str">
        <f ca="1">IFERROR(__xludf.DUMMYFUNCTION("""COMPUTED_VALUE"""),"Colin Wilson")</f>
        <v>Colin Wilson</v>
      </c>
      <c r="C110" s="199">
        <f ca="1">IFERROR(__xludf.DUMMYFUNCTION("""COMPUTED_VALUE"""),8)</f>
        <v>8</v>
      </c>
      <c r="D110" s="199" t="str">
        <f ca="1">IFERROR(__xludf.DUMMYFUNCTION("""COMPUTED_VALUE"""),"B")</f>
        <v>B</v>
      </c>
      <c r="E110" s="202" t="str">
        <f ca="1">IFERROR(__xludf.DUMMYFUNCTION("""COMPUTED_VALUE"""),"F")</f>
        <v>F</v>
      </c>
      <c r="F110" s="202" t="str">
        <f ca="1">IFERROR(__xludf.DUMMYFUNCTION("""COMPUTED_VALUE"""),"J")</f>
        <v>J</v>
      </c>
      <c r="G110" s="202">
        <f ca="1">IFERROR(__xludf.DUMMYFUNCTION("""COMPUTED_VALUE"""),5)</f>
        <v>5</v>
      </c>
      <c r="H110" s="208"/>
      <c r="I110" s="208"/>
      <c r="J110" s="208"/>
      <c r="K110" s="208"/>
      <c r="L110" s="208" t="str">
        <v/>
      </c>
      <c r="M110" s="208" t="str">
        <v/>
      </c>
    </row>
    <row r="111" spans="1:13" ht="14.4">
      <c r="A111" s="199" t="str">
        <f ca="1">IFERROR(__xludf.DUMMYFUNCTION("""COMPUTED_VALUE"""),"CCC")</f>
        <v>CCC</v>
      </c>
      <c r="B111" s="207" t="str">
        <f ca="1">IFERROR(__xludf.DUMMYFUNCTION("""COMPUTED_VALUE"""),"Corey Berkenbilt")</f>
        <v>Corey Berkenbilt</v>
      </c>
      <c r="C111" s="199">
        <f ca="1">IFERROR(__xludf.DUMMYFUNCTION("""COMPUTED_VALUE"""),10)</f>
        <v>10</v>
      </c>
      <c r="D111" s="199" t="str">
        <f ca="1">IFERROR(__xludf.DUMMYFUNCTION("""COMPUTED_VALUE"""),"B")</f>
        <v>B</v>
      </c>
      <c r="E111" s="202" t="str">
        <f ca="1">IFERROR(__xludf.DUMMYFUNCTION("""COMPUTED_VALUE"""),"F")</f>
        <v>F</v>
      </c>
      <c r="F111" s="202" t="str">
        <f ca="1">IFERROR(__xludf.DUMMYFUNCTION("""COMPUTED_VALUE"""),"J")</f>
        <v>J</v>
      </c>
      <c r="G111" s="202">
        <f ca="1">IFERROR(__xludf.DUMMYFUNCTION("""COMPUTED_VALUE"""),5)</f>
        <v>5</v>
      </c>
      <c r="H111" s="206"/>
      <c r="I111" s="206"/>
      <c r="J111" s="206"/>
      <c r="K111" s="206"/>
      <c r="L111" s="206" t="str">
        <v/>
      </c>
      <c r="M111" s="206" t="str">
        <v/>
      </c>
    </row>
    <row r="112" spans="1:13" ht="14.4">
      <c r="A112" s="199" t="str">
        <f ca="1">IFERROR(__xludf.DUMMYFUNCTION("""COMPUTED_VALUE"""),"CCC")</f>
        <v>CCC</v>
      </c>
      <c r="B112" s="207" t="str">
        <f ca="1">IFERROR(__xludf.DUMMYFUNCTION("""COMPUTED_VALUE"""),"Damian Wertz")</f>
        <v>Damian Wertz</v>
      </c>
      <c r="C112" s="199">
        <f ca="1">IFERROR(__xludf.DUMMYFUNCTION("""COMPUTED_VALUE"""),9)</f>
        <v>9</v>
      </c>
      <c r="D112" s="199" t="str">
        <f ca="1">IFERROR(__xludf.DUMMYFUNCTION("""COMPUTED_VALUE"""),"B")</f>
        <v>B</v>
      </c>
      <c r="E112" s="202" t="str">
        <f ca="1">IFERROR(__xludf.DUMMYFUNCTION("""COMPUTED_VALUE"""),"F")</f>
        <v>F</v>
      </c>
      <c r="F112" s="202" t="str">
        <f ca="1">IFERROR(__xludf.DUMMYFUNCTION("""COMPUTED_VALUE"""),"J")</f>
        <v>J</v>
      </c>
      <c r="G112" s="202">
        <f ca="1">IFERROR(__xludf.DUMMYFUNCTION("""COMPUTED_VALUE"""),5)</f>
        <v>5</v>
      </c>
      <c r="H112" s="208"/>
      <c r="I112" s="208"/>
      <c r="J112" s="208"/>
      <c r="K112" s="208"/>
      <c r="L112" s="208" t="str">
        <v/>
      </c>
      <c r="M112" s="208" t="str">
        <v/>
      </c>
    </row>
    <row r="113" spans="1:13" ht="14.4">
      <c r="A113" s="199" t="str">
        <f ca="1">IFERROR(__xludf.DUMMYFUNCTION("""COMPUTED_VALUE"""),"CCC")</f>
        <v>CCC</v>
      </c>
      <c r="B113" s="207" t="str">
        <f ca="1">IFERROR(__xludf.DUMMYFUNCTION("""COMPUTED_VALUE"""),"Drew Southworth")</f>
        <v>Drew Southworth</v>
      </c>
      <c r="C113" s="199">
        <f ca="1">IFERROR(__xludf.DUMMYFUNCTION("""COMPUTED_VALUE"""),9)</f>
        <v>9</v>
      </c>
      <c r="D113" s="199" t="str">
        <f ca="1">IFERROR(__xludf.DUMMYFUNCTION("""COMPUTED_VALUE"""),"B")</f>
        <v>B</v>
      </c>
      <c r="E113" s="202" t="str">
        <f ca="1">IFERROR(__xludf.DUMMYFUNCTION("""COMPUTED_VALUE"""),"F")</f>
        <v>F</v>
      </c>
      <c r="F113" s="202" t="str">
        <f ca="1">IFERROR(__xludf.DUMMYFUNCTION("""COMPUTED_VALUE"""),"J")</f>
        <v>J</v>
      </c>
      <c r="G113" s="202">
        <f ca="1">IFERROR(__xludf.DUMMYFUNCTION("""COMPUTED_VALUE"""),5)</f>
        <v>5</v>
      </c>
      <c r="H113" s="208"/>
      <c r="I113" s="208"/>
      <c r="J113" s="208"/>
      <c r="K113" s="208"/>
      <c r="L113" s="208" t="str">
        <v/>
      </c>
      <c r="M113" s="208" t="str">
        <v/>
      </c>
    </row>
    <row r="114" spans="1:13" ht="14.4">
      <c r="A114" s="199" t="str">
        <f ca="1">IFERROR(__xludf.DUMMYFUNCTION("""COMPUTED_VALUE"""),"CCC")</f>
        <v>CCC</v>
      </c>
      <c r="B114" s="207" t="str">
        <f ca="1">IFERROR(__xludf.DUMMYFUNCTION("""COMPUTED_VALUE"""),"Easton Snyder")</f>
        <v>Easton Snyder</v>
      </c>
      <c r="C114" s="199">
        <f ca="1">IFERROR(__xludf.DUMMYFUNCTION("""COMPUTED_VALUE"""),6)</f>
        <v>6</v>
      </c>
      <c r="D114" s="199" t="str">
        <f ca="1">IFERROR(__xludf.DUMMYFUNCTION("""COMPUTED_VALUE"""),"B")</f>
        <v>B</v>
      </c>
      <c r="E114" s="202" t="str">
        <f ca="1">IFERROR(__xludf.DUMMYFUNCTION("""COMPUTED_VALUE"""),"F")</f>
        <v>F</v>
      </c>
      <c r="F114" s="202" t="str">
        <f ca="1">IFERROR(__xludf.DUMMYFUNCTION("""COMPUTED_VALUE"""),"J")</f>
        <v>J</v>
      </c>
      <c r="G114" s="202">
        <f ca="1">IFERROR(__xludf.DUMMYFUNCTION("""COMPUTED_VALUE"""),5)</f>
        <v>5</v>
      </c>
      <c r="H114" s="206"/>
      <c r="I114" s="206"/>
      <c r="J114" s="206"/>
      <c r="K114" s="206"/>
      <c r="L114" s="206" t="str">
        <v/>
      </c>
      <c r="M114" s="206" t="str">
        <v/>
      </c>
    </row>
    <row r="115" spans="1:13" ht="14.4">
      <c r="A115" s="199" t="str">
        <f ca="1">IFERROR(__xludf.DUMMYFUNCTION("""COMPUTED_VALUE"""),"CCC")</f>
        <v>CCC</v>
      </c>
      <c r="B115" s="207" t="str">
        <f ca="1">IFERROR(__xludf.DUMMYFUNCTION("""COMPUTED_VALUE"""),"Emerson Allen")</f>
        <v>Emerson Allen</v>
      </c>
      <c r="C115" s="199">
        <f ca="1">IFERROR(__xludf.DUMMYFUNCTION("""COMPUTED_VALUE"""),7)</f>
        <v>7</v>
      </c>
      <c r="D115" s="199" t="str">
        <f ca="1">IFERROR(__xludf.DUMMYFUNCTION("""COMPUTED_VALUE"""),"B")</f>
        <v>B</v>
      </c>
      <c r="E115" s="202" t="str">
        <f ca="1">IFERROR(__xludf.DUMMYFUNCTION("""COMPUTED_VALUE"""),"F")</f>
        <v>F</v>
      </c>
      <c r="F115" s="202" t="str">
        <f ca="1">IFERROR(__xludf.DUMMYFUNCTION("""COMPUTED_VALUE"""),"J")</f>
        <v>J</v>
      </c>
      <c r="G115" s="202">
        <f ca="1">IFERROR(__xludf.DUMMYFUNCTION("""COMPUTED_VALUE"""),5)</f>
        <v>5</v>
      </c>
      <c r="H115" s="206"/>
      <c r="I115" s="206">
        <v>38.700000000000003</v>
      </c>
      <c r="J115" s="206"/>
      <c r="K115" s="206" t="s">
        <v>121</v>
      </c>
      <c r="L115" s="206" t="str">
        <v xml:space="preserve"> 38.7</v>
      </c>
      <c r="M115" s="206" t="str">
        <v/>
      </c>
    </row>
    <row r="116" spans="1:13" ht="14.4">
      <c r="A116" s="199" t="str">
        <f ca="1">IFERROR(__xludf.DUMMYFUNCTION("""COMPUTED_VALUE"""),"CCC")</f>
        <v>CCC</v>
      </c>
      <c r="B116" s="207" t="str">
        <f ca="1">IFERROR(__xludf.DUMMYFUNCTION("""COMPUTED_VALUE"""),"Emilio Padilla")</f>
        <v>Emilio Padilla</v>
      </c>
      <c r="C116" s="199">
        <f ca="1">IFERROR(__xludf.DUMMYFUNCTION("""COMPUTED_VALUE"""),8)</f>
        <v>8</v>
      </c>
      <c r="D116" s="199" t="str">
        <f ca="1">IFERROR(__xludf.DUMMYFUNCTION("""COMPUTED_VALUE"""),"B")</f>
        <v>B</v>
      </c>
      <c r="E116" s="202" t="str">
        <f ca="1">IFERROR(__xludf.DUMMYFUNCTION("""COMPUTED_VALUE"""),"F")</f>
        <v>F</v>
      </c>
      <c r="F116" s="202" t="str">
        <f ca="1">IFERROR(__xludf.DUMMYFUNCTION("""COMPUTED_VALUE"""),"J")</f>
        <v>J</v>
      </c>
      <c r="G116" s="202">
        <f ca="1">IFERROR(__xludf.DUMMYFUNCTION("""COMPUTED_VALUE"""),5)</f>
        <v>5</v>
      </c>
      <c r="H116" s="208"/>
      <c r="I116" s="208">
        <v>25.75</v>
      </c>
      <c r="J116" s="208"/>
      <c r="K116" s="208" t="s">
        <v>121</v>
      </c>
      <c r="L116" s="208" t="str">
        <v xml:space="preserve"> 25.75</v>
      </c>
      <c r="M116" s="208" t="str">
        <v/>
      </c>
    </row>
    <row r="117" spans="1:13" ht="14.4">
      <c r="A117" s="199" t="str">
        <f ca="1">IFERROR(__xludf.DUMMYFUNCTION("""COMPUTED_VALUE"""),"CCC")</f>
        <v>CCC</v>
      </c>
      <c r="B117" s="207" t="str">
        <f ca="1">IFERROR(__xludf.DUMMYFUNCTION("""COMPUTED_VALUE"""),"Grayson Matlis")</f>
        <v>Grayson Matlis</v>
      </c>
      <c r="C117" s="199">
        <f ca="1">IFERROR(__xludf.DUMMYFUNCTION("""COMPUTED_VALUE"""),9)</f>
        <v>9</v>
      </c>
      <c r="D117" s="199" t="str">
        <f ca="1">IFERROR(__xludf.DUMMYFUNCTION("""COMPUTED_VALUE"""),"B")</f>
        <v>B</v>
      </c>
      <c r="E117" s="202" t="str">
        <f ca="1">IFERROR(__xludf.DUMMYFUNCTION("""COMPUTED_VALUE"""),"F")</f>
        <v>F</v>
      </c>
      <c r="F117" s="202" t="str">
        <f ca="1">IFERROR(__xludf.DUMMYFUNCTION("""COMPUTED_VALUE"""),"J")</f>
        <v>J</v>
      </c>
      <c r="G117" s="202">
        <f ca="1">IFERROR(__xludf.DUMMYFUNCTION("""COMPUTED_VALUE"""),5)</f>
        <v>5</v>
      </c>
      <c r="H117" s="208"/>
      <c r="I117" s="208"/>
      <c r="J117" s="208"/>
      <c r="K117" s="208"/>
      <c r="L117" s="208" t="str">
        <v/>
      </c>
      <c r="M117" s="208" t="str">
        <v/>
      </c>
    </row>
    <row r="118" spans="1:13" ht="14.4">
      <c r="A118" s="199" t="str">
        <f ca="1">IFERROR(__xludf.DUMMYFUNCTION("""COMPUTED_VALUE"""),"CCC")</f>
        <v>CCC</v>
      </c>
      <c r="B118" s="207" t="str">
        <f ca="1">IFERROR(__xludf.DUMMYFUNCTION("""COMPUTED_VALUE"""),"Jack McIntosh")</f>
        <v>Jack McIntosh</v>
      </c>
      <c r="C118" s="199">
        <f ca="1">IFERROR(__xludf.DUMMYFUNCTION("""COMPUTED_VALUE"""),7)</f>
        <v>7</v>
      </c>
      <c r="D118" s="199" t="str">
        <f ca="1">IFERROR(__xludf.DUMMYFUNCTION("""COMPUTED_VALUE"""),"B")</f>
        <v>B</v>
      </c>
      <c r="E118" s="202" t="str">
        <f ca="1">IFERROR(__xludf.DUMMYFUNCTION("""COMPUTED_VALUE"""),"F")</f>
        <v>F</v>
      </c>
      <c r="F118" s="202" t="str">
        <f ca="1">IFERROR(__xludf.DUMMYFUNCTION("""COMPUTED_VALUE"""),"J")</f>
        <v>J</v>
      </c>
      <c r="G118" s="202">
        <f ca="1">IFERROR(__xludf.DUMMYFUNCTION("""COMPUTED_VALUE"""),5)</f>
        <v>5</v>
      </c>
      <c r="H118" s="206"/>
      <c r="I118" s="206" t="s">
        <v>122</v>
      </c>
      <c r="J118" s="206"/>
      <c r="K118" s="206" t="s">
        <v>121</v>
      </c>
      <c r="L118" s="206" t="str">
        <v xml:space="preserve"> DQ</v>
      </c>
      <c r="M118" s="206" t="str">
        <v/>
      </c>
    </row>
    <row r="119" spans="1:13" ht="14.4">
      <c r="A119" s="199" t="str">
        <f ca="1">IFERROR(__xludf.DUMMYFUNCTION("""COMPUTED_VALUE"""),"CCC")</f>
        <v>CCC</v>
      </c>
      <c r="B119" s="207" t="str">
        <f ca="1">IFERROR(__xludf.DUMMYFUNCTION("""COMPUTED_VALUE"""),"Josh Themely")</f>
        <v>Josh Themely</v>
      </c>
      <c r="C119" s="199">
        <f ca="1">IFERROR(__xludf.DUMMYFUNCTION("""COMPUTED_VALUE"""),9)</f>
        <v>9</v>
      </c>
      <c r="D119" s="199" t="str">
        <f ca="1">IFERROR(__xludf.DUMMYFUNCTION("""COMPUTED_VALUE"""),"B")</f>
        <v>B</v>
      </c>
      <c r="E119" s="202" t="str">
        <f ca="1">IFERROR(__xludf.DUMMYFUNCTION("""COMPUTED_VALUE"""),"F")</f>
        <v>F</v>
      </c>
      <c r="F119" s="202" t="str">
        <f ca="1">IFERROR(__xludf.DUMMYFUNCTION("""COMPUTED_VALUE"""),"J")</f>
        <v>J</v>
      </c>
      <c r="G119" s="202">
        <f ca="1">IFERROR(__xludf.DUMMYFUNCTION("""COMPUTED_VALUE"""),5)</f>
        <v>5</v>
      </c>
      <c r="H119" s="206"/>
      <c r="I119" s="206"/>
      <c r="J119" s="206"/>
      <c r="K119" s="206"/>
      <c r="L119" s="206" t="str">
        <v/>
      </c>
      <c r="M119" s="206" t="str">
        <v/>
      </c>
    </row>
    <row r="120" spans="1:13" ht="14.4">
      <c r="A120" s="199" t="str">
        <f ca="1">IFERROR(__xludf.DUMMYFUNCTION("""COMPUTED_VALUE"""),"CCC")</f>
        <v>CCC</v>
      </c>
      <c r="B120" s="207" t="str">
        <f ca="1">IFERROR(__xludf.DUMMYFUNCTION("""COMPUTED_VALUE"""),"Kyle Borgia")</f>
        <v>Kyle Borgia</v>
      </c>
      <c r="C120" s="199">
        <f ca="1">IFERROR(__xludf.DUMMYFUNCTION("""COMPUTED_VALUE"""),10)</f>
        <v>10</v>
      </c>
      <c r="D120" s="199" t="str">
        <f ca="1">IFERROR(__xludf.DUMMYFUNCTION("""COMPUTED_VALUE"""),"B")</f>
        <v>B</v>
      </c>
      <c r="E120" s="202" t="str">
        <f ca="1">IFERROR(__xludf.DUMMYFUNCTION("""COMPUTED_VALUE"""),"F")</f>
        <v>F</v>
      </c>
      <c r="F120" s="202" t="str">
        <f ca="1">IFERROR(__xludf.DUMMYFUNCTION("""COMPUTED_VALUE"""),"J")</f>
        <v>J</v>
      </c>
      <c r="G120" s="202">
        <f ca="1">IFERROR(__xludf.DUMMYFUNCTION("""COMPUTED_VALUE"""),5)</f>
        <v>5</v>
      </c>
      <c r="H120" s="206"/>
      <c r="I120" s="206"/>
      <c r="J120" s="206"/>
      <c r="K120" s="206"/>
      <c r="L120" s="206" t="str">
        <v/>
      </c>
      <c r="M120" s="206" t="str">
        <v/>
      </c>
    </row>
    <row r="121" spans="1:13" ht="14.4">
      <c r="A121" s="199" t="str">
        <f ca="1">IFERROR(__xludf.DUMMYFUNCTION("""COMPUTED_VALUE"""),"CCC")</f>
        <v>CCC</v>
      </c>
      <c r="B121" s="207" t="str">
        <f ca="1">IFERROR(__xludf.DUMMYFUNCTION("""COMPUTED_VALUE"""),"Owen Snyder")</f>
        <v>Owen Snyder</v>
      </c>
      <c r="C121" s="199">
        <f ca="1">IFERROR(__xludf.DUMMYFUNCTION("""COMPUTED_VALUE"""),9)</f>
        <v>9</v>
      </c>
      <c r="D121" s="199" t="str">
        <f ca="1">IFERROR(__xludf.DUMMYFUNCTION("""COMPUTED_VALUE"""),"B")</f>
        <v>B</v>
      </c>
      <c r="E121" s="202" t="str">
        <f ca="1">IFERROR(__xludf.DUMMYFUNCTION("""COMPUTED_VALUE"""),"F")</f>
        <v>F</v>
      </c>
      <c r="F121" s="202" t="str">
        <f ca="1">IFERROR(__xludf.DUMMYFUNCTION("""COMPUTED_VALUE"""),"J")</f>
        <v>J</v>
      </c>
      <c r="G121" s="202">
        <f ca="1">IFERROR(__xludf.DUMMYFUNCTION("""COMPUTED_VALUE"""),5)</f>
        <v>5</v>
      </c>
      <c r="H121" s="208"/>
      <c r="I121" s="208">
        <v>41.7</v>
      </c>
      <c r="J121" s="208"/>
      <c r="K121" s="208" t="s">
        <v>121</v>
      </c>
      <c r="L121" s="208" t="str">
        <v xml:space="preserve"> 41.7</v>
      </c>
      <c r="M121" s="208" t="str">
        <v/>
      </c>
    </row>
    <row r="122" spans="1:13" ht="14.4">
      <c r="A122" s="199" t="str">
        <f ca="1">IFERROR(__xludf.DUMMYFUNCTION("""COMPUTED_VALUE"""),"CCC")</f>
        <v>CCC</v>
      </c>
      <c r="B122" s="207" t="str">
        <f ca="1">IFERROR(__xludf.DUMMYFUNCTION("""COMPUTED_VALUE"""),"Theo Edgerton")</f>
        <v>Theo Edgerton</v>
      </c>
      <c r="C122" s="199">
        <f ca="1">IFERROR(__xludf.DUMMYFUNCTION("""COMPUTED_VALUE"""),9)</f>
        <v>9</v>
      </c>
      <c r="D122" s="199" t="str">
        <f ca="1">IFERROR(__xludf.DUMMYFUNCTION("""COMPUTED_VALUE"""),"B")</f>
        <v>B</v>
      </c>
      <c r="E122" s="202" t="str">
        <f ca="1">IFERROR(__xludf.DUMMYFUNCTION("""COMPUTED_VALUE"""),"F")</f>
        <v>F</v>
      </c>
      <c r="F122" s="202" t="str">
        <f ca="1">IFERROR(__xludf.DUMMYFUNCTION("""COMPUTED_VALUE"""),"J")</f>
        <v>J</v>
      </c>
      <c r="G122" s="202">
        <f ca="1">IFERROR(__xludf.DUMMYFUNCTION("""COMPUTED_VALUE"""),5)</f>
        <v>5</v>
      </c>
      <c r="H122" s="206"/>
      <c r="I122" s="206"/>
      <c r="J122" s="206"/>
      <c r="K122" s="206"/>
      <c r="L122" s="206" t="str">
        <v/>
      </c>
      <c r="M122" s="206" t="str">
        <v/>
      </c>
    </row>
    <row r="123" spans="1:13" ht="14.4">
      <c r="A123" s="199" t="str">
        <f ca="1">IFERROR(__xludf.DUMMYFUNCTION("""COMPUTED_VALUE"""),"CCC")</f>
        <v>CCC</v>
      </c>
      <c r="B123" s="207" t="str">
        <f ca="1">IFERROR(__xludf.DUMMYFUNCTION("""COMPUTED_VALUE"""),"Will Allen")</f>
        <v>Will Allen</v>
      </c>
      <c r="C123" s="199">
        <f ca="1">IFERROR(__xludf.DUMMYFUNCTION("""COMPUTED_VALUE"""),10)</f>
        <v>10</v>
      </c>
      <c r="D123" s="199" t="str">
        <f ca="1">IFERROR(__xludf.DUMMYFUNCTION("""COMPUTED_VALUE"""),"B")</f>
        <v>B</v>
      </c>
      <c r="E123" s="202" t="str">
        <f ca="1">IFERROR(__xludf.DUMMYFUNCTION("""COMPUTED_VALUE"""),"F")</f>
        <v>F</v>
      </c>
      <c r="F123" s="202" t="str">
        <f ca="1">IFERROR(__xludf.DUMMYFUNCTION("""COMPUTED_VALUE"""),"J")</f>
        <v>J</v>
      </c>
      <c r="G123" s="202">
        <f ca="1">IFERROR(__xludf.DUMMYFUNCTION("""COMPUTED_VALUE"""),5)</f>
        <v>5</v>
      </c>
      <c r="H123" s="208"/>
      <c r="I123" s="208"/>
      <c r="J123" s="208"/>
      <c r="K123" s="208"/>
      <c r="L123" s="208" t="str">
        <v/>
      </c>
      <c r="M123" s="208" t="str">
        <v/>
      </c>
    </row>
    <row r="124" spans="1:13" ht="14.4">
      <c r="A124" s="199" t="str">
        <f ca="1">IFERROR(__xludf.DUMMYFUNCTION("""COMPUTED_VALUE"""),"CCC")</f>
        <v>CCC</v>
      </c>
      <c r="B124" s="207" t="str">
        <f ca="1">IFERROR(__xludf.DUMMYFUNCTION("""COMPUTED_VALUE"""),"Abby Southworth")</f>
        <v>Abby Southworth</v>
      </c>
      <c r="C124" s="199">
        <f ca="1">IFERROR(__xludf.DUMMYFUNCTION("""COMPUTED_VALUE"""),7)</f>
        <v>7</v>
      </c>
      <c r="D124" s="199" t="str">
        <f ca="1">IFERROR(__xludf.DUMMYFUNCTION("""COMPUTED_VALUE"""),"G")</f>
        <v>G</v>
      </c>
      <c r="E124" s="202" t="str">
        <f ca="1">IFERROR(__xludf.DUMMYFUNCTION("""COMPUTED_VALUE"""),"F")</f>
        <v>F</v>
      </c>
      <c r="F124" s="202" t="str">
        <f ca="1">IFERROR(__xludf.DUMMYFUNCTION("""COMPUTED_VALUE"""),"J")</f>
        <v>J</v>
      </c>
      <c r="G124" s="202">
        <f ca="1">IFERROR(__xludf.DUMMYFUNCTION("""COMPUTED_VALUE"""),5)</f>
        <v>5</v>
      </c>
      <c r="H124" s="208">
        <v>26.5</v>
      </c>
      <c r="I124" s="208"/>
      <c r="J124" s="208" t="s">
        <v>121</v>
      </c>
      <c r="K124" s="208"/>
      <c r="L124" s="208" t="str">
        <v xml:space="preserve"> 26.5</v>
      </c>
      <c r="M124" s="208" t="str">
        <v/>
      </c>
    </row>
    <row r="125" spans="1:13" ht="14.4">
      <c r="A125" s="199" t="str">
        <f ca="1">IFERROR(__xludf.DUMMYFUNCTION("""COMPUTED_VALUE"""),"CCC")</f>
        <v>CCC</v>
      </c>
      <c r="B125" s="207" t="str">
        <f ca="1">IFERROR(__xludf.DUMMYFUNCTION("""COMPUTED_VALUE"""),"Alexa Hill")</f>
        <v>Alexa Hill</v>
      </c>
      <c r="C125" s="199">
        <f ca="1">IFERROR(__xludf.DUMMYFUNCTION("""COMPUTED_VALUE"""),8)</f>
        <v>8</v>
      </c>
      <c r="D125" s="199" t="str">
        <f ca="1">IFERROR(__xludf.DUMMYFUNCTION("""COMPUTED_VALUE"""),"G")</f>
        <v>G</v>
      </c>
      <c r="E125" s="202" t="str">
        <f ca="1">IFERROR(__xludf.DUMMYFUNCTION("""COMPUTED_VALUE"""),"F")</f>
        <v>F</v>
      </c>
      <c r="F125" s="202" t="str">
        <f ca="1">IFERROR(__xludf.DUMMYFUNCTION("""COMPUTED_VALUE"""),"J")</f>
        <v>J</v>
      </c>
      <c r="G125" s="202">
        <f ca="1">IFERROR(__xludf.DUMMYFUNCTION("""COMPUTED_VALUE"""),5)</f>
        <v>5</v>
      </c>
      <c r="H125" s="206">
        <v>16.5</v>
      </c>
      <c r="I125" s="206"/>
      <c r="J125" s="206" t="s">
        <v>121</v>
      </c>
      <c r="K125" s="206"/>
      <c r="L125" s="206" t="str">
        <v xml:space="preserve"> 16.5</v>
      </c>
      <c r="M125" s="206" t="str">
        <v/>
      </c>
    </row>
    <row r="126" spans="1:13" ht="14.4">
      <c r="A126" s="199" t="str">
        <f ca="1">IFERROR(__xludf.DUMMYFUNCTION("""COMPUTED_VALUE"""),"CCC")</f>
        <v>CCC</v>
      </c>
      <c r="B126" s="207" t="str">
        <f ca="1">IFERROR(__xludf.DUMMYFUNCTION("""COMPUTED_VALUE"""),"Eliza McIlvaine")</f>
        <v>Eliza McIlvaine</v>
      </c>
      <c r="C126" s="199">
        <f ca="1">IFERROR(__xludf.DUMMYFUNCTION("""COMPUTED_VALUE"""),9)</f>
        <v>9</v>
      </c>
      <c r="D126" s="199" t="str">
        <f ca="1">IFERROR(__xludf.DUMMYFUNCTION("""COMPUTED_VALUE"""),"G")</f>
        <v>G</v>
      </c>
      <c r="E126" s="202" t="str">
        <f ca="1">IFERROR(__xludf.DUMMYFUNCTION("""COMPUTED_VALUE"""),"F")</f>
        <v>F</v>
      </c>
      <c r="F126" s="202" t="str">
        <f ca="1">IFERROR(__xludf.DUMMYFUNCTION("""COMPUTED_VALUE"""),"J")</f>
        <v>J</v>
      </c>
      <c r="G126" s="202">
        <f ca="1">IFERROR(__xludf.DUMMYFUNCTION("""COMPUTED_VALUE"""),5)</f>
        <v>5</v>
      </c>
      <c r="H126" s="206">
        <v>39.1</v>
      </c>
      <c r="I126" s="206"/>
      <c r="J126" s="206" t="s">
        <v>121</v>
      </c>
      <c r="K126" s="206"/>
      <c r="L126" s="206" t="str">
        <v xml:space="preserve"> 39.1</v>
      </c>
      <c r="M126" s="206" t="str">
        <v/>
      </c>
    </row>
    <row r="127" spans="1:13" ht="14.4">
      <c r="A127" s="199" t="str">
        <f ca="1">IFERROR(__xludf.DUMMYFUNCTION("""COMPUTED_VALUE"""),"CCC")</f>
        <v>CCC</v>
      </c>
      <c r="B127" s="207" t="str">
        <f ca="1">IFERROR(__xludf.DUMMYFUNCTION("""COMPUTED_VALUE"""),"Ella Allen")</f>
        <v>Ella Allen</v>
      </c>
      <c r="C127" s="199">
        <f ca="1">IFERROR(__xludf.DUMMYFUNCTION("""COMPUTED_VALUE"""),7)</f>
        <v>7</v>
      </c>
      <c r="D127" s="199" t="str">
        <f ca="1">IFERROR(__xludf.DUMMYFUNCTION("""COMPUTED_VALUE"""),"G")</f>
        <v>G</v>
      </c>
      <c r="E127" s="202" t="str">
        <f ca="1">IFERROR(__xludf.DUMMYFUNCTION("""COMPUTED_VALUE"""),"F")</f>
        <v>F</v>
      </c>
      <c r="F127" s="202" t="str">
        <f ca="1">IFERROR(__xludf.DUMMYFUNCTION("""COMPUTED_VALUE"""),"J")</f>
        <v>J</v>
      </c>
      <c r="G127" s="202">
        <f ca="1">IFERROR(__xludf.DUMMYFUNCTION("""COMPUTED_VALUE"""),5)</f>
        <v>5</v>
      </c>
      <c r="H127" s="206">
        <v>31.5</v>
      </c>
      <c r="I127" s="206"/>
      <c r="J127" s="206" t="s">
        <v>121</v>
      </c>
      <c r="K127" s="206"/>
      <c r="L127" s="206" t="str">
        <v xml:space="preserve"> 31.5</v>
      </c>
      <c r="M127" s="206" t="str">
        <v/>
      </c>
    </row>
    <row r="128" spans="1:13" ht="14.4">
      <c r="A128" s="199" t="str">
        <f ca="1">IFERROR(__xludf.DUMMYFUNCTION("""COMPUTED_VALUE"""),"CCC")</f>
        <v>CCC</v>
      </c>
      <c r="B128" s="207" t="str">
        <f ca="1">IFERROR(__xludf.DUMMYFUNCTION("""COMPUTED_VALUE"""),"Emma Thomas")</f>
        <v>Emma Thomas</v>
      </c>
      <c r="C128" s="199">
        <f ca="1">IFERROR(__xludf.DUMMYFUNCTION("""COMPUTED_VALUE"""),10)</f>
        <v>10</v>
      </c>
      <c r="D128" s="199" t="str">
        <f ca="1">IFERROR(__xludf.DUMMYFUNCTION("""COMPUTED_VALUE"""),"G")</f>
        <v>G</v>
      </c>
      <c r="E128" s="202" t="str">
        <f ca="1">IFERROR(__xludf.DUMMYFUNCTION("""COMPUTED_VALUE"""),"F")</f>
        <v>F</v>
      </c>
      <c r="F128" s="202" t="str">
        <f ca="1">IFERROR(__xludf.DUMMYFUNCTION("""COMPUTED_VALUE"""),"J")</f>
        <v>J</v>
      </c>
      <c r="G128" s="202">
        <f ca="1">IFERROR(__xludf.DUMMYFUNCTION("""COMPUTED_VALUE"""),5)</f>
        <v>5</v>
      </c>
      <c r="H128" s="208"/>
      <c r="I128" s="208"/>
      <c r="J128" s="208"/>
      <c r="K128" s="208"/>
      <c r="L128" s="208" t="str">
        <v/>
      </c>
      <c r="M128" s="208" t="str">
        <v/>
      </c>
    </row>
    <row r="129" spans="1:13" ht="14.4">
      <c r="A129" s="199" t="str">
        <f ca="1">IFERROR(__xludf.DUMMYFUNCTION("""COMPUTED_VALUE"""),"CCC")</f>
        <v>CCC</v>
      </c>
      <c r="B129" s="207" t="str">
        <f ca="1">IFERROR(__xludf.DUMMYFUNCTION("""COMPUTED_VALUE"""),"Lillie Thomas")</f>
        <v>Lillie Thomas</v>
      </c>
      <c r="C129" s="199">
        <f ca="1">IFERROR(__xludf.DUMMYFUNCTION("""COMPUTED_VALUE"""),8)</f>
        <v>8</v>
      </c>
      <c r="D129" s="199" t="str">
        <f ca="1">IFERROR(__xludf.DUMMYFUNCTION("""COMPUTED_VALUE"""),"G")</f>
        <v>G</v>
      </c>
      <c r="E129" s="202" t="str">
        <f ca="1">IFERROR(__xludf.DUMMYFUNCTION("""COMPUTED_VALUE"""),"F")</f>
        <v>F</v>
      </c>
      <c r="F129" s="202" t="str">
        <f ca="1">IFERROR(__xludf.DUMMYFUNCTION("""COMPUTED_VALUE"""),"J")</f>
        <v>J</v>
      </c>
      <c r="G129" s="202">
        <f ca="1">IFERROR(__xludf.DUMMYFUNCTION("""COMPUTED_VALUE"""),5)</f>
        <v>5</v>
      </c>
      <c r="H129" s="206"/>
      <c r="I129" s="206"/>
      <c r="J129" s="206"/>
      <c r="K129" s="206"/>
      <c r="L129" s="206" t="str">
        <v/>
      </c>
      <c r="M129" s="206" t="str">
        <v/>
      </c>
    </row>
    <row r="130" spans="1:13" ht="14.4">
      <c r="A130" s="199" t="str">
        <f ca="1">IFERROR(__xludf.DUMMYFUNCTION("""COMPUTED_VALUE"""),"CCC")</f>
        <v>CCC</v>
      </c>
      <c r="B130" s="207" t="str">
        <f ca="1">IFERROR(__xludf.DUMMYFUNCTION("""COMPUTED_VALUE"""),"Lily Huie")</f>
        <v>Lily Huie</v>
      </c>
      <c r="C130" s="199">
        <f ca="1">IFERROR(__xludf.DUMMYFUNCTION("""COMPUTED_VALUE"""),7)</f>
        <v>7</v>
      </c>
      <c r="D130" s="199" t="str">
        <f ca="1">IFERROR(__xludf.DUMMYFUNCTION("""COMPUTED_VALUE"""),"G")</f>
        <v>G</v>
      </c>
      <c r="E130" s="202" t="str">
        <f ca="1">IFERROR(__xludf.DUMMYFUNCTION("""COMPUTED_VALUE"""),"F")</f>
        <v>F</v>
      </c>
      <c r="F130" s="202" t="str">
        <f ca="1">IFERROR(__xludf.DUMMYFUNCTION("""COMPUTED_VALUE"""),"J")</f>
        <v>J</v>
      </c>
      <c r="G130" s="202">
        <f ca="1">IFERROR(__xludf.DUMMYFUNCTION("""COMPUTED_VALUE"""),5)</f>
        <v>5</v>
      </c>
      <c r="H130" s="206">
        <v>44.4</v>
      </c>
      <c r="I130" s="206"/>
      <c r="J130" s="206" t="s">
        <v>121</v>
      </c>
      <c r="K130" s="206"/>
      <c r="L130" s="206" t="str">
        <v xml:space="preserve"> 44.4</v>
      </c>
      <c r="M130" s="206" t="str">
        <v/>
      </c>
    </row>
    <row r="131" spans="1:13" ht="14.4">
      <c r="A131" s="199" t="str">
        <f ca="1">IFERROR(__xludf.DUMMYFUNCTION("""COMPUTED_VALUE"""),"CCC")</f>
        <v>CCC</v>
      </c>
      <c r="B131" s="207" t="str">
        <f ca="1">IFERROR(__xludf.DUMMYFUNCTION("""COMPUTED_VALUE"""),"Sara Curry-Briggs")</f>
        <v>Sara Curry-Briggs</v>
      </c>
      <c r="C131" s="199">
        <f ca="1">IFERROR(__xludf.DUMMYFUNCTION("""COMPUTED_VALUE"""),7)</f>
        <v>7</v>
      </c>
      <c r="D131" s="199" t="str">
        <f ca="1">IFERROR(__xludf.DUMMYFUNCTION("""COMPUTED_VALUE"""),"G")</f>
        <v>G</v>
      </c>
      <c r="E131" s="202" t="str">
        <f ca="1">IFERROR(__xludf.DUMMYFUNCTION("""COMPUTED_VALUE"""),"F")</f>
        <v>F</v>
      </c>
      <c r="F131" s="202" t="str">
        <f ca="1">IFERROR(__xludf.DUMMYFUNCTION("""COMPUTED_VALUE"""),"J")</f>
        <v>J</v>
      </c>
      <c r="G131" s="202">
        <f ca="1">IFERROR(__xludf.DUMMYFUNCTION("""COMPUTED_VALUE"""),5)</f>
        <v>5</v>
      </c>
      <c r="H131" s="206">
        <v>25.25</v>
      </c>
      <c r="I131" s="206"/>
      <c r="J131" s="206" t="s">
        <v>121</v>
      </c>
      <c r="K131" s="206"/>
      <c r="L131" s="206" t="str">
        <v xml:space="preserve"> 25.25</v>
      </c>
      <c r="M131" s="206" t="str">
        <v/>
      </c>
    </row>
    <row r="132" spans="1:13" ht="14.4">
      <c r="A132" s="199" t="str">
        <f ca="1">IFERROR(__xludf.DUMMYFUNCTION("""COMPUTED_VALUE"""),"CCC")</f>
        <v>CCC</v>
      </c>
      <c r="B132" s="207" t="str">
        <f ca="1">IFERROR(__xludf.DUMMYFUNCTION("""COMPUTED_VALUE"""),"Ryan Wells")</f>
        <v>Ryan Wells</v>
      </c>
      <c r="C132" s="199">
        <f ca="1">IFERROR(__xludf.DUMMYFUNCTION("""COMPUTED_VALUE"""),13)</f>
        <v>13</v>
      </c>
      <c r="D132" s="199" t="str">
        <f ca="1">IFERROR(__xludf.DUMMYFUNCTION("""COMPUTED_VALUE"""),"B")</f>
        <v>B</v>
      </c>
      <c r="E132" s="202" t="str">
        <f ca="1">IFERROR(__xludf.DUMMYFUNCTION("""COMPUTED_VALUE"""),"I")</f>
        <v>I</v>
      </c>
      <c r="F132" s="202" t="str">
        <f ca="1">IFERROR(__xludf.DUMMYFUNCTION("""COMPUTED_VALUE"""),"S")</f>
        <v>S</v>
      </c>
      <c r="G132" s="202">
        <f ca="1">IFERROR(__xludf.DUMMYFUNCTION("""COMPUTED_VALUE"""),5)</f>
        <v>5</v>
      </c>
      <c r="H132" s="206"/>
      <c r="I132" s="206"/>
      <c r="J132" s="206"/>
      <c r="K132" s="206"/>
      <c r="L132" s="206" t="str">
        <v/>
      </c>
      <c r="M132" s="206" t="str">
        <v/>
      </c>
    </row>
    <row r="133" spans="1:13" ht="14.4">
      <c r="A133" s="199" t="str">
        <f ca="1">IFERROR(__xludf.DUMMYFUNCTION("""COMPUTED_VALUE"""),"CCC")</f>
        <v>CCC</v>
      </c>
      <c r="B133" s="207" t="str">
        <f ca="1">IFERROR(__xludf.DUMMYFUNCTION("""COMPUTED_VALUE"""),"Trey Gagermeier")</f>
        <v>Trey Gagermeier</v>
      </c>
      <c r="C133" s="199">
        <f ca="1">IFERROR(__xludf.DUMMYFUNCTION("""COMPUTED_VALUE"""),14)</f>
        <v>14</v>
      </c>
      <c r="D133" s="199" t="str">
        <f ca="1">IFERROR(__xludf.DUMMYFUNCTION("""COMPUTED_VALUE"""),"B")</f>
        <v>B</v>
      </c>
      <c r="E133" s="202" t="str">
        <f ca="1">IFERROR(__xludf.DUMMYFUNCTION("""COMPUTED_VALUE"""),"I")</f>
        <v>I</v>
      </c>
      <c r="F133" s="202" t="str">
        <f ca="1">IFERROR(__xludf.DUMMYFUNCTION("""COMPUTED_VALUE"""),"S")</f>
        <v>S</v>
      </c>
      <c r="G133" s="202">
        <f ca="1">IFERROR(__xludf.DUMMYFUNCTION("""COMPUTED_VALUE"""),5)</f>
        <v>5</v>
      </c>
      <c r="H133" s="206"/>
      <c r="I133" s="206"/>
      <c r="J133" s="206"/>
      <c r="K133" s="206"/>
      <c r="L133" s="206" t="str">
        <v/>
      </c>
      <c r="M133" s="206" t="str">
        <v/>
      </c>
    </row>
    <row r="134" spans="1:13" ht="14.4">
      <c r="A134" s="199" t="str">
        <f ca="1">IFERROR(__xludf.DUMMYFUNCTION("""COMPUTED_VALUE"""),"CCC")</f>
        <v>CCC</v>
      </c>
      <c r="B134" s="207" t="str">
        <f ca="1">IFERROR(__xludf.DUMMYFUNCTION("""COMPUTED_VALUE"""),"Adele Riedel")</f>
        <v>Adele Riedel</v>
      </c>
      <c r="C134" s="199">
        <f ca="1">IFERROR(__xludf.DUMMYFUNCTION("""COMPUTED_VALUE"""),14)</f>
        <v>14</v>
      </c>
      <c r="D134" s="199" t="str">
        <f ca="1">IFERROR(__xludf.DUMMYFUNCTION("""COMPUTED_VALUE"""),"G")</f>
        <v>G</v>
      </c>
      <c r="E134" s="202" t="str">
        <f ca="1">IFERROR(__xludf.DUMMYFUNCTION("""COMPUTED_VALUE"""),"I")</f>
        <v>I</v>
      </c>
      <c r="F134" s="202" t="str">
        <f ca="1">IFERROR(__xludf.DUMMYFUNCTION("""COMPUTED_VALUE"""),"S")</f>
        <v>S</v>
      </c>
      <c r="G134" s="202">
        <f ca="1">IFERROR(__xludf.DUMMYFUNCTION("""COMPUTED_VALUE"""),5)</f>
        <v>5</v>
      </c>
      <c r="H134" s="208"/>
      <c r="I134" s="208"/>
      <c r="J134" s="208"/>
      <c r="K134" s="208"/>
      <c r="L134" s="208" t="str">
        <v/>
      </c>
      <c r="M134" s="208" t="str">
        <v/>
      </c>
    </row>
    <row r="135" spans="1:13" ht="14.4">
      <c r="A135" s="199" t="str">
        <f ca="1">IFERROR(__xludf.DUMMYFUNCTION("""COMPUTED_VALUE"""),"CCC")</f>
        <v>CCC</v>
      </c>
      <c r="B135" s="207" t="str">
        <f ca="1">IFERROR(__xludf.DUMMYFUNCTION("""COMPUTED_VALUE"""),"Lia Gauthier")</f>
        <v>Lia Gauthier</v>
      </c>
      <c r="C135" s="199">
        <f ca="1">IFERROR(__xludf.DUMMYFUNCTION("""COMPUTED_VALUE"""),13)</f>
        <v>13</v>
      </c>
      <c r="D135" s="199" t="str">
        <f ca="1">IFERROR(__xludf.DUMMYFUNCTION("""COMPUTED_VALUE"""),"G")</f>
        <v>G</v>
      </c>
      <c r="E135" s="202" t="str">
        <f ca="1">IFERROR(__xludf.DUMMYFUNCTION("""COMPUTED_VALUE"""),"I")</f>
        <v>I</v>
      </c>
      <c r="F135" s="202" t="str">
        <f ca="1">IFERROR(__xludf.DUMMYFUNCTION("""COMPUTED_VALUE"""),"S")</f>
        <v>S</v>
      </c>
      <c r="G135" s="202">
        <f ca="1">IFERROR(__xludf.DUMMYFUNCTION("""COMPUTED_VALUE"""),5)</f>
        <v>5</v>
      </c>
      <c r="H135" s="206">
        <v>85.75</v>
      </c>
      <c r="I135" s="206"/>
      <c r="J135" s="206" t="s">
        <v>121</v>
      </c>
      <c r="K135" s="206"/>
      <c r="L135" s="206" t="str">
        <v xml:space="preserve"> 85.75</v>
      </c>
      <c r="M135" s="206" t="str">
        <v/>
      </c>
    </row>
    <row r="136" spans="1:13" ht="14.4">
      <c r="A136" s="199" t="str">
        <f ca="1">IFERROR(__xludf.DUMMYFUNCTION("""COMPUTED_VALUE"""),"CCC")</f>
        <v>CCC</v>
      </c>
      <c r="B136" s="207" t="str">
        <f ca="1">IFERROR(__xludf.DUMMYFUNCTION("""COMPUTED_VALUE"""),"Maia McAllister")</f>
        <v>Maia McAllister</v>
      </c>
      <c r="C136" s="199">
        <f ca="1">IFERROR(__xludf.DUMMYFUNCTION("""COMPUTED_VALUE"""),13)</f>
        <v>13</v>
      </c>
      <c r="D136" s="199" t="str">
        <f ca="1">IFERROR(__xludf.DUMMYFUNCTION("""COMPUTED_VALUE"""),"G")</f>
        <v>G</v>
      </c>
      <c r="E136" s="202" t="str">
        <f ca="1">IFERROR(__xludf.DUMMYFUNCTION("""COMPUTED_VALUE"""),"I")</f>
        <v>I</v>
      </c>
      <c r="F136" s="202" t="str">
        <f ca="1">IFERROR(__xludf.DUMMYFUNCTION("""COMPUTED_VALUE"""),"S")</f>
        <v>S</v>
      </c>
      <c r="G136" s="202">
        <f ca="1">IFERROR(__xludf.DUMMYFUNCTION("""COMPUTED_VALUE"""),5)</f>
        <v>5</v>
      </c>
      <c r="H136" s="206">
        <v>119.25</v>
      </c>
      <c r="I136" s="206"/>
      <c r="J136" s="206" t="s">
        <v>121</v>
      </c>
      <c r="K136" s="206"/>
      <c r="L136" s="206" t="str">
        <v xml:space="preserve"> 119.25</v>
      </c>
      <c r="M136" s="206" t="str">
        <v/>
      </c>
    </row>
    <row r="137" spans="1:13" ht="14.4">
      <c r="A137" s="199" t="str">
        <f ca="1">IFERROR(__xludf.DUMMYFUNCTION("""COMPUTED_VALUE"""),"CCC")</f>
        <v>CCC</v>
      </c>
      <c r="B137" s="207" t="str">
        <f ca="1">IFERROR(__xludf.DUMMYFUNCTION("""COMPUTED_VALUE"""),"Jake Themely")</f>
        <v>Jake Themely</v>
      </c>
      <c r="C137" s="199">
        <f ca="1">IFERROR(__xludf.DUMMYFUNCTION("""COMPUTED_VALUE"""),12)</f>
        <v>12</v>
      </c>
      <c r="D137" s="199" t="str">
        <f ca="1">IFERROR(__xludf.DUMMYFUNCTION("""COMPUTED_VALUE"""),"B")</f>
        <v>B</v>
      </c>
      <c r="E137" s="202" t="str">
        <f ca="1">IFERROR(__xludf.DUMMYFUNCTION("""COMPUTED_VALUE"""),"J")</f>
        <v>J</v>
      </c>
      <c r="F137" s="202" t="str">
        <f ca="1">IFERROR(__xludf.DUMMYFUNCTION("""COMPUTED_VALUE"""),"I")</f>
        <v>I</v>
      </c>
      <c r="G137" s="202">
        <f ca="1">IFERROR(__xludf.DUMMYFUNCTION("""COMPUTED_VALUE"""),5)</f>
        <v>5</v>
      </c>
      <c r="H137" s="206"/>
      <c r="I137" s="206"/>
      <c r="J137" s="206"/>
      <c r="K137" s="206"/>
      <c r="L137" s="206" t="str">
        <v/>
      </c>
      <c r="M137" s="206" t="str">
        <v/>
      </c>
    </row>
    <row r="138" spans="1:13" ht="14.4">
      <c r="A138" s="199" t="str">
        <f ca="1">IFERROR(__xludf.DUMMYFUNCTION("""COMPUTED_VALUE"""),"CCC")</f>
        <v>CCC</v>
      </c>
      <c r="B138" s="207" t="str">
        <f ca="1">IFERROR(__xludf.DUMMYFUNCTION("""COMPUTED_VALUE"""),"Max Edgerton")</f>
        <v>Max Edgerton</v>
      </c>
      <c r="C138" s="199">
        <f ca="1">IFERROR(__xludf.DUMMYFUNCTION("""COMPUTED_VALUE"""),11)</f>
        <v>11</v>
      </c>
      <c r="D138" s="199" t="str">
        <f ca="1">IFERROR(__xludf.DUMMYFUNCTION("""COMPUTED_VALUE"""),"B")</f>
        <v>B</v>
      </c>
      <c r="E138" s="202" t="str">
        <f ca="1">IFERROR(__xludf.DUMMYFUNCTION("""COMPUTED_VALUE"""),"J")</f>
        <v>J</v>
      </c>
      <c r="F138" s="202" t="str">
        <f ca="1">IFERROR(__xludf.DUMMYFUNCTION("""COMPUTED_VALUE"""),"I")</f>
        <v>I</v>
      </c>
      <c r="G138" s="202">
        <f ca="1">IFERROR(__xludf.DUMMYFUNCTION("""COMPUTED_VALUE"""),5)</f>
        <v>5</v>
      </c>
      <c r="H138" s="206"/>
      <c r="I138" s="206"/>
      <c r="J138" s="206"/>
      <c r="K138" s="206"/>
      <c r="L138" s="206" t="str">
        <v/>
      </c>
      <c r="M138" s="206" t="str">
        <v/>
      </c>
    </row>
    <row r="139" spans="1:13" ht="14.4">
      <c r="A139" s="199" t="str">
        <f ca="1">IFERROR(__xludf.DUMMYFUNCTION("""COMPUTED_VALUE"""),"CCC")</f>
        <v>CCC</v>
      </c>
      <c r="B139" s="207" t="str">
        <f ca="1">IFERROR(__xludf.DUMMYFUNCTION("""COMPUTED_VALUE"""),"Nate Southworth")</f>
        <v>Nate Southworth</v>
      </c>
      <c r="C139" s="199">
        <f ca="1">IFERROR(__xludf.DUMMYFUNCTION("""COMPUTED_VALUE"""),11)</f>
        <v>11</v>
      </c>
      <c r="D139" s="199" t="str">
        <f ca="1">IFERROR(__xludf.DUMMYFUNCTION("""COMPUTED_VALUE"""),"B")</f>
        <v>B</v>
      </c>
      <c r="E139" s="202" t="str">
        <f ca="1">IFERROR(__xludf.DUMMYFUNCTION("""COMPUTED_VALUE"""),"J")</f>
        <v>J</v>
      </c>
      <c r="F139" s="202" t="str">
        <f ca="1">IFERROR(__xludf.DUMMYFUNCTION("""COMPUTED_VALUE"""),"I")</f>
        <v>I</v>
      </c>
      <c r="G139" s="202">
        <f ca="1">IFERROR(__xludf.DUMMYFUNCTION("""COMPUTED_VALUE"""),5)</f>
        <v>5</v>
      </c>
      <c r="H139" s="206"/>
      <c r="I139" s="206"/>
      <c r="J139" s="206"/>
      <c r="K139" s="206"/>
      <c r="L139" s="206" t="str">
        <v/>
      </c>
      <c r="M139" s="206" t="str">
        <v/>
      </c>
    </row>
    <row r="140" spans="1:13" ht="14.4">
      <c r="A140" s="199" t="str">
        <f ca="1">IFERROR(__xludf.DUMMYFUNCTION("""COMPUTED_VALUE"""),"CCC")</f>
        <v>CCC</v>
      </c>
      <c r="B140" s="207" t="str">
        <f ca="1">IFERROR(__xludf.DUMMYFUNCTION("""COMPUTED_VALUE"""),"Cecilia Wilson")</f>
        <v>Cecilia Wilson</v>
      </c>
      <c r="C140" s="199">
        <f ca="1">IFERROR(__xludf.DUMMYFUNCTION("""COMPUTED_VALUE"""),11)</f>
        <v>11</v>
      </c>
      <c r="D140" s="199" t="str">
        <f ca="1">IFERROR(__xludf.DUMMYFUNCTION("""COMPUTED_VALUE"""),"G")</f>
        <v>G</v>
      </c>
      <c r="E140" s="202" t="str">
        <f ca="1">IFERROR(__xludf.DUMMYFUNCTION("""COMPUTED_VALUE"""),"J")</f>
        <v>J</v>
      </c>
      <c r="F140" s="202" t="str">
        <f ca="1">IFERROR(__xludf.DUMMYFUNCTION("""COMPUTED_VALUE"""),"I")</f>
        <v>I</v>
      </c>
      <c r="G140" s="202">
        <f ca="1">IFERROR(__xludf.DUMMYFUNCTION("""COMPUTED_VALUE"""),5)</f>
        <v>5</v>
      </c>
      <c r="H140" s="206"/>
      <c r="I140" s="206"/>
      <c r="J140" s="206"/>
      <c r="K140" s="206"/>
      <c r="L140" s="206" t="str">
        <v/>
      </c>
      <c r="M140" s="206" t="str">
        <v/>
      </c>
    </row>
    <row r="141" spans="1:13" ht="14.4">
      <c r="A141" s="199" t="str">
        <f ca="1">IFERROR(__xludf.DUMMYFUNCTION("""COMPUTED_VALUE"""),"CCC")</f>
        <v>CCC</v>
      </c>
      <c r="B141" s="207" t="str">
        <f ca="1">IFERROR(__xludf.DUMMYFUNCTION("""COMPUTED_VALUE"""),"Charlotte Knighton")</f>
        <v>Charlotte Knighton</v>
      </c>
      <c r="C141" s="199">
        <f ca="1">IFERROR(__xludf.DUMMYFUNCTION("""COMPUTED_VALUE"""),11)</f>
        <v>11</v>
      </c>
      <c r="D141" s="199" t="str">
        <f ca="1">IFERROR(__xludf.DUMMYFUNCTION("""COMPUTED_VALUE"""),"G")</f>
        <v>G</v>
      </c>
      <c r="E141" s="202" t="str">
        <f ca="1">IFERROR(__xludf.DUMMYFUNCTION("""COMPUTED_VALUE"""),"J")</f>
        <v>J</v>
      </c>
      <c r="F141" s="202" t="str">
        <f ca="1">IFERROR(__xludf.DUMMYFUNCTION("""COMPUTED_VALUE"""),"I")</f>
        <v>I</v>
      </c>
      <c r="G141" s="202">
        <f ca="1">IFERROR(__xludf.DUMMYFUNCTION("""COMPUTED_VALUE"""),5)</f>
        <v>5</v>
      </c>
      <c r="H141" s="206"/>
      <c r="I141" s="206"/>
      <c r="J141" s="206"/>
      <c r="K141" s="206"/>
      <c r="L141" s="206" t="str">
        <v/>
      </c>
      <c r="M141" s="206" t="str">
        <v/>
      </c>
    </row>
    <row r="142" spans="1:13" ht="14.4">
      <c r="A142" s="199" t="str">
        <f ca="1">IFERROR(__xludf.DUMMYFUNCTION("""COMPUTED_VALUE"""),"CCC")</f>
        <v>CCC</v>
      </c>
      <c r="B142" s="207" t="str">
        <f ca="1">IFERROR(__xludf.DUMMYFUNCTION("""COMPUTED_VALUE"""),"Kennedy McIntosh")</f>
        <v>Kennedy McIntosh</v>
      </c>
      <c r="C142" s="199">
        <f ca="1">IFERROR(__xludf.DUMMYFUNCTION("""COMPUTED_VALUE"""),11)</f>
        <v>11</v>
      </c>
      <c r="D142" s="199" t="str">
        <f ca="1">IFERROR(__xludf.DUMMYFUNCTION("""COMPUTED_VALUE"""),"G")</f>
        <v>G</v>
      </c>
      <c r="E142" s="202" t="str">
        <f ca="1">IFERROR(__xludf.DUMMYFUNCTION("""COMPUTED_VALUE"""),"J")</f>
        <v>J</v>
      </c>
      <c r="F142" s="202" t="str">
        <f ca="1">IFERROR(__xludf.DUMMYFUNCTION("""COMPUTED_VALUE"""),"I")</f>
        <v>I</v>
      </c>
      <c r="G142" s="202">
        <f ca="1">IFERROR(__xludf.DUMMYFUNCTION("""COMPUTED_VALUE"""),5)</f>
        <v>5</v>
      </c>
      <c r="H142" s="206">
        <v>48.5</v>
      </c>
      <c r="I142" s="206"/>
      <c r="J142" s="206" t="s">
        <v>121</v>
      </c>
      <c r="K142" s="206"/>
      <c r="L142" s="206" t="str">
        <v xml:space="preserve"> 48.5</v>
      </c>
      <c r="M142" s="206" t="str">
        <v/>
      </c>
    </row>
    <row r="143" spans="1:13" ht="14.4">
      <c r="A143" s="199" t="str">
        <f ca="1">IFERROR(__xludf.DUMMYFUNCTION("""COMPUTED_VALUE"""),"CCC")</f>
        <v>CCC</v>
      </c>
      <c r="B143" s="207" t="str">
        <f ca="1">IFERROR(__xludf.DUMMYFUNCTION("""COMPUTED_VALUE"""),"Colin Greene")</f>
        <v>Colin Greene</v>
      </c>
      <c r="C143" s="199">
        <f ca="1">IFERROR(__xludf.DUMMYFUNCTION("""COMPUTED_VALUE"""),17)</f>
        <v>17</v>
      </c>
      <c r="D143" s="199" t="str">
        <f ca="1">IFERROR(__xludf.DUMMYFUNCTION("""COMPUTED_VALUE"""),"B")</f>
        <v>B</v>
      </c>
      <c r="E143" s="202" t="str">
        <f ca="1">IFERROR(__xludf.DUMMYFUNCTION("""COMPUTED_VALUE"""),"S")</f>
        <v>S</v>
      </c>
      <c r="F143" s="202" t="str">
        <f ca="1">IFERROR(__xludf.DUMMYFUNCTION("""COMPUTED_VALUE"""),"S")</f>
        <v>S</v>
      </c>
      <c r="G143" s="202">
        <f ca="1">IFERROR(__xludf.DUMMYFUNCTION("""COMPUTED_VALUE"""),5)</f>
        <v>5</v>
      </c>
      <c r="H143" s="208"/>
      <c r="I143" s="208">
        <v>191.75</v>
      </c>
      <c r="J143" s="208"/>
      <c r="K143" s="208" t="s">
        <v>121</v>
      </c>
      <c r="L143" s="208" t="str">
        <v xml:space="preserve"> 191.75</v>
      </c>
      <c r="M143" s="208" t="str">
        <v/>
      </c>
    </row>
    <row r="144" spans="1:13" ht="14.4">
      <c r="A144" s="199" t="str">
        <f ca="1">IFERROR(__xludf.DUMMYFUNCTION("""COMPUTED_VALUE"""),"CCC")</f>
        <v>CCC</v>
      </c>
      <c r="B144" s="207" t="str">
        <f ca="1">IFERROR(__xludf.DUMMYFUNCTION("""COMPUTED_VALUE"""),"Claire Conley")</f>
        <v>Claire Conley</v>
      </c>
      <c r="C144" s="199">
        <f ca="1">IFERROR(__xludf.DUMMYFUNCTION("""COMPUTED_VALUE"""),17)</f>
        <v>17</v>
      </c>
      <c r="D144" s="199" t="str">
        <f ca="1">IFERROR(__xludf.DUMMYFUNCTION("""COMPUTED_VALUE"""),"G")</f>
        <v>G</v>
      </c>
      <c r="E144" s="202" t="str">
        <f ca="1">IFERROR(__xludf.DUMMYFUNCTION("""COMPUTED_VALUE"""),"S")</f>
        <v>S</v>
      </c>
      <c r="F144" s="202" t="str">
        <f ca="1">IFERROR(__xludf.DUMMYFUNCTION("""COMPUTED_VALUE"""),"S")</f>
        <v>S</v>
      </c>
      <c r="G144" s="202">
        <f ca="1">IFERROR(__xludf.DUMMYFUNCTION("""COMPUTED_VALUE"""),5)</f>
        <v>5</v>
      </c>
      <c r="H144" s="208">
        <v>144.30000000000001</v>
      </c>
      <c r="I144" s="208"/>
      <c r="J144" s="208" t="s">
        <v>121</v>
      </c>
      <c r="K144" s="208"/>
      <c r="L144" s="208" t="str">
        <v xml:space="preserve"> 144.3</v>
      </c>
      <c r="M144" s="208" t="str">
        <v/>
      </c>
    </row>
    <row r="145" spans="1:13" ht="14.4">
      <c r="A145" s="199" t="str">
        <f ca="1">IFERROR(__xludf.DUMMYFUNCTION("""COMPUTED_VALUE"""),"CCC")</f>
        <v>CCC</v>
      </c>
      <c r="B145" s="207" t="str">
        <f ca="1">IFERROR(__xludf.DUMMYFUNCTION("""COMPUTED_VALUE"""),"Clara McAllister")</f>
        <v>Clara McAllister</v>
      </c>
      <c r="C145" s="199">
        <f ca="1">IFERROR(__xludf.DUMMYFUNCTION("""COMPUTED_VALUE"""),16)</f>
        <v>16</v>
      </c>
      <c r="D145" s="199" t="str">
        <f ca="1">IFERROR(__xludf.DUMMYFUNCTION("""COMPUTED_VALUE"""),"G")</f>
        <v>G</v>
      </c>
      <c r="E145" s="202" t="str">
        <f ca="1">IFERROR(__xludf.DUMMYFUNCTION("""COMPUTED_VALUE"""),"S")</f>
        <v>S</v>
      </c>
      <c r="F145" s="202" t="str">
        <f ca="1">IFERROR(__xludf.DUMMYFUNCTION("""COMPUTED_VALUE"""),"S")</f>
        <v>S</v>
      </c>
      <c r="G145" s="202">
        <f ca="1">IFERROR(__xludf.DUMMYFUNCTION("""COMPUTED_VALUE"""),5)</f>
        <v>5</v>
      </c>
      <c r="H145" s="206"/>
      <c r="I145" s="206"/>
      <c r="J145" s="206"/>
      <c r="K145" s="206"/>
      <c r="L145" s="206" t="str">
        <v/>
      </c>
      <c r="M145" s="206" t="str">
        <v/>
      </c>
    </row>
    <row r="146" spans="1:13" ht="14.4">
      <c r="A146" s="199" t="str">
        <f ca="1">IFERROR(__xludf.DUMMYFUNCTION("""COMPUTED_VALUE"""),"CCC")</f>
        <v>CCC</v>
      </c>
      <c r="B146" s="207" t="str">
        <f ca="1">IFERROR(__xludf.DUMMYFUNCTION("""COMPUTED_VALUE"""),"Lauren Gagermeier")</f>
        <v>Lauren Gagermeier</v>
      </c>
      <c r="C146" s="199">
        <f ca="1">IFERROR(__xludf.DUMMYFUNCTION("""COMPUTED_VALUE"""),17)</f>
        <v>17</v>
      </c>
      <c r="D146" s="199" t="str">
        <f ca="1">IFERROR(__xludf.DUMMYFUNCTION("""COMPUTED_VALUE"""),"G")</f>
        <v>G</v>
      </c>
      <c r="E146" s="202" t="str">
        <f ca="1">IFERROR(__xludf.DUMMYFUNCTION("""COMPUTED_VALUE"""),"S")</f>
        <v>S</v>
      </c>
      <c r="F146" s="202" t="str">
        <f ca="1">IFERROR(__xludf.DUMMYFUNCTION("""COMPUTED_VALUE"""),"S")</f>
        <v>S</v>
      </c>
      <c r="G146" s="202">
        <f ca="1">IFERROR(__xludf.DUMMYFUNCTION("""COMPUTED_VALUE"""),5)</f>
        <v>5</v>
      </c>
      <c r="H146" s="208">
        <v>146.44999999999999</v>
      </c>
      <c r="I146" s="208"/>
      <c r="J146" s="208" t="s">
        <v>121</v>
      </c>
      <c r="K146" s="208"/>
      <c r="L146" s="208" t="str">
        <v xml:space="preserve"> 146.45</v>
      </c>
      <c r="M146" s="208" t="str">
        <v/>
      </c>
    </row>
    <row r="147" spans="1:13" ht="14.4">
      <c r="A147" s="199" t="str">
        <f ca="1">IFERROR(__xludf.DUMMYFUNCTION("""COMPUTED_VALUE"""),"CCC")</f>
        <v>CCC</v>
      </c>
      <c r="B147" s="207" t="str">
        <f ca="1">IFERROR(__xludf.DUMMYFUNCTION("""COMPUTED_VALUE"""),"Micaela Wells")</f>
        <v>Micaela Wells</v>
      </c>
      <c r="C147" s="199">
        <f ca="1">IFERROR(__xludf.DUMMYFUNCTION("""COMPUTED_VALUE"""),16)</f>
        <v>16</v>
      </c>
      <c r="D147" s="199" t="str">
        <f ca="1">IFERROR(__xludf.DUMMYFUNCTION("""COMPUTED_VALUE"""),"G")</f>
        <v>G</v>
      </c>
      <c r="E147" s="202" t="str">
        <f ca="1">IFERROR(__xludf.DUMMYFUNCTION("""COMPUTED_VALUE"""),"S")</f>
        <v>S</v>
      </c>
      <c r="F147" s="202" t="str">
        <f ca="1">IFERROR(__xludf.DUMMYFUNCTION("""COMPUTED_VALUE"""),"S")</f>
        <v>S</v>
      </c>
      <c r="G147" s="202">
        <f ca="1">IFERROR(__xludf.DUMMYFUNCTION("""COMPUTED_VALUE"""),5)</f>
        <v>5</v>
      </c>
      <c r="H147" s="208">
        <v>199.45</v>
      </c>
      <c r="I147" s="208"/>
      <c r="J147" s="208" t="s">
        <v>121</v>
      </c>
      <c r="K147" s="208"/>
      <c r="L147" s="208" t="str">
        <v xml:space="preserve"> 199.45</v>
      </c>
      <c r="M147" s="208" t="str">
        <v/>
      </c>
    </row>
    <row r="148" spans="1:13" ht="14.4">
      <c r="A148" s="199" t="str">
        <f ca="1">IFERROR(__xludf.DUMMYFUNCTION("""COMPUTED_VALUE"""),"CH")</f>
        <v>CH</v>
      </c>
      <c r="B148" s="207" t="str">
        <f ca="1">IFERROR(__xludf.DUMMYFUNCTION("""COMPUTED_VALUE"""),"Aiden Cox")</f>
        <v>Aiden Cox</v>
      </c>
      <c r="C148" s="199">
        <f ca="1">IFERROR(__xludf.DUMMYFUNCTION("""COMPUTED_VALUE"""),7)</f>
        <v>7</v>
      </c>
      <c r="D148" s="199" t="str">
        <f ca="1">IFERROR(__xludf.DUMMYFUNCTION("""COMPUTED_VALUE"""),"B")</f>
        <v>B</v>
      </c>
      <c r="E148" s="202" t="str">
        <f ca="1">IFERROR(__xludf.DUMMYFUNCTION("""COMPUTED_VALUE"""),"F")</f>
        <v>F</v>
      </c>
      <c r="F148" s="202" t="str">
        <f ca="1">IFERROR(__xludf.DUMMYFUNCTION("""COMPUTED_VALUE"""),"J")</f>
        <v>J</v>
      </c>
      <c r="G148" s="202">
        <f ca="1">IFERROR(__xludf.DUMMYFUNCTION("""COMPUTED_VALUE"""),6)</f>
        <v>6</v>
      </c>
      <c r="H148" s="206"/>
      <c r="I148" s="206"/>
      <c r="J148" s="206"/>
      <c r="K148" s="206"/>
      <c r="L148" s="206" t="str">
        <v/>
      </c>
      <c r="M148" s="206" t="str">
        <v/>
      </c>
    </row>
    <row r="149" spans="1:13" ht="14.4">
      <c r="A149" s="199" t="str">
        <f ca="1">IFERROR(__xludf.DUMMYFUNCTION("""COMPUTED_VALUE"""),"CH")</f>
        <v>CH</v>
      </c>
      <c r="B149" s="207" t="str">
        <f ca="1">IFERROR(__xludf.DUMMYFUNCTION("""COMPUTED_VALUE"""),"Andrew Beck")</f>
        <v>Andrew Beck</v>
      </c>
      <c r="C149" s="199">
        <f ca="1">IFERROR(__xludf.DUMMYFUNCTION("""COMPUTED_VALUE"""),5)</f>
        <v>5</v>
      </c>
      <c r="D149" s="199" t="str">
        <f ca="1">IFERROR(__xludf.DUMMYFUNCTION("""COMPUTED_VALUE"""),"B")</f>
        <v>B</v>
      </c>
      <c r="E149" s="202" t="str">
        <f ca="1">IFERROR(__xludf.DUMMYFUNCTION("""COMPUTED_VALUE"""),"F")</f>
        <v>F</v>
      </c>
      <c r="F149" s="202" t="str">
        <f ca="1">IFERROR(__xludf.DUMMYFUNCTION("""COMPUTED_VALUE"""),"J")</f>
        <v>J</v>
      </c>
      <c r="G149" s="202">
        <f ca="1">IFERROR(__xludf.DUMMYFUNCTION("""COMPUTED_VALUE"""),6)</f>
        <v>6</v>
      </c>
      <c r="H149" s="206"/>
      <c r="I149" s="206"/>
      <c r="J149" s="206"/>
      <c r="K149" s="206"/>
      <c r="L149" s="206" t="str">
        <v/>
      </c>
      <c r="M149" s="206" t="str">
        <v/>
      </c>
    </row>
    <row r="150" spans="1:13" ht="14.4">
      <c r="A150" s="199" t="str">
        <f ca="1">IFERROR(__xludf.DUMMYFUNCTION("""COMPUTED_VALUE"""),"CH")</f>
        <v>CH</v>
      </c>
      <c r="B150" s="207" t="str">
        <f ca="1">IFERROR(__xludf.DUMMYFUNCTION("""COMPUTED_VALUE"""),"Bode Pierce")</f>
        <v>Bode Pierce</v>
      </c>
      <c r="C150" s="199">
        <f ca="1">IFERROR(__xludf.DUMMYFUNCTION("""COMPUTED_VALUE"""),9)</f>
        <v>9</v>
      </c>
      <c r="D150" s="199" t="str">
        <f ca="1">IFERROR(__xludf.DUMMYFUNCTION("""COMPUTED_VALUE"""),"B")</f>
        <v>B</v>
      </c>
      <c r="E150" s="202" t="str">
        <f ca="1">IFERROR(__xludf.DUMMYFUNCTION("""COMPUTED_VALUE"""),"F")</f>
        <v>F</v>
      </c>
      <c r="F150" s="202" t="str">
        <f ca="1">IFERROR(__xludf.DUMMYFUNCTION("""COMPUTED_VALUE"""),"J")</f>
        <v>J</v>
      </c>
      <c r="G150" s="202">
        <f ca="1">IFERROR(__xludf.DUMMYFUNCTION("""COMPUTED_VALUE"""),6)</f>
        <v>6</v>
      </c>
      <c r="H150" s="208"/>
      <c r="I150" s="208"/>
      <c r="J150" s="208"/>
      <c r="K150" s="208"/>
      <c r="L150" s="208" t="str">
        <v/>
      </c>
      <c r="M150" s="208" t="str">
        <v/>
      </c>
    </row>
    <row r="151" spans="1:13" ht="14.4">
      <c r="A151" s="199" t="str">
        <f ca="1">IFERROR(__xludf.DUMMYFUNCTION("""COMPUTED_VALUE"""),"CH")</f>
        <v>CH</v>
      </c>
      <c r="B151" s="207" t="str">
        <f ca="1">IFERROR(__xludf.DUMMYFUNCTION("""COMPUTED_VALUE"""),"Calvin Butler")</f>
        <v>Calvin Butler</v>
      </c>
      <c r="C151" s="199">
        <f ca="1">IFERROR(__xludf.DUMMYFUNCTION("""COMPUTED_VALUE"""),8)</f>
        <v>8</v>
      </c>
      <c r="D151" s="199" t="str">
        <f ca="1">IFERROR(__xludf.DUMMYFUNCTION("""COMPUTED_VALUE"""),"B")</f>
        <v>B</v>
      </c>
      <c r="E151" s="202" t="str">
        <f ca="1">IFERROR(__xludf.DUMMYFUNCTION("""COMPUTED_VALUE"""),"F")</f>
        <v>F</v>
      </c>
      <c r="F151" s="202" t="str">
        <f ca="1">IFERROR(__xludf.DUMMYFUNCTION("""COMPUTED_VALUE"""),"J")</f>
        <v>J</v>
      </c>
      <c r="G151" s="202">
        <f ca="1">IFERROR(__xludf.DUMMYFUNCTION("""COMPUTED_VALUE"""),6)</f>
        <v>6</v>
      </c>
      <c r="H151" s="206"/>
      <c r="I151" s="206">
        <v>59.2</v>
      </c>
      <c r="J151" s="206"/>
      <c r="K151" s="206" t="s">
        <v>121</v>
      </c>
      <c r="L151" s="206" t="str">
        <v xml:space="preserve"> 59.2</v>
      </c>
      <c r="M151" s="206" t="str">
        <v/>
      </c>
    </row>
    <row r="152" spans="1:13" ht="14.4">
      <c r="A152" s="199" t="str">
        <f ca="1">IFERROR(__xludf.DUMMYFUNCTION("""COMPUTED_VALUE"""),"CH")</f>
        <v>CH</v>
      </c>
      <c r="B152" s="207" t="str">
        <f ca="1">IFERROR(__xludf.DUMMYFUNCTION("""COMPUTED_VALUE"""),"Camden Dean")</f>
        <v>Camden Dean</v>
      </c>
      <c r="C152" s="199">
        <f ca="1">IFERROR(__xludf.DUMMYFUNCTION("""COMPUTED_VALUE"""),8)</f>
        <v>8</v>
      </c>
      <c r="D152" s="199" t="str">
        <f ca="1">IFERROR(__xludf.DUMMYFUNCTION("""COMPUTED_VALUE"""),"B")</f>
        <v>B</v>
      </c>
      <c r="E152" s="202" t="str">
        <f ca="1">IFERROR(__xludf.DUMMYFUNCTION("""COMPUTED_VALUE"""),"F")</f>
        <v>F</v>
      </c>
      <c r="F152" s="202" t="str">
        <f ca="1">IFERROR(__xludf.DUMMYFUNCTION("""COMPUTED_VALUE"""),"J")</f>
        <v>J</v>
      </c>
      <c r="G152" s="202">
        <f ca="1">IFERROR(__xludf.DUMMYFUNCTION("""COMPUTED_VALUE"""),6)</f>
        <v>6</v>
      </c>
      <c r="H152" s="206"/>
      <c r="I152" s="206"/>
      <c r="J152" s="206"/>
      <c r="K152" s="206"/>
      <c r="L152" s="206" t="str">
        <v/>
      </c>
      <c r="M152" s="206" t="str">
        <v/>
      </c>
    </row>
    <row r="153" spans="1:13" ht="14.4">
      <c r="A153" s="199" t="str">
        <f ca="1">IFERROR(__xludf.DUMMYFUNCTION("""COMPUTED_VALUE"""),"CH")</f>
        <v>CH</v>
      </c>
      <c r="B153" s="207" t="str">
        <f ca="1">IFERROR(__xludf.DUMMYFUNCTION("""COMPUTED_VALUE"""),"Cole Pointkowski")</f>
        <v>Cole Pointkowski</v>
      </c>
      <c r="C153" s="199">
        <f ca="1">IFERROR(__xludf.DUMMYFUNCTION("""COMPUTED_VALUE"""),10)</f>
        <v>10</v>
      </c>
      <c r="D153" s="199" t="str">
        <f ca="1">IFERROR(__xludf.DUMMYFUNCTION("""COMPUTED_VALUE"""),"B")</f>
        <v>B</v>
      </c>
      <c r="E153" s="202" t="str">
        <f ca="1">IFERROR(__xludf.DUMMYFUNCTION("""COMPUTED_VALUE"""),"F")</f>
        <v>F</v>
      </c>
      <c r="F153" s="202" t="str">
        <f ca="1">IFERROR(__xludf.DUMMYFUNCTION("""COMPUTED_VALUE"""),"J")</f>
        <v>J</v>
      </c>
      <c r="G153" s="202">
        <f ca="1">IFERROR(__xludf.DUMMYFUNCTION("""COMPUTED_VALUE"""),6)</f>
        <v>6</v>
      </c>
      <c r="H153" s="208"/>
      <c r="I153" s="208">
        <v>51.6</v>
      </c>
      <c r="J153" s="208"/>
      <c r="K153" s="208" t="s">
        <v>121</v>
      </c>
      <c r="L153" s="208" t="str">
        <v xml:space="preserve"> 51.6</v>
      </c>
      <c r="M153" s="208" t="str">
        <v/>
      </c>
    </row>
    <row r="154" spans="1:13" ht="14.4">
      <c r="A154" s="199" t="str">
        <f ca="1">IFERROR(__xludf.DUMMYFUNCTION("""COMPUTED_VALUE"""),"CH")</f>
        <v>CH</v>
      </c>
      <c r="B154" s="207" t="str">
        <f ca="1">IFERROR(__xludf.DUMMYFUNCTION("""COMPUTED_VALUE"""),"Connell O'Rourke")</f>
        <v>Connell O'Rourke</v>
      </c>
      <c r="C154" s="199">
        <f ca="1">IFERROR(__xludf.DUMMYFUNCTION("""COMPUTED_VALUE"""),9)</f>
        <v>9</v>
      </c>
      <c r="D154" s="199" t="str">
        <f ca="1">IFERROR(__xludf.DUMMYFUNCTION("""COMPUTED_VALUE"""),"B")</f>
        <v>B</v>
      </c>
      <c r="E154" s="202" t="str">
        <f ca="1">IFERROR(__xludf.DUMMYFUNCTION("""COMPUTED_VALUE"""),"F")</f>
        <v>F</v>
      </c>
      <c r="F154" s="202" t="str">
        <f ca="1">IFERROR(__xludf.DUMMYFUNCTION("""COMPUTED_VALUE"""),"J")</f>
        <v>J</v>
      </c>
      <c r="G154" s="202">
        <f ca="1">IFERROR(__xludf.DUMMYFUNCTION("""COMPUTED_VALUE"""),6)</f>
        <v>6</v>
      </c>
      <c r="H154" s="206"/>
      <c r="I154" s="206"/>
      <c r="J154" s="206"/>
      <c r="K154" s="206"/>
      <c r="L154" s="206" t="str">
        <v/>
      </c>
      <c r="M154" s="206" t="str">
        <v/>
      </c>
    </row>
    <row r="155" spans="1:13" ht="14.4">
      <c r="A155" s="199" t="str">
        <f ca="1">IFERROR(__xludf.DUMMYFUNCTION("""COMPUTED_VALUE"""),"CH")</f>
        <v>CH</v>
      </c>
      <c r="B155" s="207" t="str">
        <f ca="1">IFERROR(__xludf.DUMMYFUNCTION("""COMPUTED_VALUE"""),"Dylan Ulmer")</f>
        <v>Dylan Ulmer</v>
      </c>
      <c r="C155" s="199">
        <f ca="1">IFERROR(__xludf.DUMMYFUNCTION("""COMPUTED_VALUE"""),10)</f>
        <v>10</v>
      </c>
      <c r="D155" s="199" t="str">
        <f ca="1">IFERROR(__xludf.DUMMYFUNCTION("""COMPUTED_VALUE"""),"B")</f>
        <v>B</v>
      </c>
      <c r="E155" s="202" t="str">
        <f ca="1">IFERROR(__xludf.DUMMYFUNCTION("""COMPUTED_VALUE"""),"F")</f>
        <v>F</v>
      </c>
      <c r="F155" s="202" t="str">
        <f ca="1">IFERROR(__xludf.DUMMYFUNCTION("""COMPUTED_VALUE"""),"J")</f>
        <v>J</v>
      </c>
      <c r="G155" s="202">
        <f ca="1">IFERROR(__xludf.DUMMYFUNCTION("""COMPUTED_VALUE"""),6)</f>
        <v>6</v>
      </c>
      <c r="H155" s="206"/>
      <c r="I155" s="206"/>
      <c r="J155" s="206"/>
      <c r="K155" s="206"/>
      <c r="L155" s="206" t="str">
        <v/>
      </c>
      <c r="M155" s="206" t="str">
        <v/>
      </c>
    </row>
    <row r="156" spans="1:13" ht="14.4">
      <c r="A156" s="199" t="str">
        <f ca="1">IFERROR(__xludf.DUMMYFUNCTION("""COMPUTED_VALUE"""),"CH")</f>
        <v>CH</v>
      </c>
      <c r="B156" s="207" t="str">
        <f ca="1">IFERROR(__xludf.DUMMYFUNCTION("""COMPUTED_VALUE"""),"Grant Kesler")</f>
        <v>Grant Kesler</v>
      </c>
      <c r="C156" s="199">
        <f ca="1">IFERROR(__xludf.DUMMYFUNCTION("""COMPUTED_VALUE"""),8)</f>
        <v>8</v>
      </c>
      <c r="D156" s="199" t="str">
        <f ca="1">IFERROR(__xludf.DUMMYFUNCTION("""COMPUTED_VALUE"""),"B")</f>
        <v>B</v>
      </c>
      <c r="E156" s="202" t="str">
        <f ca="1">IFERROR(__xludf.DUMMYFUNCTION("""COMPUTED_VALUE"""),"F")</f>
        <v>F</v>
      </c>
      <c r="F156" s="202" t="str">
        <f ca="1">IFERROR(__xludf.DUMMYFUNCTION("""COMPUTED_VALUE"""),"J")</f>
        <v>J</v>
      </c>
      <c r="G156" s="202">
        <f ca="1">IFERROR(__xludf.DUMMYFUNCTION("""COMPUTED_VALUE"""),6)</f>
        <v>6</v>
      </c>
      <c r="H156" s="208"/>
      <c r="I156" s="208"/>
      <c r="J156" s="208"/>
      <c r="K156" s="208"/>
      <c r="L156" s="208" t="str">
        <v/>
      </c>
      <c r="M156" s="208" t="str">
        <v/>
      </c>
    </row>
    <row r="157" spans="1:13" ht="14.4">
      <c r="A157" s="199" t="str">
        <f ca="1">IFERROR(__xludf.DUMMYFUNCTION("""COMPUTED_VALUE"""),"CH")</f>
        <v>CH</v>
      </c>
      <c r="B157" s="207" t="str">
        <f ca="1">IFERROR(__xludf.DUMMYFUNCTION("""COMPUTED_VALUE"""),"Holden Losick")</f>
        <v>Holden Losick</v>
      </c>
      <c r="C157" s="199">
        <f ca="1">IFERROR(__xludf.DUMMYFUNCTION("""COMPUTED_VALUE"""),8)</f>
        <v>8</v>
      </c>
      <c r="D157" s="199" t="str">
        <f ca="1">IFERROR(__xludf.DUMMYFUNCTION("""COMPUTED_VALUE"""),"B")</f>
        <v>B</v>
      </c>
      <c r="E157" s="202" t="str">
        <f ca="1">IFERROR(__xludf.DUMMYFUNCTION("""COMPUTED_VALUE"""),"F")</f>
        <v>F</v>
      </c>
      <c r="F157" s="202" t="str">
        <f ca="1">IFERROR(__xludf.DUMMYFUNCTION("""COMPUTED_VALUE"""),"J")</f>
        <v>J</v>
      </c>
      <c r="G157" s="202">
        <f ca="1">IFERROR(__xludf.DUMMYFUNCTION("""COMPUTED_VALUE"""),6)</f>
        <v>6</v>
      </c>
      <c r="H157" s="206"/>
      <c r="I157" s="206"/>
      <c r="J157" s="206"/>
      <c r="K157" s="206"/>
      <c r="L157" s="206" t="str">
        <v/>
      </c>
      <c r="M157" s="206" t="str">
        <v/>
      </c>
    </row>
    <row r="158" spans="1:13" ht="14.4">
      <c r="A158" s="199" t="str">
        <f ca="1">IFERROR(__xludf.DUMMYFUNCTION("""COMPUTED_VALUE"""),"CH")</f>
        <v>CH</v>
      </c>
      <c r="B158" s="207" t="str">
        <f ca="1">IFERROR(__xludf.DUMMYFUNCTION("""COMPUTED_VALUE"""),"Jack Sumner")</f>
        <v>Jack Sumner</v>
      </c>
      <c r="C158" s="199">
        <f ca="1">IFERROR(__xludf.DUMMYFUNCTION("""COMPUTED_VALUE"""),9)</f>
        <v>9</v>
      </c>
      <c r="D158" s="199" t="str">
        <f ca="1">IFERROR(__xludf.DUMMYFUNCTION("""COMPUTED_VALUE"""),"B")</f>
        <v>B</v>
      </c>
      <c r="E158" s="202" t="str">
        <f ca="1">IFERROR(__xludf.DUMMYFUNCTION("""COMPUTED_VALUE"""),"F")</f>
        <v>F</v>
      </c>
      <c r="F158" s="202" t="str">
        <f ca="1">IFERROR(__xludf.DUMMYFUNCTION("""COMPUTED_VALUE"""),"J")</f>
        <v>J</v>
      </c>
      <c r="G158" s="202">
        <f ca="1">IFERROR(__xludf.DUMMYFUNCTION("""COMPUTED_VALUE"""),6)</f>
        <v>6</v>
      </c>
      <c r="H158" s="206"/>
      <c r="I158" s="206"/>
      <c r="J158" s="206"/>
      <c r="K158" s="206"/>
      <c r="L158" s="206" t="str">
        <v/>
      </c>
      <c r="M158" s="206" t="str">
        <v/>
      </c>
    </row>
    <row r="159" spans="1:13" ht="14.4">
      <c r="A159" s="199" t="str">
        <f ca="1">IFERROR(__xludf.DUMMYFUNCTION("""COMPUTED_VALUE"""),"CH")</f>
        <v>CH</v>
      </c>
      <c r="B159" s="207" t="str">
        <f ca="1">IFERROR(__xludf.DUMMYFUNCTION("""COMPUTED_VALUE"""),"Kian Kazemi")</f>
        <v>Kian Kazemi</v>
      </c>
      <c r="C159" s="199">
        <f ca="1">IFERROR(__xludf.DUMMYFUNCTION("""COMPUTED_VALUE"""),7)</f>
        <v>7</v>
      </c>
      <c r="D159" s="199" t="str">
        <f ca="1">IFERROR(__xludf.DUMMYFUNCTION("""COMPUTED_VALUE"""),"B")</f>
        <v>B</v>
      </c>
      <c r="E159" s="202" t="str">
        <f ca="1">IFERROR(__xludf.DUMMYFUNCTION("""COMPUTED_VALUE"""),"F")</f>
        <v>F</v>
      </c>
      <c r="F159" s="202" t="str">
        <f ca="1">IFERROR(__xludf.DUMMYFUNCTION("""COMPUTED_VALUE"""),"J")</f>
        <v>J</v>
      </c>
      <c r="G159" s="202">
        <f ca="1">IFERROR(__xludf.DUMMYFUNCTION("""COMPUTED_VALUE"""),6)</f>
        <v>6</v>
      </c>
      <c r="H159" s="206"/>
      <c r="I159" s="206"/>
      <c r="J159" s="206"/>
      <c r="K159" s="206"/>
      <c r="L159" s="206" t="str">
        <v/>
      </c>
      <c r="M159" s="206" t="str">
        <v/>
      </c>
    </row>
    <row r="160" spans="1:13" ht="14.4">
      <c r="A160" s="199" t="str">
        <f ca="1">IFERROR(__xludf.DUMMYFUNCTION("""COMPUTED_VALUE"""),"CH")</f>
        <v>CH</v>
      </c>
      <c r="B160" s="207" t="str">
        <f ca="1">IFERROR(__xludf.DUMMYFUNCTION("""COMPUTED_VALUE"""),"Kiki O'Rourke")</f>
        <v>Kiki O'Rourke</v>
      </c>
      <c r="C160" s="199">
        <f ca="1">IFERROR(__xludf.DUMMYFUNCTION("""COMPUTED_VALUE"""),7)</f>
        <v>7</v>
      </c>
      <c r="D160" s="199" t="str">
        <f ca="1">IFERROR(__xludf.DUMMYFUNCTION("""COMPUTED_VALUE"""),"B")</f>
        <v>B</v>
      </c>
      <c r="E160" s="202" t="str">
        <f ca="1">IFERROR(__xludf.DUMMYFUNCTION("""COMPUTED_VALUE"""),"F")</f>
        <v>F</v>
      </c>
      <c r="F160" s="202" t="str">
        <f ca="1">IFERROR(__xludf.DUMMYFUNCTION("""COMPUTED_VALUE"""),"J")</f>
        <v>J</v>
      </c>
      <c r="G160" s="202">
        <f ca="1">IFERROR(__xludf.DUMMYFUNCTION("""COMPUTED_VALUE"""),6)</f>
        <v>6</v>
      </c>
      <c r="H160" s="208"/>
      <c r="I160" s="208"/>
      <c r="J160" s="208"/>
      <c r="K160" s="208"/>
      <c r="L160" s="208" t="str">
        <v/>
      </c>
      <c r="M160" s="208" t="str">
        <v/>
      </c>
    </row>
    <row r="161" spans="1:13" ht="14.4">
      <c r="A161" s="199" t="str">
        <f ca="1">IFERROR(__xludf.DUMMYFUNCTION("""COMPUTED_VALUE"""),"CH")</f>
        <v>CH</v>
      </c>
      <c r="B161" s="207" t="str">
        <f ca="1">IFERROR(__xludf.DUMMYFUNCTION("""COMPUTED_VALUE"""),"Luca Helou")</f>
        <v>Luca Helou</v>
      </c>
      <c r="C161" s="199">
        <f ca="1">IFERROR(__xludf.DUMMYFUNCTION("""COMPUTED_VALUE"""),10)</f>
        <v>10</v>
      </c>
      <c r="D161" s="199" t="str">
        <f ca="1">IFERROR(__xludf.DUMMYFUNCTION("""COMPUTED_VALUE"""),"B")</f>
        <v>B</v>
      </c>
      <c r="E161" s="202" t="str">
        <f ca="1">IFERROR(__xludf.DUMMYFUNCTION("""COMPUTED_VALUE"""),"F")</f>
        <v>F</v>
      </c>
      <c r="F161" s="202" t="str">
        <f ca="1">IFERROR(__xludf.DUMMYFUNCTION("""COMPUTED_VALUE"""),"J")</f>
        <v>J</v>
      </c>
      <c r="G161" s="202">
        <f ca="1">IFERROR(__xludf.DUMMYFUNCTION("""COMPUTED_VALUE"""),6)</f>
        <v>6</v>
      </c>
      <c r="H161" s="208"/>
      <c r="I161" s="208"/>
      <c r="J161" s="208"/>
      <c r="K161" s="208"/>
      <c r="L161" s="208" t="str">
        <v/>
      </c>
      <c r="M161" s="208" t="str">
        <v/>
      </c>
    </row>
    <row r="162" spans="1:13" ht="14.4">
      <c r="A162" s="199" t="str">
        <f ca="1">IFERROR(__xludf.DUMMYFUNCTION("""COMPUTED_VALUE"""),"CH")</f>
        <v>CH</v>
      </c>
      <c r="B162" s="207" t="str">
        <f ca="1">IFERROR(__xludf.DUMMYFUNCTION("""COMPUTED_VALUE"""),"Michael Verderese")</f>
        <v>Michael Verderese</v>
      </c>
      <c r="C162" s="199">
        <f ca="1">IFERROR(__xludf.DUMMYFUNCTION("""COMPUTED_VALUE"""),7)</f>
        <v>7</v>
      </c>
      <c r="D162" s="199" t="str">
        <f ca="1">IFERROR(__xludf.DUMMYFUNCTION("""COMPUTED_VALUE"""),"B")</f>
        <v>B</v>
      </c>
      <c r="E162" s="202" t="str">
        <f ca="1">IFERROR(__xludf.DUMMYFUNCTION("""COMPUTED_VALUE"""),"F")</f>
        <v>F</v>
      </c>
      <c r="F162" s="202" t="str">
        <f ca="1">IFERROR(__xludf.DUMMYFUNCTION("""COMPUTED_VALUE"""),"J")</f>
        <v>J</v>
      </c>
      <c r="G162" s="202">
        <f ca="1">IFERROR(__xludf.DUMMYFUNCTION("""COMPUTED_VALUE"""),6)</f>
        <v>6</v>
      </c>
      <c r="H162" s="208"/>
      <c r="I162" s="208"/>
      <c r="J162" s="208"/>
      <c r="K162" s="208"/>
      <c r="L162" s="208" t="str">
        <v/>
      </c>
      <c r="M162" s="208" t="str">
        <v/>
      </c>
    </row>
    <row r="163" spans="1:13" ht="14.4">
      <c r="A163" s="199" t="str">
        <f ca="1">IFERROR(__xludf.DUMMYFUNCTION("""COMPUTED_VALUE"""),"CH")</f>
        <v>CH</v>
      </c>
      <c r="B163" s="207" t="str">
        <f ca="1">IFERROR(__xludf.DUMMYFUNCTION("""COMPUTED_VALUE"""),"Ryan Helou")</f>
        <v>Ryan Helou</v>
      </c>
      <c r="C163" s="199">
        <f ca="1">IFERROR(__xludf.DUMMYFUNCTION("""COMPUTED_VALUE"""),8)</f>
        <v>8</v>
      </c>
      <c r="D163" s="199" t="str">
        <f ca="1">IFERROR(__xludf.DUMMYFUNCTION("""COMPUTED_VALUE"""),"B")</f>
        <v>B</v>
      </c>
      <c r="E163" s="202" t="str">
        <f ca="1">IFERROR(__xludf.DUMMYFUNCTION("""COMPUTED_VALUE"""),"F")</f>
        <v>F</v>
      </c>
      <c r="F163" s="202" t="str">
        <f ca="1">IFERROR(__xludf.DUMMYFUNCTION("""COMPUTED_VALUE"""),"J")</f>
        <v>J</v>
      </c>
      <c r="G163" s="202">
        <f ca="1">IFERROR(__xludf.DUMMYFUNCTION("""COMPUTED_VALUE"""),6)</f>
        <v>6</v>
      </c>
      <c r="H163" s="206"/>
      <c r="I163" s="206"/>
      <c r="J163" s="206"/>
      <c r="K163" s="206"/>
      <c r="L163" s="206" t="str">
        <v/>
      </c>
      <c r="M163" s="206" t="str">
        <v/>
      </c>
    </row>
    <row r="164" spans="1:13" ht="14.4">
      <c r="A164" s="199" t="str">
        <f ca="1">IFERROR(__xludf.DUMMYFUNCTION("""COMPUTED_VALUE"""),"CH")</f>
        <v>CH</v>
      </c>
      <c r="B164" s="207" t="str">
        <f ca="1">IFERROR(__xludf.DUMMYFUNCTION("""COMPUTED_VALUE"""),"Will Daman")</f>
        <v>Will Daman</v>
      </c>
      <c r="C164" s="199">
        <f ca="1">IFERROR(__xludf.DUMMYFUNCTION("""COMPUTED_VALUE"""),9)</f>
        <v>9</v>
      </c>
      <c r="D164" s="199" t="str">
        <f ca="1">IFERROR(__xludf.DUMMYFUNCTION("""COMPUTED_VALUE"""),"B")</f>
        <v>B</v>
      </c>
      <c r="E164" s="202" t="str">
        <f ca="1">IFERROR(__xludf.DUMMYFUNCTION("""COMPUTED_VALUE"""),"F")</f>
        <v>F</v>
      </c>
      <c r="F164" s="202" t="str">
        <f ca="1">IFERROR(__xludf.DUMMYFUNCTION("""COMPUTED_VALUE"""),"J")</f>
        <v>J</v>
      </c>
      <c r="G164" s="202">
        <f ca="1">IFERROR(__xludf.DUMMYFUNCTION("""COMPUTED_VALUE"""),6)</f>
        <v>6</v>
      </c>
      <c r="H164" s="206"/>
      <c r="I164" s="206">
        <v>52.25</v>
      </c>
      <c r="J164" s="206"/>
      <c r="K164" s="206" t="s">
        <v>121</v>
      </c>
      <c r="L164" s="206" t="str">
        <v xml:space="preserve"> 52.25</v>
      </c>
      <c r="M164" s="206" t="str">
        <v/>
      </c>
    </row>
    <row r="165" spans="1:13" ht="14.4">
      <c r="A165" s="199" t="str">
        <f ca="1">IFERROR(__xludf.DUMMYFUNCTION("""COMPUTED_VALUE"""),"CH")</f>
        <v>CH</v>
      </c>
      <c r="B165" s="207" t="str">
        <f ca="1">IFERROR(__xludf.DUMMYFUNCTION("""COMPUTED_VALUE"""),"William Beck")</f>
        <v>William Beck</v>
      </c>
      <c r="C165" s="199">
        <f ca="1">IFERROR(__xludf.DUMMYFUNCTION("""COMPUTED_VALUE"""),9)</f>
        <v>9</v>
      </c>
      <c r="D165" s="199" t="str">
        <f ca="1">IFERROR(__xludf.DUMMYFUNCTION("""COMPUTED_VALUE"""),"B")</f>
        <v>B</v>
      </c>
      <c r="E165" s="202" t="str">
        <f ca="1">IFERROR(__xludf.DUMMYFUNCTION("""COMPUTED_VALUE"""),"F")</f>
        <v>F</v>
      </c>
      <c r="F165" s="202" t="str">
        <f ca="1">IFERROR(__xludf.DUMMYFUNCTION("""COMPUTED_VALUE"""),"J")</f>
        <v>J</v>
      </c>
      <c r="G165" s="202">
        <f ca="1">IFERROR(__xludf.DUMMYFUNCTION("""COMPUTED_VALUE"""),6)</f>
        <v>6</v>
      </c>
      <c r="H165" s="208"/>
      <c r="I165" s="208"/>
      <c r="J165" s="208"/>
      <c r="K165" s="208"/>
      <c r="L165" s="208" t="str">
        <v/>
      </c>
      <c r="M165" s="208" t="str">
        <v/>
      </c>
    </row>
    <row r="166" spans="1:13" ht="14.4">
      <c r="A166" s="199" t="str">
        <f ca="1">IFERROR(__xludf.DUMMYFUNCTION("""COMPUTED_VALUE"""),"CH")</f>
        <v>CH</v>
      </c>
      <c r="B166" s="207" t="str">
        <f ca="1">IFERROR(__xludf.DUMMYFUNCTION("""COMPUTED_VALUE"""),"Abigail Cassell")</f>
        <v>Abigail Cassell</v>
      </c>
      <c r="C166" s="199">
        <f ca="1">IFERROR(__xludf.DUMMYFUNCTION("""COMPUTED_VALUE"""),8)</f>
        <v>8</v>
      </c>
      <c r="D166" s="199" t="str">
        <f ca="1">IFERROR(__xludf.DUMMYFUNCTION("""COMPUTED_VALUE"""),"G")</f>
        <v>G</v>
      </c>
      <c r="E166" s="202" t="str">
        <f ca="1">IFERROR(__xludf.DUMMYFUNCTION("""COMPUTED_VALUE"""),"F")</f>
        <v>F</v>
      </c>
      <c r="F166" s="202" t="str">
        <f ca="1">IFERROR(__xludf.DUMMYFUNCTION("""COMPUTED_VALUE"""),"J")</f>
        <v>J</v>
      </c>
      <c r="G166" s="202">
        <f ca="1">IFERROR(__xludf.DUMMYFUNCTION("""COMPUTED_VALUE"""),6)</f>
        <v>6</v>
      </c>
      <c r="H166" s="208"/>
      <c r="I166" s="208"/>
      <c r="J166" s="208"/>
      <c r="K166" s="208"/>
      <c r="L166" s="208" t="str">
        <v/>
      </c>
      <c r="M166" s="208" t="str">
        <v/>
      </c>
    </row>
    <row r="167" spans="1:13" ht="14.4">
      <c r="A167" s="199" t="str">
        <f ca="1">IFERROR(__xludf.DUMMYFUNCTION("""COMPUTED_VALUE"""),"CH")</f>
        <v>CH</v>
      </c>
      <c r="B167" s="207" t="str">
        <f ca="1">IFERROR(__xludf.DUMMYFUNCTION("""COMPUTED_VALUE"""),"Claire Verderese")</f>
        <v>Claire Verderese</v>
      </c>
      <c r="C167" s="199">
        <f ca="1">IFERROR(__xludf.DUMMYFUNCTION("""COMPUTED_VALUE"""),8)</f>
        <v>8</v>
      </c>
      <c r="D167" s="199" t="str">
        <f ca="1">IFERROR(__xludf.DUMMYFUNCTION("""COMPUTED_VALUE"""),"G")</f>
        <v>G</v>
      </c>
      <c r="E167" s="202" t="str">
        <f ca="1">IFERROR(__xludf.DUMMYFUNCTION("""COMPUTED_VALUE"""),"F")</f>
        <v>F</v>
      </c>
      <c r="F167" s="202" t="str">
        <f ca="1">IFERROR(__xludf.DUMMYFUNCTION("""COMPUTED_VALUE"""),"J")</f>
        <v>J</v>
      </c>
      <c r="G167" s="202">
        <f ca="1">IFERROR(__xludf.DUMMYFUNCTION("""COMPUTED_VALUE"""),6)</f>
        <v>6</v>
      </c>
      <c r="H167" s="206"/>
      <c r="I167" s="206"/>
      <c r="J167" s="206"/>
      <c r="K167" s="206"/>
      <c r="L167" s="206" t="str">
        <v/>
      </c>
      <c r="M167" s="206" t="str">
        <v/>
      </c>
    </row>
    <row r="168" spans="1:13" ht="14.4">
      <c r="A168" s="199" t="str">
        <f ca="1">IFERROR(__xludf.DUMMYFUNCTION("""COMPUTED_VALUE"""),"CH")</f>
        <v>CH</v>
      </c>
      <c r="B168" s="207" t="str">
        <f ca="1">IFERROR(__xludf.DUMMYFUNCTION("""COMPUTED_VALUE"""),"Ellison Gilman")</f>
        <v>Ellison Gilman</v>
      </c>
      <c r="C168" s="199">
        <f ca="1">IFERROR(__xludf.DUMMYFUNCTION("""COMPUTED_VALUE"""),9)</f>
        <v>9</v>
      </c>
      <c r="D168" s="199" t="str">
        <f ca="1">IFERROR(__xludf.DUMMYFUNCTION("""COMPUTED_VALUE"""),"G")</f>
        <v>G</v>
      </c>
      <c r="E168" s="202" t="str">
        <f ca="1">IFERROR(__xludf.DUMMYFUNCTION("""COMPUTED_VALUE"""),"F")</f>
        <v>F</v>
      </c>
      <c r="F168" s="202" t="str">
        <f ca="1">IFERROR(__xludf.DUMMYFUNCTION("""COMPUTED_VALUE"""),"J")</f>
        <v>J</v>
      </c>
      <c r="G168" s="202">
        <f ca="1">IFERROR(__xludf.DUMMYFUNCTION("""COMPUTED_VALUE"""),6)</f>
        <v>6</v>
      </c>
      <c r="H168" s="208"/>
      <c r="I168" s="208"/>
      <c r="J168" s="208"/>
      <c r="K168" s="208"/>
      <c r="L168" s="208" t="str">
        <v/>
      </c>
      <c r="M168" s="208" t="str">
        <v/>
      </c>
    </row>
    <row r="169" spans="1:13" ht="14.4">
      <c r="A169" s="199" t="str">
        <f ca="1">IFERROR(__xludf.DUMMYFUNCTION("""COMPUTED_VALUE"""),"CH")</f>
        <v>CH</v>
      </c>
      <c r="B169" s="207" t="str">
        <f ca="1">IFERROR(__xludf.DUMMYFUNCTION("""COMPUTED_VALUE"""),"Fiona St.GermIn")</f>
        <v>Fiona St.GermIn</v>
      </c>
      <c r="C169" s="199">
        <f ca="1">IFERROR(__xludf.DUMMYFUNCTION("""COMPUTED_VALUE"""),7)</f>
        <v>7</v>
      </c>
      <c r="D169" s="199" t="str">
        <f ca="1">IFERROR(__xludf.DUMMYFUNCTION("""COMPUTED_VALUE"""),"G")</f>
        <v>G</v>
      </c>
      <c r="E169" s="202" t="str">
        <f ca="1">IFERROR(__xludf.DUMMYFUNCTION("""COMPUTED_VALUE"""),"F")</f>
        <v>F</v>
      </c>
      <c r="F169" s="202" t="str">
        <f ca="1">IFERROR(__xludf.DUMMYFUNCTION("""COMPUTED_VALUE"""),"J")</f>
        <v>J</v>
      </c>
      <c r="G169" s="202">
        <f ca="1">IFERROR(__xludf.DUMMYFUNCTION("""COMPUTED_VALUE"""),6)</f>
        <v>6</v>
      </c>
      <c r="H169" s="208"/>
      <c r="I169" s="208"/>
      <c r="J169" s="208"/>
      <c r="K169" s="208"/>
      <c r="L169" s="208" t="str">
        <v/>
      </c>
      <c r="M169" s="208" t="str">
        <v/>
      </c>
    </row>
    <row r="170" spans="1:13" ht="14.4">
      <c r="A170" s="199" t="str">
        <f ca="1">IFERROR(__xludf.DUMMYFUNCTION("""COMPUTED_VALUE"""),"CH")</f>
        <v>CH</v>
      </c>
      <c r="B170" s="207" t="str">
        <f ca="1">IFERROR(__xludf.DUMMYFUNCTION("""COMPUTED_VALUE"""),"Gwyneth Clifton")</f>
        <v>Gwyneth Clifton</v>
      </c>
      <c r="C170" s="199">
        <f ca="1">IFERROR(__xludf.DUMMYFUNCTION("""COMPUTED_VALUE"""),10)</f>
        <v>10</v>
      </c>
      <c r="D170" s="199" t="str">
        <f ca="1">IFERROR(__xludf.DUMMYFUNCTION("""COMPUTED_VALUE"""),"G")</f>
        <v>G</v>
      </c>
      <c r="E170" s="202" t="str">
        <f ca="1">IFERROR(__xludf.DUMMYFUNCTION("""COMPUTED_VALUE"""),"F")</f>
        <v>F</v>
      </c>
      <c r="F170" s="202" t="str">
        <f ca="1">IFERROR(__xludf.DUMMYFUNCTION("""COMPUTED_VALUE"""),"J")</f>
        <v>J</v>
      </c>
      <c r="G170" s="202">
        <f ca="1">IFERROR(__xludf.DUMMYFUNCTION("""COMPUTED_VALUE"""),6)</f>
        <v>6</v>
      </c>
      <c r="H170" s="208"/>
      <c r="I170" s="208"/>
      <c r="J170" s="208"/>
      <c r="K170" s="208"/>
      <c r="L170" s="208" t="str">
        <v/>
      </c>
      <c r="M170" s="208" t="str">
        <v/>
      </c>
    </row>
    <row r="171" spans="1:13" ht="14.4">
      <c r="A171" s="199" t="str">
        <f ca="1">IFERROR(__xludf.DUMMYFUNCTION("""COMPUTED_VALUE"""),"CH")</f>
        <v>CH</v>
      </c>
      <c r="B171" s="207" t="str">
        <f ca="1">IFERROR(__xludf.DUMMYFUNCTION("""COMPUTED_VALUE"""),"Izzy Kreps")</f>
        <v>Izzy Kreps</v>
      </c>
      <c r="C171" s="199">
        <f ca="1">IFERROR(__xludf.DUMMYFUNCTION("""COMPUTED_VALUE"""),8)</f>
        <v>8</v>
      </c>
      <c r="D171" s="199" t="str">
        <f ca="1">IFERROR(__xludf.DUMMYFUNCTION("""COMPUTED_VALUE"""),"G")</f>
        <v>G</v>
      </c>
      <c r="E171" s="202" t="str">
        <f ca="1">IFERROR(__xludf.DUMMYFUNCTION("""COMPUTED_VALUE"""),"F")</f>
        <v>F</v>
      </c>
      <c r="F171" s="202" t="str">
        <f ca="1">IFERROR(__xludf.DUMMYFUNCTION("""COMPUTED_VALUE"""),"J")</f>
        <v>J</v>
      </c>
      <c r="G171" s="202">
        <f ca="1">IFERROR(__xludf.DUMMYFUNCTION("""COMPUTED_VALUE"""),6)</f>
        <v>6</v>
      </c>
      <c r="H171" s="206"/>
      <c r="I171" s="206"/>
      <c r="J171" s="206"/>
      <c r="K171" s="206"/>
      <c r="L171" s="206" t="str">
        <v/>
      </c>
      <c r="M171" s="206" t="str">
        <v/>
      </c>
    </row>
    <row r="172" spans="1:13" ht="14.4">
      <c r="A172" s="199" t="str">
        <f ca="1">IFERROR(__xludf.DUMMYFUNCTION("""COMPUTED_VALUE"""),"CH")</f>
        <v>CH</v>
      </c>
      <c r="B172" s="207" t="str">
        <f ca="1">IFERROR(__xludf.DUMMYFUNCTION("""COMPUTED_VALUE"""),"Joanna Jue")</f>
        <v>Joanna Jue</v>
      </c>
      <c r="C172" s="199">
        <f ca="1">IFERROR(__xludf.DUMMYFUNCTION("""COMPUTED_VALUE"""),10)</f>
        <v>10</v>
      </c>
      <c r="D172" s="199" t="str">
        <f ca="1">IFERROR(__xludf.DUMMYFUNCTION("""COMPUTED_VALUE"""),"G")</f>
        <v>G</v>
      </c>
      <c r="E172" s="202" t="str">
        <f ca="1">IFERROR(__xludf.DUMMYFUNCTION("""COMPUTED_VALUE"""),"F")</f>
        <v>F</v>
      </c>
      <c r="F172" s="202" t="str">
        <f ca="1">IFERROR(__xludf.DUMMYFUNCTION("""COMPUTED_VALUE"""),"J")</f>
        <v>J</v>
      </c>
      <c r="G172" s="202">
        <f ca="1">IFERROR(__xludf.DUMMYFUNCTION("""COMPUTED_VALUE"""),6)</f>
        <v>6</v>
      </c>
      <c r="H172" s="206"/>
      <c r="I172" s="206"/>
      <c r="J172" s="206"/>
      <c r="K172" s="206"/>
      <c r="L172" s="206" t="str">
        <v/>
      </c>
      <c r="M172" s="206" t="str">
        <v/>
      </c>
    </row>
    <row r="173" spans="1:13" ht="14.4">
      <c r="A173" s="199" t="str">
        <f ca="1">IFERROR(__xludf.DUMMYFUNCTION("""COMPUTED_VALUE"""),"CH")</f>
        <v>CH</v>
      </c>
      <c r="B173" s="207" t="str">
        <f ca="1">IFERROR(__xludf.DUMMYFUNCTION("""COMPUTED_VALUE"""),"Katie Clague")</f>
        <v>Katie Clague</v>
      </c>
      <c r="C173" s="199">
        <f ca="1">IFERROR(__xludf.DUMMYFUNCTION("""COMPUTED_VALUE"""),10)</f>
        <v>10</v>
      </c>
      <c r="D173" s="199" t="str">
        <f ca="1">IFERROR(__xludf.DUMMYFUNCTION("""COMPUTED_VALUE"""),"G")</f>
        <v>G</v>
      </c>
      <c r="E173" s="202" t="str">
        <f ca="1">IFERROR(__xludf.DUMMYFUNCTION("""COMPUTED_VALUE"""),"F")</f>
        <v>F</v>
      </c>
      <c r="F173" s="202" t="str">
        <f ca="1">IFERROR(__xludf.DUMMYFUNCTION("""COMPUTED_VALUE"""),"J")</f>
        <v>J</v>
      </c>
      <c r="G173" s="202">
        <f ca="1">IFERROR(__xludf.DUMMYFUNCTION("""COMPUTED_VALUE"""),6)</f>
        <v>6</v>
      </c>
      <c r="H173" s="206">
        <v>61.55</v>
      </c>
      <c r="I173" s="206"/>
      <c r="J173" s="206" t="s">
        <v>121</v>
      </c>
      <c r="K173" s="206"/>
      <c r="L173" s="206" t="str">
        <v xml:space="preserve"> 61.55</v>
      </c>
      <c r="M173" s="206" t="str">
        <v/>
      </c>
    </row>
    <row r="174" spans="1:13" ht="14.4">
      <c r="A174" s="199" t="str">
        <f ca="1">IFERROR(__xludf.DUMMYFUNCTION("""COMPUTED_VALUE"""),"CH")</f>
        <v>CH</v>
      </c>
      <c r="B174" s="207" t="str">
        <f ca="1">IFERROR(__xludf.DUMMYFUNCTION("""COMPUTED_VALUE"""),"Lily Apgar")</f>
        <v>Lily Apgar</v>
      </c>
      <c r="C174" s="199">
        <f ca="1">IFERROR(__xludf.DUMMYFUNCTION("""COMPUTED_VALUE"""),7)</f>
        <v>7</v>
      </c>
      <c r="D174" s="199" t="str">
        <f ca="1">IFERROR(__xludf.DUMMYFUNCTION("""COMPUTED_VALUE"""),"G")</f>
        <v>G</v>
      </c>
      <c r="E174" s="202" t="str">
        <f ca="1">IFERROR(__xludf.DUMMYFUNCTION("""COMPUTED_VALUE"""),"F")</f>
        <v>F</v>
      </c>
      <c r="F174" s="202" t="str">
        <f ca="1">IFERROR(__xludf.DUMMYFUNCTION("""COMPUTED_VALUE"""),"J")</f>
        <v>J</v>
      </c>
      <c r="G174" s="202">
        <f ca="1">IFERROR(__xludf.DUMMYFUNCTION("""COMPUTED_VALUE"""),6)</f>
        <v>6</v>
      </c>
      <c r="H174" s="208"/>
      <c r="I174" s="208"/>
      <c r="J174" s="208"/>
      <c r="K174" s="208"/>
      <c r="L174" s="208" t="str">
        <v/>
      </c>
      <c r="M174" s="208" t="str">
        <v/>
      </c>
    </row>
    <row r="175" spans="1:13" ht="14.4">
      <c r="A175" s="199" t="str">
        <f ca="1">IFERROR(__xludf.DUMMYFUNCTION("""COMPUTED_VALUE"""),"CH")</f>
        <v>CH</v>
      </c>
      <c r="B175" s="207" t="str">
        <f ca="1">IFERROR(__xludf.DUMMYFUNCTION("""COMPUTED_VALUE"""),"Lucy Kesler")</f>
        <v>Lucy Kesler</v>
      </c>
      <c r="C175" s="199">
        <f ca="1">IFERROR(__xludf.DUMMYFUNCTION("""COMPUTED_VALUE"""),10)</f>
        <v>10</v>
      </c>
      <c r="D175" s="199" t="str">
        <f ca="1">IFERROR(__xludf.DUMMYFUNCTION("""COMPUTED_VALUE"""),"G")</f>
        <v>G</v>
      </c>
      <c r="E175" s="202" t="str">
        <f ca="1">IFERROR(__xludf.DUMMYFUNCTION("""COMPUTED_VALUE"""),"F")</f>
        <v>F</v>
      </c>
      <c r="F175" s="202" t="str">
        <f ca="1">IFERROR(__xludf.DUMMYFUNCTION("""COMPUTED_VALUE"""),"J")</f>
        <v>J</v>
      </c>
      <c r="G175" s="202">
        <f ca="1">IFERROR(__xludf.DUMMYFUNCTION("""COMPUTED_VALUE"""),6)</f>
        <v>6</v>
      </c>
      <c r="H175" s="206"/>
      <c r="I175" s="206"/>
      <c r="J175" s="206"/>
      <c r="K175" s="206"/>
      <c r="L175" s="206" t="str">
        <v/>
      </c>
      <c r="M175" s="206" t="str">
        <v/>
      </c>
    </row>
    <row r="176" spans="1:13" ht="14.4">
      <c r="A176" s="199" t="str">
        <f ca="1">IFERROR(__xludf.DUMMYFUNCTION("""COMPUTED_VALUE"""),"CH")</f>
        <v>CH</v>
      </c>
      <c r="B176" s="207" t="str">
        <f ca="1">IFERROR(__xludf.DUMMYFUNCTION("""COMPUTED_VALUE"""),"Margot Jue")</f>
        <v>Margot Jue</v>
      </c>
      <c r="C176" s="199">
        <f ca="1">IFERROR(__xludf.DUMMYFUNCTION("""COMPUTED_VALUE"""),8)</f>
        <v>8</v>
      </c>
      <c r="D176" s="199" t="str">
        <f ca="1">IFERROR(__xludf.DUMMYFUNCTION("""COMPUTED_VALUE"""),"G")</f>
        <v>G</v>
      </c>
      <c r="E176" s="202" t="str">
        <f ca="1">IFERROR(__xludf.DUMMYFUNCTION("""COMPUTED_VALUE"""),"F")</f>
        <v>F</v>
      </c>
      <c r="F176" s="202" t="str">
        <f ca="1">IFERROR(__xludf.DUMMYFUNCTION("""COMPUTED_VALUE"""),"J")</f>
        <v>J</v>
      </c>
      <c r="G176" s="202">
        <f ca="1">IFERROR(__xludf.DUMMYFUNCTION("""COMPUTED_VALUE"""),6)</f>
        <v>6</v>
      </c>
      <c r="H176" s="206"/>
      <c r="I176" s="206"/>
      <c r="J176" s="206"/>
      <c r="K176" s="206"/>
      <c r="L176" s="206" t="str">
        <v/>
      </c>
      <c r="M176" s="206" t="str">
        <v/>
      </c>
    </row>
    <row r="177" spans="1:13" ht="14.4">
      <c r="A177" s="199" t="str">
        <f ca="1">IFERROR(__xludf.DUMMYFUNCTION("""COMPUTED_VALUE"""),"CH")</f>
        <v>CH</v>
      </c>
      <c r="B177" s="207" t="str">
        <f ca="1">IFERROR(__xludf.DUMMYFUNCTION("""COMPUTED_VALUE"""),"Marianna McKinnon")</f>
        <v>Marianna McKinnon</v>
      </c>
      <c r="C177" s="199">
        <f ca="1">IFERROR(__xludf.DUMMYFUNCTION("""COMPUTED_VALUE"""),9)</f>
        <v>9</v>
      </c>
      <c r="D177" s="199" t="str">
        <f ca="1">IFERROR(__xludf.DUMMYFUNCTION("""COMPUTED_VALUE"""),"G")</f>
        <v>G</v>
      </c>
      <c r="E177" s="202" t="str">
        <f ca="1">IFERROR(__xludf.DUMMYFUNCTION("""COMPUTED_VALUE"""),"F")</f>
        <v>F</v>
      </c>
      <c r="F177" s="202" t="str">
        <f ca="1">IFERROR(__xludf.DUMMYFUNCTION("""COMPUTED_VALUE"""),"J")</f>
        <v>J</v>
      </c>
      <c r="G177" s="202">
        <f ca="1">IFERROR(__xludf.DUMMYFUNCTION("""COMPUTED_VALUE"""),6)</f>
        <v>6</v>
      </c>
      <c r="H177" s="206">
        <v>52.4</v>
      </c>
      <c r="I177" s="206"/>
      <c r="J177" s="206" t="s">
        <v>121</v>
      </c>
      <c r="K177" s="206"/>
      <c r="L177" s="206" t="str">
        <v xml:space="preserve"> 52.4</v>
      </c>
      <c r="M177" s="206" t="str">
        <v/>
      </c>
    </row>
    <row r="178" spans="1:13" ht="14.4">
      <c r="A178" s="199" t="str">
        <f ca="1">IFERROR(__xludf.DUMMYFUNCTION("""COMPUTED_VALUE"""),"CH")</f>
        <v>CH</v>
      </c>
      <c r="B178" s="207" t="str">
        <f ca="1">IFERROR(__xludf.DUMMYFUNCTION("""COMPUTED_VALUE"""),"Megan Dean")</f>
        <v>Megan Dean</v>
      </c>
      <c r="C178" s="199">
        <f ca="1">IFERROR(__xludf.DUMMYFUNCTION("""COMPUTED_VALUE"""),10)</f>
        <v>10</v>
      </c>
      <c r="D178" s="199" t="str">
        <f ca="1">IFERROR(__xludf.DUMMYFUNCTION("""COMPUTED_VALUE"""),"G")</f>
        <v>G</v>
      </c>
      <c r="E178" s="202" t="str">
        <f ca="1">IFERROR(__xludf.DUMMYFUNCTION("""COMPUTED_VALUE"""),"F")</f>
        <v>F</v>
      </c>
      <c r="F178" s="202" t="str">
        <f ca="1">IFERROR(__xludf.DUMMYFUNCTION("""COMPUTED_VALUE"""),"J")</f>
        <v>J</v>
      </c>
      <c r="G178" s="202">
        <f ca="1">IFERROR(__xludf.DUMMYFUNCTION("""COMPUTED_VALUE"""),6)</f>
        <v>6</v>
      </c>
      <c r="H178" s="208"/>
      <c r="I178" s="208"/>
      <c r="J178" s="208"/>
      <c r="K178" s="208"/>
      <c r="L178" s="208" t="str">
        <v/>
      </c>
      <c r="M178" s="208" t="str">
        <v/>
      </c>
    </row>
    <row r="179" spans="1:13" ht="14.4">
      <c r="A179" s="199" t="str">
        <f ca="1">IFERROR(__xludf.DUMMYFUNCTION("""COMPUTED_VALUE"""),"CH")</f>
        <v>CH</v>
      </c>
      <c r="B179" s="207" t="str">
        <f ca="1">IFERROR(__xludf.DUMMYFUNCTION("""COMPUTED_VALUE"""),"Olivia Engelhardt")</f>
        <v>Olivia Engelhardt</v>
      </c>
      <c r="C179" s="199">
        <f ca="1">IFERROR(__xludf.DUMMYFUNCTION("""COMPUTED_VALUE"""),8)</f>
        <v>8</v>
      </c>
      <c r="D179" s="199" t="str">
        <f ca="1">IFERROR(__xludf.DUMMYFUNCTION("""COMPUTED_VALUE"""),"G")</f>
        <v>G</v>
      </c>
      <c r="E179" s="202" t="str">
        <f ca="1">IFERROR(__xludf.DUMMYFUNCTION("""COMPUTED_VALUE"""),"F")</f>
        <v>F</v>
      </c>
      <c r="F179" s="202" t="str">
        <f ca="1">IFERROR(__xludf.DUMMYFUNCTION("""COMPUTED_VALUE"""),"J")</f>
        <v>J</v>
      </c>
      <c r="G179" s="202">
        <f ca="1">IFERROR(__xludf.DUMMYFUNCTION("""COMPUTED_VALUE"""),6)</f>
        <v>6</v>
      </c>
      <c r="H179" s="206"/>
      <c r="I179" s="206"/>
      <c r="J179" s="206"/>
      <c r="K179" s="206"/>
      <c r="L179" s="206" t="str">
        <v/>
      </c>
      <c r="M179" s="206" t="str">
        <v/>
      </c>
    </row>
    <row r="180" spans="1:13" ht="14.4">
      <c r="A180" s="199" t="str">
        <f ca="1">IFERROR(__xludf.DUMMYFUNCTION("""COMPUTED_VALUE"""),"CH")</f>
        <v>CH</v>
      </c>
      <c r="B180" s="207" t="str">
        <f ca="1">IFERROR(__xludf.DUMMYFUNCTION("""COMPUTED_VALUE"""),"Eli Lauber")</f>
        <v>Eli Lauber</v>
      </c>
      <c r="C180" s="199">
        <f ca="1">IFERROR(__xludf.DUMMYFUNCTION("""COMPUTED_VALUE"""),13)</f>
        <v>13</v>
      </c>
      <c r="D180" s="199" t="str">
        <f ca="1">IFERROR(__xludf.DUMMYFUNCTION("""COMPUTED_VALUE"""),"B")</f>
        <v>B</v>
      </c>
      <c r="E180" s="202" t="str">
        <f ca="1">IFERROR(__xludf.DUMMYFUNCTION("""COMPUTED_VALUE"""),"I")</f>
        <v>I</v>
      </c>
      <c r="F180" s="202" t="str">
        <f ca="1">IFERROR(__xludf.DUMMYFUNCTION("""COMPUTED_VALUE"""),"S")</f>
        <v>S</v>
      </c>
      <c r="G180" s="202">
        <f ca="1">IFERROR(__xludf.DUMMYFUNCTION("""COMPUTED_VALUE"""),6)</f>
        <v>6</v>
      </c>
      <c r="H180" s="208"/>
      <c r="I180" s="208"/>
      <c r="J180" s="208"/>
      <c r="K180" s="208"/>
      <c r="L180" s="208" t="str">
        <v/>
      </c>
      <c r="M180" s="208" t="str">
        <v/>
      </c>
    </row>
    <row r="181" spans="1:13" ht="14.4">
      <c r="A181" s="199" t="str">
        <f ca="1">IFERROR(__xludf.DUMMYFUNCTION("""COMPUTED_VALUE"""),"CH")</f>
        <v>CH</v>
      </c>
      <c r="B181" s="207" t="str">
        <f ca="1">IFERROR(__xludf.DUMMYFUNCTION("""COMPUTED_VALUE"""),"Henry Keeler")</f>
        <v>Henry Keeler</v>
      </c>
      <c r="C181" s="199">
        <f ca="1">IFERROR(__xludf.DUMMYFUNCTION("""COMPUTED_VALUE"""),13)</f>
        <v>13</v>
      </c>
      <c r="D181" s="199" t="str">
        <f ca="1">IFERROR(__xludf.DUMMYFUNCTION("""COMPUTED_VALUE"""),"B")</f>
        <v>B</v>
      </c>
      <c r="E181" s="202" t="str">
        <f ca="1">IFERROR(__xludf.DUMMYFUNCTION("""COMPUTED_VALUE"""),"I")</f>
        <v>I</v>
      </c>
      <c r="F181" s="202" t="str">
        <f ca="1">IFERROR(__xludf.DUMMYFUNCTION("""COMPUTED_VALUE"""),"S")</f>
        <v>S</v>
      </c>
      <c r="G181" s="202">
        <f ca="1">IFERROR(__xludf.DUMMYFUNCTION("""COMPUTED_VALUE"""),6)</f>
        <v>6</v>
      </c>
      <c r="H181" s="208"/>
      <c r="I181" s="208"/>
      <c r="J181" s="208"/>
      <c r="K181" s="208"/>
      <c r="L181" s="208" t="str">
        <v/>
      </c>
      <c r="M181" s="208" t="str">
        <v/>
      </c>
    </row>
    <row r="182" spans="1:13" ht="14.4">
      <c r="A182" s="199" t="str">
        <f ca="1">IFERROR(__xludf.DUMMYFUNCTION("""COMPUTED_VALUE"""),"CH")</f>
        <v>CH</v>
      </c>
      <c r="B182" s="207" t="str">
        <f ca="1">IFERROR(__xludf.DUMMYFUNCTION("""COMPUTED_VALUE"""),"Reed Clifton")</f>
        <v>Reed Clifton</v>
      </c>
      <c r="C182" s="199">
        <f ca="1">IFERROR(__xludf.DUMMYFUNCTION("""COMPUTED_VALUE"""),13)</f>
        <v>13</v>
      </c>
      <c r="D182" s="199" t="str">
        <f ca="1">IFERROR(__xludf.DUMMYFUNCTION("""COMPUTED_VALUE"""),"B")</f>
        <v>B</v>
      </c>
      <c r="E182" s="202" t="str">
        <f ca="1">IFERROR(__xludf.DUMMYFUNCTION("""COMPUTED_VALUE"""),"I")</f>
        <v>I</v>
      </c>
      <c r="F182" s="202" t="str">
        <f ca="1">IFERROR(__xludf.DUMMYFUNCTION("""COMPUTED_VALUE"""),"S")</f>
        <v>S</v>
      </c>
      <c r="G182" s="202">
        <f ca="1">IFERROR(__xludf.DUMMYFUNCTION("""COMPUTED_VALUE"""),6)</f>
        <v>6</v>
      </c>
      <c r="H182" s="208"/>
      <c r="I182" s="208"/>
      <c r="J182" s="208"/>
      <c r="K182" s="208"/>
      <c r="L182" s="208" t="str">
        <v/>
      </c>
      <c r="M182" s="208" t="str">
        <v/>
      </c>
    </row>
    <row r="183" spans="1:13" ht="14.4">
      <c r="A183" s="199" t="str">
        <f ca="1">IFERROR(__xludf.DUMMYFUNCTION("""COMPUTED_VALUE"""),"CH")</f>
        <v>CH</v>
      </c>
      <c r="B183" s="207" t="str">
        <f ca="1">IFERROR(__xludf.DUMMYFUNCTION("""COMPUTED_VALUE"""),"Uday Sidhu")</f>
        <v>Uday Sidhu</v>
      </c>
      <c r="C183" s="199">
        <f ca="1">IFERROR(__xludf.DUMMYFUNCTION("""COMPUTED_VALUE"""),13)</f>
        <v>13</v>
      </c>
      <c r="D183" s="199" t="str">
        <f ca="1">IFERROR(__xludf.DUMMYFUNCTION("""COMPUTED_VALUE"""),"B")</f>
        <v>B</v>
      </c>
      <c r="E183" s="202" t="str">
        <f ca="1">IFERROR(__xludf.DUMMYFUNCTION("""COMPUTED_VALUE"""),"I")</f>
        <v>I</v>
      </c>
      <c r="F183" s="202" t="str">
        <f ca="1">IFERROR(__xludf.DUMMYFUNCTION("""COMPUTED_VALUE"""),"S")</f>
        <v>S</v>
      </c>
      <c r="G183" s="202">
        <f ca="1">IFERROR(__xludf.DUMMYFUNCTION("""COMPUTED_VALUE"""),6)</f>
        <v>6</v>
      </c>
      <c r="H183" s="206"/>
      <c r="I183" s="206">
        <v>95.7</v>
      </c>
      <c r="J183" s="206"/>
      <c r="K183" s="206" t="s">
        <v>121</v>
      </c>
      <c r="L183" s="206" t="str">
        <v xml:space="preserve"> 95.7</v>
      </c>
      <c r="M183" s="206" t="str">
        <v/>
      </c>
    </row>
    <row r="184" spans="1:13" ht="14.4">
      <c r="A184" s="199" t="str">
        <f ca="1">IFERROR(__xludf.DUMMYFUNCTION("""COMPUTED_VALUE"""),"CH")</f>
        <v>CH</v>
      </c>
      <c r="B184" s="207" t="str">
        <f ca="1">IFERROR(__xludf.DUMMYFUNCTION("""COMPUTED_VALUE"""),"William Feuchter")</f>
        <v>William Feuchter</v>
      </c>
      <c r="C184" s="199">
        <f ca="1">IFERROR(__xludf.DUMMYFUNCTION("""COMPUTED_VALUE"""),13)</f>
        <v>13</v>
      </c>
      <c r="D184" s="199" t="str">
        <f ca="1">IFERROR(__xludf.DUMMYFUNCTION("""COMPUTED_VALUE"""),"B")</f>
        <v>B</v>
      </c>
      <c r="E184" s="202" t="str">
        <f ca="1">IFERROR(__xludf.DUMMYFUNCTION("""COMPUTED_VALUE"""),"I")</f>
        <v>I</v>
      </c>
      <c r="F184" s="202" t="str">
        <f ca="1">IFERROR(__xludf.DUMMYFUNCTION("""COMPUTED_VALUE"""),"S")</f>
        <v>S</v>
      </c>
      <c r="G184" s="202">
        <f ca="1">IFERROR(__xludf.DUMMYFUNCTION("""COMPUTED_VALUE"""),6)</f>
        <v>6</v>
      </c>
      <c r="H184" s="206"/>
      <c r="I184" s="206">
        <v>121.85</v>
      </c>
      <c r="J184" s="206"/>
      <c r="K184" s="206" t="s">
        <v>121</v>
      </c>
      <c r="L184" s="206" t="str">
        <v xml:space="preserve"> 121.85</v>
      </c>
      <c r="M184" s="206" t="str">
        <v/>
      </c>
    </row>
    <row r="185" spans="1:13" ht="14.4">
      <c r="A185" s="199" t="str">
        <f ca="1">IFERROR(__xludf.DUMMYFUNCTION("""COMPUTED_VALUE"""),"CH")</f>
        <v>CH</v>
      </c>
      <c r="B185" s="207" t="str">
        <f ca="1">IFERROR(__xludf.DUMMYFUNCTION("""COMPUTED_VALUE"""),"Allie Reback")</f>
        <v>Allie Reback</v>
      </c>
      <c r="C185" s="199">
        <f ca="1">IFERROR(__xludf.DUMMYFUNCTION("""COMPUTED_VALUE"""),14)</f>
        <v>14</v>
      </c>
      <c r="D185" s="199" t="str">
        <f ca="1">IFERROR(__xludf.DUMMYFUNCTION("""COMPUTED_VALUE"""),"G")</f>
        <v>G</v>
      </c>
      <c r="E185" s="202" t="str">
        <f ca="1">IFERROR(__xludf.DUMMYFUNCTION("""COMPUTED_VALUE"""),"I")</f>
        <v>I</v>
      </c>
      <c r="F185" s="202" t="str">
        <f ca="1">IFERROR(__xludf.DUMMYFUNCTION("""COMPUTED_VALUE"""),"S")</f>
        <v>S</v>
      </c>
      <c r="G185" s="202">
        <f ca="1">IFERROR(__xludf.DUMMYFUNCTION("""COMPUTED_VALUE"""),6)</f>
        <v>6</v>
      </c>
      <c r="H185" s="206">
        <v>117.6</v>
      </c>
      <c r="I185" s="206"/>
      <c r="J185" s="206" t="s">
        <v>121</v>
      </c>
      <c r="K185" s="206"/>
      <c r="L185" s="206" t="str">
        <v xml:space="preserve"> 117.6</v>
      </c>
      <c r="M185" s="206" t="str">
        <v/>
      </c>
    </row>
    <row r="186" spans="1:13" ht="14.4">
      <c r="A186" s="199" t="str">
        <f ca="1">IFERROR(__xludf.DUMMYFUNCTION("""COMPUTED_VALUE"""),"CH")</f>
        <v>CH</v>
      </c>
      <c r="B186" s="207" t="str">
        <f ca="1">IFERROR(__xludf.DUMMYFUNCTION("""COMPUTED_VALUE"""),"Carly Engelhardt")</f>
        <v>Carly Engelhardt</v>
      </c>
      <c r="C186" s="199">
        <f ca="1">IFERROR(__xludf.DUMMYFUNCTION("""COMPUTED_VALUE"""),13)</f>
        <v>13</v>
      </c>
      <c r="D186" s="199" t="str">
        <f ca="1">IFERROR(__xludf.DUMMYFUNCTION("""COMPUTED_VALUE"""),"G")</f>
        <v>G</v>
      </c>
      <c r="E186" s="202" t="str">
        <f ca="1">IFERROR(__xludf.DUMMYFUNCTION("""COMPUTED_VALUE"""),"I")</f>
        <v>I</v>
      </c>
      <c r="F186" s="202" t="str">
        <f ca="1">IFERROR(__xludf.DUMMYFUNCTION("""COMPUTED_VALUE"""),"S")</f>
        <v>S</v>
      </c>
      <c r="G186" s="202">
        <f ca="1">IFERROR(__xludf.DUMMYFUNCTION("""COMPUTED_VALUE"""),6)</f>
        <v>6</v>
      </c>
      <c r="H186" s="206"/>
      <c r="I186" s="206"/>
      <c r="J186" s="206"/>
      <c r="K186" s="206"/>
      <c r="L186" s="206" t="str">
        <v/>
      </c>
      <c r="M186" s="206" t="str">
        <v/>
      </c>
    </row>
    <row r="187" spans="1:13" ht="14.4">
      <c r="A187" s="199" t="str">
        <f ca="1">IFERROR(__xludf.DUMMYFUNCTION("""COMPUTED_VALUE"""),"CH")</f>
        <v>CH</v>
      </c>
      <c r="B187" s="207" t="str">
        <f ca="1">IFERROR(__xludf.DUMMYFUNCTION("""COMPUTED_VALUE"""),"Claire Casto")</f>
        <v>Claire Casto</v>
      </c>
      <c r="C187" s="199">
        <f ca="1">IFERROR(__xludf.DUMMYFUNCTION("""COMPUTED_VALUE"""),13)</f>
        <v>13</v>
      </c>
      <c r="D187" s="199" t="str">
        <f ca="1">IFERROR(__xludf.DUMMYFUNCTION("""COMPUTED_VALUE"""),"G")</f>
        <v>G</v>
      </c>
      <c r="E187" s="202" t="str">
        <f ca="1">IFERROR(__xludf.DUMMYFUNCTION("""COMPUTED_VALUE"""),"I")</f>
        <v>I</v>
      </c>
      <c r="F187" s="202" t="str">
        <f ca="1">IFERROR(__xludf.DUMMYFUNCTION("""COMPUTED_VALUE"""),"S")</f>
        <v>S</v>
      </c>
      <c r="G187" s="202">
        <f ca="1">IFERROR(__xludf.DUMMYFUNCTION("""COMPUTED_VALUE"""),6)</f>
        <v>6</v>
      </c>
      <c r="H187" s="206"/>
      <c r="I187" s="206"/>
      <c r="J187" s="206"/>
      <c r="K187" s="206"/>
      <c r="L187" s="206" t="str">
        <v/>
      </c>
      <c r="M187" s="206" t="str">
        <v/>
      </c>
    </row>
    <row r="188" spans="1:13" ht="14.4">
      <c r="A188" s="199" t="str">
        <f ca="1">IFERROR(__xludf.DUMMYFUNCTION("""COMPUTED_VALUE"""),"CH")</f>
        <v>CH</v>
      </c>
      <c r="B188" s="207" t="str">
        <f ca="1">IFERROR(__xludf.DUMMYFUNCTION("""COMPUTED_VALUE"""),"Emmy Butler")</f>
        <v>Emmy Butler</v>
      </c>
      <c r="C188" s="199">
        <f ca="1">IFERROR(__xludf.DUMMYFUNCTION("""COMPUTED_VALUE"""),14)</f>
        <v>14</v>
      </c>
      <c r="D188" s="199" t="str">
        <f ca="1">IFERROR(__xludf.DUMMYFUNCTION("""COMPUTED_VALUE"""),"G")</f>
        <v>G</v>
      </c>
      <c r="E188" s="202" t="str">
        <f ca="1">IFERROR(__xludf.DUMMYFUNCTION("""COMPUTED_VALUE"""),"I")</f>
        <v>I</v>
      </c>
      <c r="F188" s="202" t="str">
        <f ca="1">IFERROR(__xludf.DUMMYFUNCTION("""COMPUTED_VALUE"""),"S")</f>
        <v>S</v>
      </c>
      <c r="G188" s="202">
        <f ca="1">IFERROR(__xludf.DUMMYFUNCTION("""COMPUTED_VALUE"""),6)</f>
        <v>6</v>
      </c>
      <c r="H188" s="206"/>
      <c r="I188" s="206"/>
      <c r="J188" s="206"/>
      <c r="K188" s="206"/>
      <c r="L188" s="206" t="str">
        <v/>
      </c>
      <c r="M188" s="206" t="str">
        <v/>
      </c>
    </row>
    <row r="189" spans="1:13" ht="14.4">
      <c r="A189" s="199" t="str">
        <f ca="1">IFERROR(__xludf.DUMMYFUNCTION("""COMPUTED_VALUE"""),"CH")</f>
        <v>CH</v>
      </c>
      <c r="B189" s="207" t="str">
        <f ca="1">IFERROR(__xludf.DUMMYFUNCTION("""COMPUTED_VALUE"""),"Gabi Konde")</f>
        <v>Gabi Konde</v>
      </c>
      <c r="C189" s="199">
        <f ca="1">IFERROR(__xludf.DUMMYFUNCTION("""COMPUTED_VALUE"""),14)</f>
        <v>14</v>
      </c>
      <c r="D189" s="199" t="str">
        <f ca="1">IFERROR(__xludf.DUMMYFUNCTION("""COMPUTED_VALUE"""),"G")</f>
        <v>G</v>
      </c>
      <c r="E189" s="202" t="str">
        <f ca="1">IFERROR(__xludf.DUMMYFUNCTION("""COMPUTED_VALUE"""),"I")</f>
        <v>I</v>
      </c>
      <c r="F189" s="202" t="str">
        <f ca="1">IFERROR(__xludf.DUMMYFUNCTION("""COMPUTED_VALUE"""),"S")</f>
        <v>S</v>
      </c>
      <c r="G189" s="202">
        <f ca="1">IFERROR(__xludf.DUMMYFUNCTION("""COMPUTED_VALUE"""),6)</f>
        <v>6</v>
      </c>
      <c r="H189" s="206">
        <v>90.4</v>
      </c>
      <c r="I189" s="206"/>
      <c r="J189" s="206" t="s">
        <v>121</v>
      </c>
      <c r="K189" s="206"/>
      <c r="L189" s="206" t="str">
        <v xml:space="preserve"> 90.4</v>
      </c>
      <c r="M189" s="206" t="str">
        <v/>
      </c>
    </row>
    <row r="190" spans="1:13" ht="14.4">
      <c r="A190" s="199" t="str">
        <f ca="1">IFERROR(__xludf.DUMMYFUNCTION("""COMPUTED_VALUE"""),"CH")</f>
        <v>CH</v>
      </c>
      <c r="B190" s="207" t="str">
        <f ca="1">IFERROR(__xludf.DUMMYFUNCTION("""COMPUTED_VALUE"""),"Isabel Elliot Ortega")</f>
        <v>Isabel Elliot Ortega</v>
      </c>
      <c r="C190" s="199">
        <f ca="1">IFERROR(__xludf.DUMMYFUNCTION("""COMPUTED_VALUE"""),14)</f>
        <v>14</v>
      </c>
      <c r="D190" s="199" t="str">
        <f ca="1">IFERROR(__xludf.DUMMYFUNCTION("""COMPUTED_VALUE"""),"G")</f>
        <v>G</v>
      </c>
      <c r="E190" s="202" t="str">
        <f ca="1">IFERROR(__xludf.DUMMYFUNCTION("""COMPUTED_VALUE"""),"I")</f>
        <v>I</v>
      </c>
      <c r="F190" s="202" t="str">
        <f ca="1">IFERROR(__xludf.DUMMYFUNCTION("""COMPUTED_VALUE"""),"S")</f>
        <v>S</v>
      </c>
      <c r="G190" s="202">
        <f ca="1">IFERROR(__xludf.DUMMYFUNCTION("""COMPUTED_VALUE"""),6)</f>
        <v>6</v>
      </c>
      <c r="H190" s="206"/>
      <c r="I190" s="206"/>
      <c r="J190" s="206"/>
      <c r="K190" s="206"/>
      <c r="L190" s="206" t="str">
        <v/>
      </c>
      <c r="M190" s="206" t="str">
        <v/>
      </c>
    </row>
    <row r="191" spans="1:13" ht="14.4">
      <c r="A191" s="199" t="str">
        <f ca="1">IFERROR(__xludf.DUMMYFUNCTION("""COMPUTED_VALUE"""),"CH")</f>
        <v>CH</v>
      </c>
      <c r="B191" s="207" t="str">
        <f ca="1">IFERROR(__xludf.DUMMYFUNCTION("""COMPUTED_VALUE"""),"Jane Ferrara")</f>
        <v>Jane Ferrara</v>
      </c>
      <c r="C191" s="199">
        <f ca="1">IFERROR(__xludf.DUMMYFUNCTION("""COMPUTED_VALUE"""),14)</f>
        <v>14</v>
      </c>
      <c r="D191" s="199" t="str">
        <f ca="1">IFERROR(__xludf.DUMMYFUNCTION("""COMPUTED_VALUE"""),"G")</f>
        <v>G</v>
      </c>
      <c r="E191" s="202" t="str">
        <f ca="1">IFERROR(__xludf.DUMMYFUNCTION("""COMPUTED_VALUE"""),"I")</f>
        <v>I</v>
      </c>
      <c r="F191" s="202" t="str">
        <f ca="1">IFERROR(__xludf.DUMMYFUNCTION("""COMPUTED_VALUE"""),"S")</f>
        <v>S</v>
      </c>
      <c r="G191" s="202">
        <f ca="1">IFERROR(__xludf.DUMMYFUNCTION("""COMPUTED_VALUE"""),6)</f>
        <v>6</v>
      </c>
      <c r="H191" s="208"/>
      <c r="I191" s="208"/>
      <c r="J191" s="208"/>
      <c r="K191" s="208"/>
      <c r="L191" s="208" t="str">
        <v/>
      </c>
      <c r="M191" s="208" t="str">
        <v/>
      </c>
    </row>
    <row r="192" spans="1:13" ht="14.4">
      <c r="A192" s="199" t="str">
        <f ca="1">IFERROR(__xludf.DUMMYFUNCTION("""COMPUTED_VALUE"""),"CH")</f>
        <v>CH</v>
      </c>
      <c r="B192" s="207" t="str">
        <f ca="1">IFERROR(__xludf.DUMMYFUNCTION("""COMPUTED_VALUE"""),"JJ Golley")</f>
        <v>JJ Golley</v>
      </c>
      <c r="C192" s="199">
        <f ca="1">IFERROR(__xludf.DUMMYFUNCTION("""COMPUTED_VALUE"""),13)</f>
        <v>13</v>
      </c>
      <c r="D192" s="199" t="str">
        <f ca="1">IFERROR(__xludf.DUMMYFUNCTION("""COMPUTED_VALUE"""),"G")</f>
        <v>G</v>
      </c>
      <c r="E192" s="202" t="str">
        <f ca="1">IFERROR(__xludf.DUMMYFUNCTION("""COMPUTED_VALUE"""),"I")</f>
        <v>I</v>
      </c>
      <c r="F192" s="202" t="str">
        <f ca="1">IFERROR(__xludf.DUMMYFUNCTION("""COMPUTED_VALUE"""),"S")</f>
        <v>S</v>
      </c>
      <c r="G192" s="202">
        <f ca="1">IFERROR(__xludf.DUMMYFUNCTION("""COMPUTED_VALUE"""),6)</f>
        <v>6</v>
      </c>
      <c r="H192" s="208"/>
      <c r="I192" s="208"/>
      <c r="J192" s="208"/>
      <c r="K192" s="208"/>
      <c r="L192" s="208" t="str">
        <v/>
      </c>
      <c r="M192" s="208" t="str">
        <v/>
      </c>
    </row>
    <row r="193" spans="1:13" ht="14.4">
      <c r="A193" s="199" t="str">
        <f ca="1">IFERROR(__xludf.DUMMYFUNCTION("""COMPUTED_VALUE"""),"CH")</f>
        <v>CH</v>
      </c>
      <c r="B193" s="207" t="str">
        <f ca="1">IFERROR(__xludf.DUMMYFUNCTION("""COMPUTED_VALUE"""),"Leah Nguyen")</f>
        <v>Leah Nguyen</v>
      </c>
      <c r="C193" s="199">
        <f ca="1">IFERROR(__xludf.DUMMYFUNCTION("""COMPUTED_VALUE"""),13)</f>
        <v>13</v>
      </c>
      <c r="D193" s="199" t="str">
        <f ca="1">IFERROR(__xludf.DUMMYFUNCTION("""COMPUTED_VALUE"""),"G")</f>
        <v>G</v>
      </c>
      <c r="E193" s="202" t="str">
        <f ca="1">IFERROR(__xludf.DUMMYFUNCTION("""COMPUTED_VALUE"""),"I")</f>
        <v>I</v>
      </c>
      <c r="F193" s="202" t="str">
        <f ca="1">IFERROR(__xludf.DUMMYFUNCTION("""COMPUTED_VALUE"""),"S")</f>
        <v>S</v>
      </c>
      <c r="G193" s="202">
        <f ca="1">IFERROR(__xludf.DUMMYFUNCTION("""COMPUTED_VALUE"""),6)</f>
        <v>6</v>
      </c>
      <c r="H193" s="206"/>
      <c r="I193" s="206"/>
      <c r="J193" s="206"/>
      <c r="K193" s="206"/>
      <c r="L193" s="206" t="str">
        <v/>
      </c>
      <c r="M193" s="206" t="str">
        <v/>
      </c>
    </row>
    <row r="194" spans="1:13" ht="14.4">
      <c r="A194" s="199" t="str">
        <f ca="1">IFERROR(__xludf.DUMMYFUNCTION("""COMPUTED_VALUE"""),"CH")</f>
        <v>CH</v>
      </c>
      <c r="B194" s="207" t="str">
        <f ca="1">IFERROR(__xludf.DUMMYFUNCTION("""COMPUTED_VALUE"""),"Lilly Kate Groves")</f>
        <v>Lilly Kate Groves</v>
      </c>
      <c r="C194" s="199">
        <f ca="1">IFERROR(__xludf.DUMMYFUNCTION("""COMPUTED_VALUE"""),13)</f>
        <v>13</v>
      </c>
      <c r="D194" s="199" t="str">
        <f ca="1">IFERROR(__xludf.DUMMYFUNCTION("""COMPUTED_VALUE"""),"G")</f>
        <v>G</v>
      </c>
      <c r="E194" s="202" t="str">
        <f ca="1">IFERROR(__xludf.DUMMYFUNCTION("""COMPUTED_VALUE"""),"I")</f>
        <v>I</v>
      </c>
      <c r="F194" s="202" t="str">
        <f ca="1">IFERROR(__xludf.DUMMYFUNCTION("""COMPUTED_VALUE"""),"S")</f>
        <v>S</v>
      </c>
      <c r="G194" s="202">
        <f ca="1">IFERROR(__xludf.DUMMYFUNCTION("""COMPUTED_VALUE"""),6)</f>
        <v>6</v>
      </c>
      <c r="H194" s="208"/>
      <c r="I194" s="208"/>
      <c r="J194" s="208"/>
      <c r="K194" s="208"/>
      <c r="L194" s="208" t="str">
        <v/>
      </c>
      <c r="M194" s="208" t="str">
        <v/>
      </c>
    </row>
    <row r="195" spans="1:13" ht="14.4">
      <c r="A195" s="199" t="str">
        <f ca="1">IFERROR(__xludf.DUMMYFUNCTION("""COMPUTED_VALUE"""),"CH")</f>
        <v>CH</v>
      </c>
      <c r="B195" s="207" t="str">
        <f ca="1">IFERROR(__xludf.DUMMYFUNCTION("""COMPUTED_VALUE"""),"Mia Romer")</f>
        <v>Mia Romer</v>
      </c>
      <c r="C195" s="199">
        <f ca="1">IFERROR(__xludf.DUMMYFUNCTION("""COMPUTED_VALUE"""),13)</f>
        <v>13</v>
      </c>
      <c r="D195" s="199" t="str">
        <f ca="1">IFERROR(__xludf.DUMMYFUNCTION("""COMPUTED_VALUE"""),"G")</f>
        <v>G</v>
      </c>
      <c r="E195" s="202" t="str">
        <f ca="1">IFERROR(__xludf.DUMMYFUNCTION("""COMPUTED_VALUE"""),"I")</f>
        <v>I</v>
      </c>
      <c r="F195" s="202" t="str">
        <f ca="1">IFERROR(__xludf.DUMMYFUNCTION("""COMPUTED_VALUE"""),"S")</f>
        <v>S</v>
      </c>
      <c r="G195" s="202">
        <f ca="1">IFERROR(__xludf.DUMMYFUNCTION("""COMPUTED_VALUE"""),6)</f>
        <v>6</v>
      </c>
      <c r="H195" s="208">
        <v>103.95</v>
      </c>
      <c r="I195" s="208"/>
      <c r="J195" s="208" t="s">
        <v>121</v>
      </c>
      <c r="K195" s="208"/>
      <c r="L195" s="208" t="str">
        <v xml:space="preserve"> 103.95</v>
      </c>
      <c r="M195" s="208" t="str">
        <v/>
      </c>
    </row>
    <row r="196" spans="1:13" ht="14.4">
      <c r="A196" s="199" t="str">
        <f ca="1">IFERROR(__xludf.DUMMYFUNCTION("""COMPUTED_VALUE"""),"CH")</f>
        <v>CH</v>
      </c>
      <c r="B196" s="207" t="str">
        <f ca="1">IFERROR(__xludf.DUMMYFUNCTION("""COMPUTED_VALUE"""),"Miranda Elliot Ortega")</f>
        <v>Miranda Elliot Ortega</v>
      </c>
      <c r="C196" s="199">
        <f ca="1">IFERROR(__xludf.DUMMYFUNCTION("""COMPUTED_VALUE"""),14)</f>
        <v>14</v>
      </c>
      <c r="D196" s="199" t="str">
        <f ca="1">IFERROR(__xludf.DUMMYFUNCTION("""COMPUTED_VALUE"""),"G")</f>
        <v>G</v>
      </c>
      <c r="E196" s="202" t="str">
        <f ca="1">IFERROR(__xludf.DUMMYFUNCTION("""COMPUTED_VALUE"""),"I")</f>
        <v>I</v>
      </c>
      <c r="F196" s="202" t="str">
        <f ca="1">IFERROR(__xludf.DUMMYFUNCTION("""COMPUTED_VALUE"""),"S")</f>
        <v>S</v>
      </c>
      <c r="G196" s="202">
        <f ca="1">IFERROR(__xludf.DUMMYFUNCTION("""COMPUTED_VALUE"""),6)</f>
        <v>6</v>
      </c>
      <c r="H196" s="208"/>
      <c r="I196" s="208"/>
      <c r="J196" s="208"/>
      <c r="K196" s="208"/>
      <c r="L196" s="208" t="str">
        <v/>
      </c>
      <c r="M196" s="208" t="str">
        <v/>
      </c>
    </row>
    <row r="197" spans="1:13" ht="14.4">
      <c r="A197" s="199" t="str">
        <f ca="1">IFERROR(__xludf.DUMMYFUNCTION("""COMPUTED_VALUE"""),"CH")</f>
        <v>CH</v>
      </c>
      <c r="B197" s="207" t="str">
        <f ca="1">IFERROR(__xludf.DUMMYFUNCTION("""COMPUTED_VALUE"""),"Natalie Grim")</f>
        <v>Natalie Grim</v>
      </c>
      <c r="C197" s="199">
        <f ca="1">IFERROR(__xludf.DUMMYFUNCTION("""COMPUTED_VALUE"""),13)</f>
        <v>13</v>
      </c>
      <c r="D197" s="199" t="str">
        <f ca="1">IFERROR(__xludf.DUMMYFUNCTION("""COMPUTED_VALUE"""),"G")</f>
        <v>G</v>
      </c>
      <c r="E197" s="202" t="str">
        <f ca="1">IFERROR(__xludf.DUMMYFUNCTION("""COMPUTED_VALUE"""),"I")</f>
        <v>I</v>
      </c>
      <c r="F197" s="202" t="str">
        <f ca="1">IFERROR(__xludf.DUMMYFUNCTION("""COMPUTED_VALUE"""),"S")</f>
        <v>S</v>
      </c>
      <c r="G197" s="202">
        <f ca="1">IFERROR(__xludf.DUMMYFUNCTION("""COMPUTED_VALUE"""),6)</f>
        <v>6</v>
      </c>
      <c r="H197" s="206"/>
      <c r="I197" s="206"/>
      <c r="J197" s="206"/>
      <c r="K197" s="206"/>
      <c r="L197" s="206" t="str">
        <v/>
      </c>
      <c r="M197" s="206" t="str">
        <v/>
      </c>
    </row>
    <row r="198" spans="1:13" ht="14.4">
      <c r="A198" s="199" t="str">
        <f ca="1">IFERROR(__xludf.DUMMYFUNCTION("""COMPUTED_VALUE"""),"CH")</f>
        <v>CH</v>
      </c>
      <c r="B198" s="207" t="str">
        <f ca="1">IFERROR(__xludf.DUMMYFUNCTION("""COMPUTED_VALUE"""),"Chase Pointkowski")</f>
        <v>Chase Pointkowski</v>
      </c>
      <c r="C198" s="199">
        <f ca="1">IFERROR(__xludf.DUMMYFUNCTION("""COMPUTED_VALUE"""),12)</f>
        <v>12</v>
      </c>
      <c r="D198" s="199" t="str">
        <f ca="1">IFERROR(__xludf.DUMMYFUNCTION("""COMPUTED_VALUE"""),"B")</f>
        <v>B</v>
      </c>
      <c r="E198" s="202" t="str">
        <f ca="1">IFERROR(__xludf.DUMMYFUNCTION("""COMPUTED_VALUE"""),"J")</f>
        <v>J</v>
      </c>
      <c r="F198" s="202" t="str">
        <f ca="1">IFERROR(__xludf.DUMMYFUNCTION("""COMPUTED_VALUE"""),"I")</f>
        <v>I</v>
      </c>
      <c r="G198" s="202">
        <f ca="1">IFERROR(__xludf.DUMMYFUNCTION("""COMPUTED_VALUE"""),6)</f>
        <v>6</v>
      </c>
      <c r="H198" s="206"/>
      <c r="I198" s="206">
        <v>85.15</v>
      </c>
      <c r="J198" s="206"/>
      <c r="K198" s="206" t="s">
        <v>121</v>
      </c>
      <c r="L198" s="206" t="str">
        <v xml:space="preserve"> 85.15</v>
      </c>
      <c r="M198" s="206" t="str">
        <v/>
      </c>
    </row>
    <row r="199" spans="1:13" ht="14.4">
      <c r="A199" s="199" t="str">
        <f ca="1">IFERROR(__xludf.DUMMYFUNCTION("""COMPUTED_VALUE"""),"CH")</f>
        <v>CH</v>
      </c>
      <c r="B199" s="207" t="str">
        <f ca="1">IFERROR(__xludf.DUMMYFUNCTION("""COMPUTED_VALUE"""),"Jackson Brabender")</f>
        <v>Jackson Brabender</v>
      </c>
      <c r="C199" s="199">
        <f ca="1">IFERROR(__xludf.DUMMYFUNCTION("""COMPUTED_VALUE"""),11)</f>
        <v>11</v>
      </c>
      <c r="D199" s="199" t="str">
        <f ca="1">IFERROR(__xludf.DUMMYFUNCTION("""COMPUTED_VALUE"""),"B")</f>
        <v>B</v>
      </c>
      <c r="E199" s="202" t="str">
        <f ca="1">IFERROR(__xludf.DUMMYFUNCTION("""COMPUTED_VALUE"""),"J")</f>
        <v>J</v>
      </c>
      <c r="F199" s="202" t="str">
        <f ca="1">IFERROR(__xludf.DUMMYFUNCTION("""COMPUTED_VALUE"""),"I")</f>
        <v>I</v>
      </c>
      <c r="G199" s="202">
        <f ca="1">IFERROR(__xludf.DUMMYFUNCTION("""COMPUTED_VALUE"""),6)</f>
        <v>6</v>
      </c>
      <c r="H199" s="206"/>
      <c r="I199" s="206"/>
      <c r="J199" s="206"/>
      <c r="K199" s="206"/>
      <c r="L199" s="206" t="str">
        <v/>
      </c>
      <c r="M199" s="206" t="str">
        <v/>
      </c>
    </row>
    <row r="200" spans="1:13" ht="14.4">
      <c r="A200" s="199" t="str">
        <f ca="1">IFERROR(__xludf.DUMMYFUNCTION("""COMPUTED_VALUE"""),"CH")</f>
        <v>CH</v>
      </c>
      <c r="B200" s="207" t="str">
        <f ca="1">IFERROR(__xludf.DUMMYFUNCTION("""COMPUTED_VALUE"""),"Jayden Naughton")</f>
        <v>Jayden Naughton</v>
      </c>
      <c r="C200" s="199">
        <f ca="1">IFERROR(__xludf.DUMMYFUNCTION("""COMPUTED_VALUE"""),11)</f>
        <v>11</v>
      </c>
      <c r="D200" s="199" t="str">
        <f ca="1">IFERROR(__xludf.DUMMYFUNCTION("""COMPUTED_VALUE"""),"B")</f>
        <v>B</v>
      </c>
      <c r="E200" s="202" t="str">
        <f ca="1">IFERROR(__xludf.DUMMYFUNCTION("""COMPUTED_VALUE"""),"J")</f>
        <v>J</v>
      </c>
      <c r="F200" s="202" t="str">
        <f ca="1">IFERROR(__xludf.DUMMYFUNCTION("""COMPUTED_VALUE"""),"I")</f>
        <v>I</v>
      </c>
      <c r="G200" s="202">
        <f ca="1">IFERROR(__xludf.DUMMYFUNCTION("""COMPUTED_VALUE"""),6)</f>
        <v>6</v>
      </c>
      <c r="H200" s="208"/>
      <c r="I200" s="208"/>
      <c r="J200" s="208"/>
      <c r="K200" s="208"/>
      <c r="L200" s="208" t="str">
        <v/>
      </c>
      <c r="M200" s="208" t="str">
        <v/>
      </c>
    </row>
    <row r="201" spans="1:13" ht="14.4">
      <c r="A201" s="199" t="str">
        <f ca="1">IFERROR(__xludf.DUMMYFUNCTION("""COMPUTED_VALUE"""),"CH")</f>
        <v>CH</v>
      </c>
      <c r="B201" s="207" t="str">
        <f ca="1">IFERROR(__xludf.DUMMYFUNCTION("""COMPUTED_VALUE"""),"Josh Nguyen")</f>
        <v>Josh Nguyen</v>
      </c>
      <c r="C201" s="199">
        <f ca="1">IFERROR(__xludf.DUMMYFUNCTION("""COMPUTED_VALUE"""),11)</f>
        <v>11</v>
      </c>
      <c r="D201" s="199" t="str">
        <f ca="1">IFERROR(__xludf.DUMMYFUNCTION("""COMPUTED_VALUE"""),"B")</f>
        <v>B</v>
      </c>
      <c r="E201" s="202" t="str">
        <f ca="1">IFERROR(__xludf.DUMMYFUNCTION("""COMPUTED_VALUE"""),"J")</f>
        <v>J</v>
      </c>
      <c r="F201" s="202" t="str">
        <f ca="1">IFERROR(__xludf.DUMMYFUNCTION("""COMPUTED_VALUE"""),"I")</f>
        <v>I</v>
      </c>
      <c r="G201" s="202">
        <f ca="1">IFERROR(__xludf.DUMMYFUNCTION("""COMPUTED_VALUE"""),6)</f>
        <v>6</v>
      </c>
      <c r="H201" s="208"/>
      <c r="I201" s="208"/>
      <c r="J201" s="208"/>
      <c r="K201" s="208"/>
      <c r="L201" s="208" t="str">
        <v/>
      </c>
      <c r="M201" s="208" t="str">
        <v/>
      </c>
    </row>
    <row r="202" spans="1:13" ht="14.4">
      <c r="A202" s="199" t="str">
        <f ca="1">IFERROR(__xludf.DUMMYFUNCTION("""COMPUTED_VALUE"""),"CH")</f>
        <v>CH</v>
      </c>
      <c r="B202" s="207" t="str">
        <f ca="1">IFERROR(__xludf.DUMMYFUNCTION("""COMPUTED_VALUE"""),"Nate Beck")</f>
        <v>Nate Beck</v>
      </c>
      <c r="C202" s="199">
        <f ca="1">IFERROR(__xludf.DUMMYFUNCTION("""COMPUTED_VALUE"""),12)</f>
        <v>12</v>
      </c>
      <c r="D202" s="199" t="str">
        <f ca="1">IFERROR(__xludf.DUMMYFUNCTION("""COMPUTED_VALUE"""),"B")</f>
        <v>B</v>
      </c>
      <c r="E202" s="202" t="str">
        <f ca="1">IFERROR(__xludf.DUMMYFUNCTION("""COMPUTED_VALUE"""),"J")</f>
        <v>J</v>
      </c>
      <c r="F202" s="202" t="str">
        <f ca="1">IFERROR(__xludf.DUMMYFUNCTION("""COMPUTED_VALUE"""),"I")</f>
        <v>I</v>
      </c>
      <c r="G202" s="202">
        <f ca="1">IFERROR(__xludf.DUMMYFUNCTION("""COMPUTED_VALUE"""),6)</f>
        <v>6</v>
      </c>
      <c r="H202" s="206"/>
      <c r="I202" s="206">
        <v>78.400000000000006</v>
      </c>
      <c r="J202" s="206"/>
      <c r="K202" s="206" t="s">
        <v>121</v>
      </c>
      <c r="L202" s="206" t="str">
        <v xml:space="preserve"> 78.4</v>
      </c>
      <c r="M202" s="206" t="str">
        <v/>
      </c>
    </row>
    <row r="203" spans="1:13" ht="14.4">
      <c r="A203" s="199" t="str">
        <f ca="1">IFERROR(__xludf.DUMMYFUNCTION("""COMPUTED_VALUE"""),"CH")</f>
        <v>CH</v>
      </c>
      <c r="B203" s="207" t="str">
        <f ca="1">IFERROR(__xludf.DUMMYFUNCTION("""COMPUTED_VALUE"""),"Nate Butler")</f>
        <v>Nate Butler</v>
      </c>
      <c r="C203" s="199">
        <f ca="1">IFERROR(__xludf.DUMMYFUNCTION("""COMPUTED_VALUE"""),11)</f>
        <v>11</v>
      </c>
      <c r="D203" s="199" t="str">
        <f ca="1">IFERROR(__xludf.DUMMYFUNCTION("""COMPUTED_VALUE"""),"B")</f>
        <v>B</v>
      </c>
      <c r="E203" s="202" t="str">
        <f ca="1">IFERROR(__xludf.DUMMYFUNCTION("""COMPUTED_VALUE"""),"J")</f>
        <v>J</v>
      </c>
      <c r="F203" s="202" t="str">
        <f ca="1">IFERROR(__xludf.DUMMYFUNCTION("""COMPUTED_VALUE"""),"I")</f>
        <v>I</v>
      </c>
      <c r="G203" s="202">
        <f ca="1">IFERROR(__xludf.DUMMYFUNCTION("""COMPUTED_VALUE"""),6)</f>
        <v>6</v>
      </c>
      <c r="H203" s="208"/>
      <c r="I203" s="208">
        <v>84.2</v>
      </c>
      <c r="J203" s="208"/>
      <c r="K203" s="208" t="s">
        <v>121</v>
      </c>
      <c r="L203" s="208" t="str">
        <v xml:space="preserve"> 84.2</v>
      </c>
      <c r="M203" s="208" t="str">
        <v/>
      </c>
    </row>
    <row r="204" spans="1:13" ht="14.4">
      <c r="A204" s="199" t="str">
        <f ca="1">IFERROR(__xludf.DUMMYFUNCTION("""COMPUTED_VALUE"""),"CH")</f>
        <v>CH</v>
      </c>
      <c r="B204" s="207" t="str">
        <f ca="1">IFERROR(__xludf.DUMMYFUNCTION("""COMPUTED_VALUE"""),"Raja Helou")</f>
        <v>Raja Helou</v>
      </c>
      <c r="C204" s="199">
        <f ca="1">IFERROR(__xludf.DUMMYFUNCTION("""COMPUTED_VALUE"""),12)</f>
        <v>12</v>
      </c>
      <c r="D204" s="199" t="str">
        <f ca="1">IFERROR(__xludf.DUMMYFUNCTION("""COMPUTED_VALUE"""),"B")</f>
        <v>B</v>
      </c>
      <c r="E204" s="202" t="str">
        <f ca="1">IFERROR(__xludf.DUMMYFUNCTION("""COMPUTED_VALUE"""),"J")</f>
        <v>J</v>
      </c>
      <c r="F204" s="202" t="str">
        <f ca="1">IFERROR(__xludf.DUMMYFUNCTION("""COMPUTED_VALUE"""),"I")</f>
        <v>I</v>
      </c>
      <c r="G204" s="202">
        <f ca="1">IFERROR(__xludf.DUMMYFUNCTION("""COMPUTED_VALUE"""),6)</f>
        <v>6</v>
      </c>
      <c r="H204" s="206"/>
      <c r="I204" s="206"/>
      <c r="J204" s="206"/>
      <c r="K204" s="206"/>
      <c r="L204" s="206" t="str">
        <v/>
      </c>
      <c r="M204" s="206" t="str">
        <v/>
      </c>
    </row>
    <row r="205" spans="1:13" ht="14.4">
      <c r="A205" s="199" t="str">
        <f ca="1">IFERROR(__xludf.DUMMYFUNCTION("""COMPUTED_VALUE"""),"CH")</f>
        <v>CH</v>
      </c>
      <c r="B205" s="207" t="str">
        <f ca="1">IFERROR(__xludf.DUMMYFUNCTION("""COMPUTED_VALUE"""),"Wesley Apgar")</f>
        <v>Wesley Apgar</v>
      </c>
      <c r="C205" s="199">
        <f ca="1">IFERROR(__xludf.DUMMYFUNCTION("""COMPUTED_VALUE"""),11)</f>
        <v>11</v>
      </c>
      <c r="D205" s="199" t="str">
        <f ca="1">IFERROR(__xludf.DUMMYFUNCTION("""COMPUTED_VALUE"""),"B")</f>
        <v>B</v>
      </c>
      <c r="E205" s="202" t="str">
        <f ca="1">IFERROR(__xludf.DUMMYFUNCTION("""COMPUTED_VALUE"""),"J")</f>
        <v>J</v>
      </c>
      <c r="F205" s="202" t="str">
        <f ca="1">IFERROR(__xludf.DUMMYFUNCTION("""COMPUTED_VALUE"""),"I")</f>
        <v>I</v>
      </c>
      <c r="G205" s="202">
        <f ca="1">IFERROR(__xludf.DUMMYFUNCTION("""COMPUTED_VALUE"""),6)</f>
        <v>6</v>
      </c>
      <c r="H205" s="206"/>
      <c r="I205" s="206"/>
      <c r="J205" s="206"/>
      <c r="K205" s="206"/>
      <c r="L205" s="206" t="str">
        <v/>
      </c>
      <c r="M205" s="206" t="str">
        <v/>
      </c>
    </row>
    <row r="206" spans="1:13" ht="14.4">
      <c r="A206" s="199" t="str">
        <f ca="1">IFERROR(__xludf.DUMMYFUNCTION("""COMPUTED_VALUE"""),"CH")</f>
        <v>CH</v>
      </c>
      <c r="B206" s="207" t="str">
        <f ca="1">IFERROR(__xludf.DUMMYFUNCTION("""COMPUTED_VALUE"""),"Zach Herr")</f>
        <v>Zach Herr</v>
      </c>
      <c r="C206" s="199">
        <f ca="1">IFERROR(__xludf.DUMMYFUNCTION("""COMPUTED_VALUE"""),12)</f>
        <v>12</v>
      </c>
      <c r="D206" s="199" t="str">
        <f ca="1">IFERROR(__xludf.DUMMYFUNCTION("""COMPUTED_VALUE"""),"B")</f>
        <v>B</v>
      </c>
      <c r="E206" s="202" t="str">
        <f ca="1">IFERROR(__xludf.DUMMYFUNCTION("""COMPUTED_VALUE"""),"J")</f>
        <v>J</v>
      </c>
      <c r="F206" s="202" t="str">
        <f ca="1">IFERROR(__xludf.DUMMYFUNCTION("""COMPUTED_VALUE"""),"I")</f>
        <v>I</v>
      </c>
      <c r="G206" s="202">
        <f ca="1">IFERROR(__xludf.DUMMYFUNCTION("""COMPUTED_VALUE"""),6)</f>
        <v>6</v>
      </c>
      <c r="H206" s="206"/>
      <c r="I206" s="206"/>
      <c r="J206" s="206"/>
      <c r="K206" s="206"/>
      <c r="L206" s="206" t="str">
        <v/>
      </c>
      <c r="M206" s="206" t="str">
        <v/>
      </c>
    </row>
    <row r="207" spans="1:13" ht="14.4">
      <c r="A207" s="199" t="str">
        <f ca="1">IFERROR(__xludf.DUMMYFUNCTION("""COMPUTED_VALUE"""),"CH")</f>
        <v>CH</v>
      </c>
      <c r="B207" s="207" t="str">
        <f ca="1">IFERROR(__xludf.DUMMYFUNCTION("""COMPUTED_VALUE"""),"Alison Gurganus")</f>
        <v>Alison Gurganus</v>
      </c>
      <c r="C207" s="199">
        <f ca="1">IFERROR(__xludf.DUMMYFUNCTION("""COMPUTED_VALUE"""),12)</f>
        <v>12</v>
      </c>
      <c r="D207" s="199" t="str">
        <f ca="1">IFERROR(__xludf.DUMMYFUNCTION("""COMPUTED_VALUE"""),"G")</f>
        <v>G</v>
      </c>
      <c r="E207" s="202" t="str">
        <f ca="1">IFERROR(__xludf.DUMMYFUNCTION("""COMPUTED_VALUE"""),"J")</f>
        <v>J</v>
      </c>
      <c r="F207" s="202" t="str">
        <f ca="1">IFERROR(__xludf.DUMMYFUNCTION("""COMPUTED_VALUE"""),"I")</f>
        <v>I</v>
      </c>
      <c r="G207" s="202">
        <f ca="1">IFERROR(__xludf.DUMMYFUNCTION("""COMPUTED_VALUE"""),6)</f>
        <v>6</v>
      </c>
      <c r="H207" s="206">
        <v>83.15</v>
      </c>
      <c r="I207" s="206"/>
      <c r="J207" s="206" t="s">
        <v>121</v>
      </c>
      <c r="K207" s="206"/>
      <c r="L207" s="206" t="str">
        <v xml:space="preserve"> 83.15</v>
      </c>
      <c r="M207" s="206" t="str">
        <v/>
      </c>
    </row>
    <row r="208" spans="1:13" ht="14.4">
      <c r="A208" s="199" t="str">
        <f ca="1">IFERROR(__xludf.DUMMYFUNCTION("""COMPUTED_VALUE"""),"CH")</f>
        <v>CH</v>
      </c>
      <c r="B208" s="207" t="str">
        <f ca="1">IFERROR(__xludf.DUMMYFUNCTION("""COMPUTED_VALUE"""),"Annaliese Golley")</f>
        <v>Annaliese Golley</v>
      </c>
      <c r="C208" s="199">
        <f ca="1">IFERROR(__xludf.DUMMYFUNCTION("""COMPUTED_VALUE"""),11)</f>
        <v>11</v>
      </c>
      <c r="D208" s="199" t="str">
        <f ca="1">IFERROR(__xludf.DUMMYFUNCTION("""COMPUTED_VALUE"""),"G")</f>
        <v>G</v>
      </c>
      <c r="E208" s="202" t="str">
        <f ca="1">IFERROR(__xludf.DUMMYFUNCTION("""COMPUTED_VALUE"""),"J")</f>
        <v>J</v>
      </c>
      <c r="F208" s="202" t="str">
        <f ca="1">IFERROR(__xludf.DUMMYFUNCTION("""COMPUTED_VALUE"""),"I")</f>
        <v>I</v>
      </c>
      <c r="G208" s="202">
        <f ca="1">IFERROR(__xludf.DUMMYFUNCTION("""COMPUTED_VALUE"""),6)</f>
        <v>6</v>
      </c>
      <c r="H208" s="208"/>
      <c r="I208" s="208"/>
      <c r="J208" s="208"/>
      <c r="K208" s="208"/>
      <c r="L208" s="208" t="str">
        <v/>
      </c>
      <c r="M208" s="208" t="str">
        <v/>
      </c>
    </row>
    <row r="209" spans="1:13" ht="14.4">
      <c r="A209" s="199" t="str">
        <f ca="1">IFERROR(__xludf.DUMMYFUNCTION("""COMPUTED_VALUE"""),"CH")</f>
        <v>CH</v>
      </c>
      <c r="B209" s="207" t="str">
        <f ca="1">IFERROR(__xludf.DUMMYFUNCTION("""COMPUTED_VALUE"""),"Audrey Conner")</f>
        <v>Audrey Conner</v>
      </c>
      <c r="C209" s="199">
        <f ca="1">IFERROR(__xludf.DUMMYFUNCTION("""COMPUTED_VALUE"""),12)</f>
        <v>12</v>
      </c>
      <c r="D209" s="199" t="str">
        <f ca="1">IFERROR(__xludf.DUMMYFUNCTION("""COMPUTED_VALUE"""),"G")</f>
        <v>G</v>
      </c>
      <c r="E209" s="202" t="str">
        <f ca="1">IFERROR(__xludf.DUMMYFUNCTION("""COMPUTED_VALUE"""),"J")</f>
        <v>J</v>
      </c>
      <c r="F209" s="202" t="str">
        <f ca="1">IFERROR(__xludf.DUMMYFUNCTION("""COMPUTED_VALUE"""),"I")</f>
        <v>I</v>
      </c>
      <c r="G209" s="202">
        <f ca="1">IFERROR(__xludf.DUMMYFUNCTION("""COMPUTED_VALUE"""),6)</f>
        <v>6</v>
      </c>
      <c r="H209" s="208"/>
      <c r="I209" s="208"/>
      <c r="J209" s="208"/>
      <c r="K209" s="208"/>
      <c r="L209" s="208" t="str">
        <v/>
      </c>
      <c r="M209" s="208" t="str">
        <v/>
      </c>
    </row>
    <row r="210" spans="1:13" ht="14.4">
      <c r="A210" s="199" t="str">
        <f ca="1">IFERROR(__xludf.DUMMYFUNCTION("""COMPUTED_VALUE"""),"CH")</f>
        <v>CH</v>
      </c>
      <c r="B210" s="207" t="str">
        <f ca="1">IFERROR(__xludf.DUMMYFUNCTION("""COMPUTED_VALUE"""),"Bethany Kraft")</f>
        <v>Bethany Kraft</v>
      </c>
      <c r="C210" s="199">
        <f ca="1">IFERROR(__xludf.DUMMYFUNCTION("""COMPUTED_VALUE"""),11)</f>
        <v>11</v>
      </c>
      <c r="D210" s="199" t="str">
        <f ca="1">IFERROR(__xludf.DUMMYFUNCTION("""COMPUTED_VALUE"""),"G")</f>
        <v>G</v>
      </c>
      <c r="E210" s="202" t="str">
        <f ca="1">IFERROR(__xludf.DUMMYFUNCTION("""COMPUTED_VALUE"""),"J")</f>
        <v>J</v>
      </c>
      <c r="F210" s="202" t="str">
        <f ca="1">IFERROR(__xludf.DUMMYFUNCTION("""COMPUTED_VALUE"""),"I")</f>
        <v>I</v>
      </c>
      <c r="G210" s="202">
        <f ca="1">IFERROR(__xludf.DUMMYFUNCTION("""COMPUTED_VALUE"""),6)</f>
        <v>6</v>
      </c>
      <c r="H210" s="206"/>
      <c r="I210" s="206"/>
      <c r="J210" s="206"/>
      <c r="K210" s="206"/>
      <c r="L210" s="206" t="str">
        <v/>
      </c>
      <c r="M210" s="206" t="str">
        <v/>
      </c>
    </row>
    <row r="211" spans="1:13" ht="14.4">
      <c r="A211" s="199" t="str">
        <f ca="1">IFERROR(__xludf.DUMMYFUNCTION("""COMPUTED_VALUE"""),"CH")</f>
        <v>CH</v>
      </c>
      <c r="B211" s="207" t="str">
        <f ca="1">IFERROR(__xludf.DUMMYFUNCTION("""COMPUTED_VALUE"""),"Cait Engelhardt")</f>
        <v>Cait Engelhardt</v>
      </c>
      <c r="C211" s="199">
        <f ca="1">IFERROR(__xludf.DUMMYFUNCTION("""COMPUTED_VALUE"""),11)</f>
        <v>11</v>
      </c>
      <c r="D211" s="199" t="str">
        <f ca="1">IFERROR(__xludf.DUMMYFUNCTION("""COMPUTED_VALUE"""),"G")</f>
        <v>G</v>
      </c>
      <c r="E211" s="202" t="str">
        <f ca="1">IFERROR(__xludf.DUMMYFUNCTION("""COMPUTED_VALUE"""),"J")</f>
        <v>J</v>
      </c>
      <c r="F211" s="202" t="str">
        <f ca="1">IFERROR(__xludf.DUMMYFUNCTION("""COMPUTED_VALUE"""),"I")</f>
        <v>I</v>
      </c>
      <c r="G211" s="202">
        <f ca="1">IFERROR(__xludf.DUMMYFUNCTION("""COMPUTED_VALUE"""),6)</f>
        <v>6</v>
      </c>
      <c r="H211" s="206"/>
      <c r="I211" s="206"/>
      <c r="J211" s="206"/>
      <c r="K211" s="206"/>
      <c r="L211" s="206" t="str">
        <v/>
      </c>
      <c r="M211" s="206" t="str">
        <v/>
      </c>
    </row>
    <row r="212" spans="1:13" ht="14.4">
      <c r="A212" s="199" t="str">
        <f ca="1">IFERROR(__xludf.DUMMYFUNCTION("""COMPUTED_VALUE"""),"CH")</f>
        <v>CH</v>
      </c>
      <c r="B212" s="207" t="str">
        <f ca="1">IFERROR(__xludf.DUMMYFUNCTION("""COMPUTED_VALUE"""),"Caitlin Holtaway")</f>
        <v>Caitlin Holtaway</v>
      </c>
      <c r="C212" s="199">
        <f ca="1">IFERROR(__xludf.DUMMYFUNCTION("""COMPUTED_VALUE"""),12)</f>
        <v>12</v>
      </c>
      <c r="D212" s="199" t="str">
        <f ca="1">IFERROR(__xludf.DUMMYFUNCTION("""COMPUTED_VALUE"""),"G")</f>
        <v>G</v>
      </c>
      <c r="E212" s="202" t="str">
        <f ca="1">IFERROR(__xludf.DUMMYFUNCTION("""COMPUTED_VALUE"""),"J")</f>
        <v>J</v>
      </c>
      <c r="F212" s="202" t="str">
        <f ca="1">IFERROR(__xludf.DUMMYFUNCTION("""COMPUTED_VALUE"""),"I")</f>
        <v>I</v>
      </c>
      <c r="G212" s="202">
        <f ca="1">IFERROR(__xludf.DUMMYFUNCTION("""COMPUTED_VALUE"""),6)</f>
        <v>6</v>
      </c>
      <c r="H212" s="206">
        <v>62.5</v>
      </c>
      <c r="I212" s="206"/>
      <c r="J212" s="206" t="s">
        <v>121</v>
      </c>
      <c r="K212" s="206"/>
      <c r="L212" s="206" t="str">
        <v xml:space="preserve"> 62.5</v>
      </c>
      <c r="M212" s="206" t="str">
        <v/>
      </c>
    </row>
    <row r="213" spans="1:13" ht="14.4">
      <c r="A213" s="199" t="str">
        <f ca="1">IFERROR(__xludf.DUMMYFUNCTION("""COMPUTED_VALUE"""),"CH")</f>
        <v>CH</v>
      </c>
      <c r="B213" s="207" t="str">
        <f ca="1">IFERROR(__xludf.DUMMYFUNCTION("""COMPUTED_VALUE"""),"Dani Rothman")</f>
        <v>Dani Rothman</v>
      </c>
      <c r="C213" s="199">
        <f ca="1">IFERROR(__xludf.DUMMYFUNCTION("""COMPUTED_VALUE"""),12)</f>
        <v>12</v>
      </c>
      <c r="D213" s="199" t="str">
        <f ca="1">IFERROR(__xludf.DUMMYFUNCTION("""COMPUTED_VALUE"""),"G")</f>
        <v>G</v>
      </c>
      <c r="E213" s="202" t="str">
        <f ca="1">IFERROR(__xludf.DUMMYFUNCTION("""COMPUTED_VALUE"""),"J")</f>
        <v>J</v>
      </c>
      <c r="F213" s="202" t="str">
        <f ca="1">IFERROR(__xludf.DUMMYFUNCTION("""COMPUTED_VALUE"""),"I")</f>
        <v>I</v>
      </c>
      <c r="G213" s="202">
        <f ca="1">IFERROR(__xludf.DUMMYFUNCTION("""COMPUTED_VALUE"""),6)</f>
        <v>6</v>
      </c>
      <c r="H213" s="208">
        <v>108.65</v>
      </c>
      <c r="I213" s="208"/>
      <c r="J213" s="208" t="s">
        <v>121</v>
      </c>
      <c r="K213" s="208"/>
      <c r="L213" s="208" t="str">
        <v xml:space="preserve"> 108.65</v>
      </c>
      <c r="M213" s="208" t="str">
        <v/>
      </c>
    </row>
    <row r="214" spans="1:13" ht="14.4">
      <c r="A214" s="199" t="str">
        <f ca="1">IFERROR(__xludf.DUMMYFUNCTION("""COMPUTED_VALUE"""),"CH")</f>
        <v>CH</v>
      </c>
      <c r="B214" s="207" t="str">
        <f ca="1">IFERROR(__xludf.DUMMYFUNCTION("""COMPUTED_VALUE"""),"Ella Jaskot")</f>
        <v>Ella Jaskot</v>
      </c>
      <c r="C214" s="199">
        <f ca="1">IFERROR(__xludf.DUMMYFUNCTION("""COMPUTED_VALUE"""),12)</f>
        <v>12</v>
      </c>
      <c r="D214" s="199" t="str">
        <f ca="1">IFERROR(__xludf.DUMMYFUNCTION("""COMPUTED_VALUE"""),"G")</f>
        <v>G</v>
      </c>
      <c r="E214" s="202" t="str">
        <f ca="1">IFERROR(__xludf.DUMMYFUNCTION("""COMPUTED_VALUE"""),"J")</f>
        <v>J</v>
      </c>
      <c r="F214" s="202" t="str">
        <f ca="1">IFERROR(__xludf.DUMMYFUNCTION("""COMPUTED_VALUE"""),"I")</f>
        <v>I</v>
      </c>
      <c r="G214" s="202">
        <f ca="1">IFERROR(__xludf.DUMMYFUNCTION("""COMPUTED_VALUE"""),6)</f>
        <v>6</v>
      </c>
      <c r="H214" s="208"/>
      <c r="I214" s="208"/>
      <c r="J214" s="208"/>
      <c r="K214" s="208"/>
      <c r="L214" s="208" t="str">
        <v/>
      </c>
      <c r="M214" s="208" t="str">
        <v/>
      </c>
    </row>
    <row r="215" spans="1:13" ht="14.4">
      <c r="A215" s="199" t="str">
        <f ca="1">IFERROR(__xludf.DUMMYFUNCTION("""COMPUTED_VALUE"""),"CH")</f>
        <v>CH</v>
      </c>
      <c r="B215" s="207" t="str">
        <f ca="1">IFERROR(__xludf.DUMMYFUNCTION("""COMPUTED_VALUE"""),"Eva Ulmer")</f>
        <v>Eva Ulmer</v>
      </c>
      <c r="C215" s="199">
        <f ca="1">IFERROR(__xludf.DUMMYFUNCTION("""COMPUTED_VALUE"""),12)</f>
        <v>12</v>
      </c>
      <c r="D215" s="199" t="str">
        <f ca="1">IFERROR(__xludf.DUMMYFUNCTION("""COMPUTED_VALUE"""),"G")</f>
        <v>G</v>
      </c>
      <c r="E215" s="202" t="str">
        <f ca="1">IFERROR(__xludf.DUMMYFUNCTION("""COMPUTED_VALUE"""),"J")</f>
        <v>J</v>
      </c>
      <c r="F215" s="202" t="str">
        <f ca="1">IFERROR(__xludf.DUMMYFUNCTION("""COMPUTED_VALUE"""),"I")</f>
        <v>I</v>
      </c>
      <c r="G215" s="202">
        <f ca="1">IFERROR(__xludf.DUMMYFUNCTION("""COMPUTED_VALUE"""),6)</f>
        <v>6</v>
      </c>
      <c r="H215" s="206"/>
      <c r="I215" s="206"/>
      <c r="J215" s="206"/>
      <c r="K215" s="206"/>
      <c r="L215" s="206" t="str">
        <v/>
      </c>
      <c r="M215" s="206" t="str">
        <v/>
      </c>
    </row>
    <row r="216" spans="1:13" ht="14.4">
      <c r="A216" s="199" t="str">
        <f ca="1">IFERROR(__xludf.DUMMYFUNCTION("""COMPUTED_VALUE"""),"CH")</f>
        <v>CH</v>
      </c>
      <c r="B216" s="207" t="str">
        <f ca="1">IFERROR(__xludf.DUMMYFUNCTION("""COMPUTED_VALUE"""),"Laurel Groves")</f>
        <v>Laurel Groves</v>
      </c>
      <c r="C216" s="199">
        <f ca="1">IFERROR(__xludf.DUMMYFUNCTION("""COMPUTED_VALUE"""),11)</f>
        <v>11</v>
      </c>
      <c r="D216" s="199" t="str">
        <f ca="1">IFERROR(__xludf.DUMMYFUNCTION("""COMPUTED_VALUE"""),"G")</f>
        <v>G</v>
      </c>
      <c r="E216" s="202" t="str">
        <f ca="1">IFERROR(__xludf.DUMMYFUNCTION("""COMPUTED_VALUE"""),"J")</f>
        <v>J</v>
      </c>
      <c r="F216" s="202" t="str">
        <f ca="1">IFERROR(__xludf.DUMMYFUNCTION("""COMPUTED_VALUE"""),"I")</f>
        <v>I</v>
      </c>
      <c r="G216" s="202">
        <f ca="1">IFERROR(__xludf.DUMMYFUNCTION("""COMPUTED_VALUE"""),6)</f>
        <v>6</v>
      </c>
      <c r="H216" s="208"/>
      <c r="I216" s="208"/>
      <c r="J216" s="208"/>
      <c r="K216" s="208"/>
      <c r="L216" s="208" t="str">
        <v/>
      </c>
      <c r="M216" s="208" t="str">
        <v/>
      </c>
    </row>
    <row r="217" spans="1:13" ht="14.4">
      <c r="A217" s="199" t="str">
        <f ca="1">IFERROR(__xludf.DUMMYFUNCTION("""COMPUTED_VALUE"""),"CH")</f>
        <v>CH</v>
      </c>
      <c r="B217" s="207" t="str">
        <f ca="1">IFERROR(__xludf.DUMMYFUNCTION("""COMPUTED_VALUE"""),"Rebecca Rothman")</f>
        <v>Rebecca Rothman</v>
      </c>
      <c r="C217" s="199">
        <f ca="1">IFERROR(__xludf.DUMMYFUNCTION("""COMPUTED_VALUE"""),12)</f>
        <v>12</v>
      </c>
      <c r="D217" s="199" t="str">
        <f ca="1">IFERROR(__xludf.DUMMYFUNCTION("""COMPUTED_VALUE"""),"G")</f>
        <v>G</v>
      </c>
      <c r="E217" s="202" t="str">
        <f ca="1">IFERROR(__xludf.DUMMYFUNCTION("""COMPUTED_VALUE"""),"J")</f>
        <v>J</v>
      </c>
      <c r="F217" s="202" t="str">
        <f ca="1">IFERROR(__xludf.DUMMYFUNCTION("""COMPUTED_VALUE"""),"I")</f>
        <v>I</v>
      </c>
      <c r="G217" s="202">
        <f ca="1">IFERROR(__xludf.DUMMYFUNCTION("""COMPUTED_VALUE"""),6)</f>
        <v>6</v>
      </c>
      <c r="H217" s="206">
        <v>82.8</v>
      </c>
      <c r="I217" s="206"/>
      <c r="J217" s="206" t="s">
        <v>121</v>
      </c>
      <c r="K217" s="206"/>
      <c r="L217" s="206" t="str">
        <v xml:space="preserve"> 82.8</v>
      </c>
      <c r="M217" s="206" t="str">
        <v/>
      </c>
    </row>
    <row r="218" spans="1:13" ht="14.4">
      <c r="A218" s="199" t="str">
        <f ca="1">IFERROR(__xludf.DUMMYFUNCTION("""COMPUTED_VALUE"""),"CH")</f>
        <v>CH</v>
      </c>
      <c r="B218" s="207" t="str">
        <f ca="1">IFERROR(__xludf.DUMMYFUNCTION("""COMPUTED_VALUE"""),"Riley Losick")</f>
        <v>Riley Losick</v>
      </c>
      <c r="C218" s="199">
        <f ca="1">IFERROR(__xludf.DUMMYFUNCTION("""COMPUTED_VALUE"""),12)</f>
        <v>12</v>
      </c>
      <c r="D218" s="199" t="str">
        <f ca="1">IFERROR(__xludf.DUMMYFUNCTION("""COMPUTED_VALUE"""),"G")</f>
        <v>G</v>
      </c>
      <c r="E218" s="202" t="str">
        <f ca="1">IFERROR(__xludf.DUMMYFUNCTION("""COMPUTED_VALUE"""),"J")</f>
        <v>J</v>
      </c>
      <c r="F218" s="202" t="str">
        <f ca="1">IFERROR(__xludf.DUMMYFUNCTION("""COMPUTED_VALUE"""),"I")</f>
        <v>I</v>
      </c>
      <c r="G218" s="202">
        <f ca="1">IFERROR(__xludf.DUMMYFUNCTION("""COMPUTED_VALUE"""),6)</f>
        <v>6</v>
      </c>
      <c r="H218" s="206"/>
      <c r="I218" s="206"/>
      <c r="J218" s="206"/>
      <c r="K218" s="206"/>
      <c r="L218" s="206" t="str">
        <v/>
      </c>
      <c r="M218" s="206" t="str">
        <v/>
      </c>
    </row>
    <row r="219" spans="1:13" ht="14.4">
      <c r="A219" s="199" t="str">
        <f ca="1">IFERROR(__xludf.DUMMYFUNCTION("""COMPUTED_VALUE"""),"CH")</f>
        <v>CH</v>
      </c>
      <c r="B219" s="207" t="str">
        <f ca="1">IFERROR(__xludf.DUMMYFUNCTION("""COMPUTED_VALUE"""),"Samantha Apgar")</f>
        <v>Samantha Apgar</v>
      </c>
      <c r="C219" s="199">
        <f ca="1">IFERROR(__xludf.DUMMYFUNCTION("""COMPUTED_VALUE"""),11)</f>
        <v>11</v>
      </c>
      <c r="D219" s="199" t="str">
        <f ca="1">IFERROR(__xludf.DUMMYFUNCTION("""COMPUTED_VALUE"""),"G")</f>
        <v>G</v>
      </c>
      <c r="E219" s="202" t="str">
        <f ca="1">IFERROR(__xludf.DUMMYFUNCTION("""COMPUTED_VALUE"""),"J")</f>
        <v>J</v>
      </c>
      <c r="F219" s="202" t="str">
        <f ca="1">IFERROR(__xludf.DUMMYFUNCTION("""COMPUTED_VALUE"""),"I")</f>
        <v>I</v>
      </c>
      <c r="G219" s="202">
        <f ca="1">IFERROR(__xludf.DUMMYFUNCTION("""COMPUTED_VALUE"""),6)</f>
        <v>6</v>
      </c>
      <c r="H219" s="206">
        <v>76.7</v>
      </c>
      <c r="I219" s="206"/>
      <c r="J219" s="206" t="s">
        <v>121</v>
      </c>
      <c r="K219" s="206"/>
      <c r="L219" s="206" t="str">
        <v xml:space="preserve"> 76.7</v>
      </c>
      <c r="M219" s="206" t="str">
        <v/>
      </c>
    </row>
    <row r="220" spans="1:13" ht="14.4">
      <c r="A220" s="199" t="str">
        <f ca="1">IFERROR(__xludf.DUMMYFUNCTION("""COMPUTED_VALUE"""),"CH")</f>
        <v>CH</v>
      </c>
      <c r="B220" s="207" t="str">
        <f ca="1">IFERROR(__xludf.DUMMYFUNCTION("""COMPUTED_VALUE"""),"Colin Crowley")</f>
        <v>Colin Crowley</v>
      </c>
      <c r="C220" s="199">
        <f ca="1">IFERROR(__xludf.DUMMYFUNCTION("""COMPUTED_VALUE"""),17)</f>
        <v>17</v>
      </c>
      <c r="D220" s="199" t="str">
        <f ca="1">IFERROR(__xludf.DUMMYFUNCTION("""COMPUTED_VALUE"""),"B")</f>
        <v>B</v>
      </c>
      <c r="E220" s="202" t="str">
        <f ca="1">IFERROR(__xludf.DUMMYFUNCTION("""COMPUTED_VALUE"""),"S")</f>
        <v>S</v>
      </c>
      <c r="F220" s="202" t="str">
        <f ca="1">IFERROR(__xludf.DUMMYFUNCTION("""COMPUTED_VALUE"""),"S")</f>
        <v>S</v>
      </c>
      <c r="G220" s="202">
        <f ca="1">IFERROR(__xludf.DUMMYFUNCTION("""COMPUTED_VALUE"""),6)</f>
        <v>6</v>
      </c>
      <c r="H220" s="206"/>
      <c r="I220" s="206">
        <v>180.8</v>
      </c>
      <c r="J220" s="206"/>
      <c r="K220" s="206" t="s">
        <v>121</v>
      </c>
      <c r="L220" s="206" t="str">
        <v xml:space="preserve"> 180.8</v>
      </c>
      <c r="M220" s="206" t="str">
        <v/>
      </c>
    </row>
    <row r="221" spans="1:13" ht="14.4">
      <c r="A221" s="199" t="str">
        <f ca="1">IFERROR(__xludf.DUMMYFUNCTION("""COMPUTED_VALUE"""),"CH")</f>
        <v>CH</v>
      </c>
      <c r="B221" s="207" t="str">
        <f ca="1">IFERROR(__xludf.DUMMYFUNCTION("""COMPUTED_VALUE"""),"Dan Lauretti")</f>
        <v>Dan Lauretti</v>
      </c>
      <c r="C221" s="199">
        <f ca="1">IFERROR(__xludf.DUMMYFUNCTION("""COMPUTED_VALUE"""),15)</f>
        <v>15</v>
      </c>
      <c r="D221" s="199" t="str">
        <f ca="1">IFERROR(__xludf.DUMMYFUNCTION("""COMPUTED_VALUE"""),"B")</f>
        <v>B</v>
      </c>
      <c r="E221" s="202" t="str">
        <f ca="1">IFERROR(__xludf.DUMMYFUNCTION("""COMPUTED_VALUE"""),"S")</f>
        <v>S</v>
      </c>
      <c r="F221" s="202" t="str">
        <f ca="1">IFERROR(__xludf.DUMMYFUNCTION("""COMPUTED_VALUE"""),"S")</f>
        <v>S</v>
      </c>
      <c r="G221" s="202">
        <f ca="1">IFERROR(__xludf.DUMMYFUNCTION("""COMPUTED_VALUE"""),6)</f>
        <v>6</v>
      </c>
      <c r="H221" s="206"/>
      <c r="I221" s="206"/>
      <c r="J221" s="206"/>
      <c r="K221" s="206"/>
      <c r="L221" s="206" t="str">
        <v/>
      </c>
      <c r="M221" s="206" t="str">
        <v/>
      </c>
    </row>
    <row r="222" spans="1:13" ht="14.4">
      <c r="A222" s="199" t="str">
        <f ca="1">IFERROR(__xludf.DUMMYFUNCTION("""COMPUTED_VALUE"""),"CH")</f>
        <v>CH</v>
      </c>
      <c r="B222" s="207" t="str">
        <f ca="1">IFERROR(__xludf.DUMMYFUNCTION("""COMPUTED_VALUE"""),"Julianne Feuchter")</f>
        <v>Julianne Feuchter</v>
      </c>
      <c r="C222" s="199">
        <f ca="1">IFERROR(__xludf.DUMMYFUNCTION("""COMPUTED_VALUE"""),19)</f>
        <v>19</v>
      </c>
      <c r="D222" s="199" t="str">
        <f ca="1">IFERROR(__xludf.DUMMYFUNCTION("""COMPUTED_VALUE"""),"G")</f>
        <v>G</v>
      </c>
      <c r="E222" s="202" t="str">
        <f ca="1">IFERROR(__xludf.DUMMYFUNCTION("""COMPUTED_VALUE"""),"S")</f>
        <v>S</v>
      </c>
      <c r="F222" s="202" t="str">
        <f ca="1">IFERROR(__xludf.DUMMYFUNCTION("""COMPUTED_VALUE"""),"S")</f>
        <v>S</v>
      </c>
      <c r="G222" s="202">
        <f ca="1">IFERROR(__xludf.DUMMYFUNCTION("""COMPUTED_VALUE"""),6)</f>
        <v>6</v>
      </c>
      <c r="H222" s="206">
        <v>175.05</v>
      </c>
      <c r="I222" s="206"/>
      <c r="J222" s="206" t="s">
        <v>121</v>
      </c>
      <c r="K222" s="206"/>
      <c r="L222" s="206" t="str">
        <v xml:space="preserve"> 175.05</v>
      </c>
      <c r="M222" s="206" t="str">
        <v/>
      </c>
    </row>
    <row r="223" spans="1:13" ht="14.4">
      <c r="A223" s="199" t="str">
        <f ca="1">IFERROR(__xludf.DUMMYFUNCTION("""COMPUTED_VALUE"""),"CH")</f>
        <v>CH</v>
      </c>
      <c r="B223" s="207" t="str">
        <f ca="1">IFERROR(__xludf.DUMMYFUNCTION("""COMPUTED_VALUE"""),"Kinaire Callahan")</f>
        <v>Kinaire Callahan</v>
      </c>
      <c r="C223" s="199">
        <f ca="1">IFERROR(__xludf.DUMMYFUNCTION("""COMPUTED_VALUE"""),16)</f>
        <v>16</v>
      </c>
      <c r="D223" s="199" t="str">
        <f ca="1">IFERROR(__xludf.DUMMYFUNCTION("""COMPUTED_VALUE"""),"G")</f>
        <v>G</v>
      </c>
      <c r="E223" s="202" t="str">
        <f ca="1">IFERROR(__xludf.DUMMYFUNCTION("""COMPUTED_VALUE"""),"S")</f>
        <v>S</v>
      </c>
      <c r="F223" s="202" t="str">
        <f ca="1">IFERROR(__xludf.DUMMYFUNCTION("""COMPUTED_VALUE"""),"S")</f>
        <v>S</v>
      </c>
      <c r="G223" s="202">
        <f ca="1">IFERROR(__xludf.DUMMYFUNCTION("""COMPUTED_VALUE"""),6)</f>
        <v>6</v>
      </c>
      <c r="H223" s="206"/>
      <c r="I223" s="206"/>
      <c r="J223" s="206"/>
      <c r="K223" s="206"/>
      <c r="L223" s="206" t="str">
        <v/>
      </c>
      <c r="M223" s="206" t="str">
        <v/>
      </c>
    </row>
    <row r="224" spans="1:13" ht="14.4">
      <c r="A224" s="199" t="str">
        <f ca="1">IFERROR(__xludf.DUMMYFUNCTION("""COMPUTED_VALUE"""),"CH")</f>
        <v>CH</v>
      </c>
      <c r="B224" s="207" t="str">
        <f ca="1">IFERROR(__xludf.DUMMYFUNCTION("""COMPUTED_VALUE"""),"Lucy Silverstein")</f>
        <v>Lucy Silverstein</v>
      </c>
      <c r="C224" s="199">
        <f ca="1">IFERROR(__xludf.DUMMYFUNCTION("""COMPUTED_VALUE"""),15)</f>
        <v>15</v>
      </c>
      <c r="D224" s="199" t="str">
        <f ca="1">IFERROR(__xludf.DUMMYFUNCTION("""COMPUTED_VALUE"""),"G")</f>
        <v>G</v>
      </c>
      <c r="E224" s="202" t="str">
        <f ca="1">IFERROR(__xludf.DUMMYFUNCTION("""COMPUTED_VALUE"""),"S")</f>
        <v>S</v>
      </c>
      <c r="F224" s="202" t="str">
        <f ca="1">IFERROR(__xludf.DUMMYFUNCTION("""COMPUTED_VALUE"""),"S")</f>
        <v>S</v>
      </c>
      <c r="G224" s="202">
        <f ca="1">IFERROR(__xludf.DUMMYFUNCTION("""COMPUTED_VALUE"""),6)</f>
        <v>6</v>
      </c>
      <c r="H224" s="206">
        <v>158.4</v>
      </c>
      <c r="I224" s="206"/>
      <c r="J224" s="206" t="s">
        <v>121</v>
      </c>
      <c r="K224" s="206"/>
      <c r="L224" s="206" t="str">
        <v xml:space="preserve"> 158.4</v>
      </c>
      <c r="M224" s="206" t="str">
        <v/>
      </c>
    </row>
    <row r="225" spans="1:13" ht="14.4">
      <c r="A225" s="199" t="str">
        <f ca="1">IFERROR(__xludf.DUMMYFUNCTION("""COMPUTED_VALUE"""),"CH")</f>
        <v>CH</v>
      </c>
      <c r="B225" s="207" t="str">
        <f ca="1">IFERROR(__xludf.DUMMYFUNCTION("""COMPUTED_VALUE"""),"Paige Thomas")</f>
        <v>Paige Thomas</v>
      </c>
      <c r="C225" s="199">
        <f ca="1">IFERROR(__xludf.DUMMYFUNCTION("""COMPUTED_VALUE"""),17)</f>
        <v>17</v>
      </c>
      <c r="D225" s="199" t="str">
        <f ca="1">IFERROR(__xludf.DUMMYFUNCTION("""COMPUTED_VALUE"""),"G")</f>
        <v>G</v>
      </c>
      <c r="E225" s="202" t="str">
        <f ca="1">IFERROR(__xludf.DUMMYFUNCTION("""COMPUTED_VALUE"""),"S")</f>
        <v>S</v>
      </c>
      <c r="F225" s="202" t="str">
        <f ca="1">IFERROR(__xludf.DUMMYFUNCTION("""COMPUTED_VALUE"""),"S")</f>
        <v>S</v>
      </c>
      <c r="G225" s="202">
        <f ca="1">IFERROR(__xludf.DUMMYFUNCTION("""COMPUTED_VALUE"""),6)</f>
        <v>6</v>
      </c>
      <c r="H225" s="206"/>
      <c r="I225" s="206"/>
      <c r="J225" s="206"/>
      <c r="K225" s="206"/>
      <c r="L225" s="206" t="str">
        <v/>
      </c>
      <c r="M225" s="206" t="str">
        <v/>
      </c>
    </row>
    <row r="226" spans="1:13" ht="14.4">
      <c r="A226" s="199" t="str">
        <f ca="1">IFERROR(__xludf.DUMMYFUNCTION("""COMPUTED_VALUE"""),"CH")</f>
        <v>CH</v>
      </c>
      <c r="B226" s="207" t="str">
        <f ca="1">IFERROR(__xludf.DUMMYFUNCTION("""COMPUTED_VALUE"""),"Samantha Lauber")</f>
        <v>Samantha Lauber</v>
      </c>
      <c r="C226" s="199">
        <f ca="1">IFERROR(__xludf.DUMMYFUNCTION("""COMPUTED_VALUE"""),15)</f>
        <v>15</v>
      </c>
      <c r="D226" s="199" t="str">
        <f ca="1">IFERROR(__xludf.DUMMYFUNCTION("""COMPUTED_VALUE"""),"G")</f>
        <v>G</v>
      </c>
      <c r="E226" s="202" t="str">
        <f ca="1">IFERROR(__xludf.DUMMYFUNCTION("""COMPUTED_VALUE"""),"S")</f>
        <v>S</v>
      </c>
      <c r="F226" s="202" t="str">
        <f ca="1">IFERROR(__xludf.DUMMYFUNCTION("""COMPUTED_VALUE"""),"S")</f>
        <v>S</v>
      </c>
      <c r="G226" s="202">
        <f ca="1">IFERROR(__xludf.DUMMYFUNCTION("""COMPUTED_VALUE"""),6)</f>
        <v>6</v>
      </c>
      <c r="H226" s="208"/>
      <c r="I226" s="208"/>
      <c r="J226" s="208"/>
      <c r="K226" s="208"/>
      <c r="L226" s="208" t="str">
        <v/>
      </c>
      <c r="M226" s="208" t="str">
        <v/>
      </c>
    </row>
    <row r="227" spans="1:13" ht="14.4">
      <c r="A227" s="199" t="str">
        <f ca="1">IFERROR(__xludf.DUMMYFUNCTION("""COMPUTED_VALUE"""),"CH")</f>
        <v>CH</v>
      </c>
      <c r="B227" s="207" t="str">
        <f ca="1">IFERROR(__xludf.DUMMYFUNCTION("""COMPUTED_VALUE"""),"Sarah Manson")</f>
        <v>Sarah Manson</v>
      </c>
      <c r="C227" s="199">
        <f ca="1">IFERROR(__xludf.DUMMYFUNCTION("""COMPUTED_VALUE"""),15)</f>
        <v>15</v>
      </c>
      <c r="D227" s="199" t="str">
        <f ca="1">IFERROR(__xludf.DUMMYFUNCTION("""COMPUTED_VALUE"""),"G")</f>
        <v>G</v>
      </c>
      <c r="E227" s="202" t="str">
        <f ca="1">IFERROR(__xludf.DUMMYFUNCTION("""COMPUTED_VALUE"""),"S")</f>
        <v>S</v>
      </c>
      <c r="F227" s="202" t="str">
        <f ca="1">IFERROR(__xludf.DUMMYFUNCTION("""COMPUTED_VALUE"""),"S")</f>
        <v>S</v>
      </c>
      <c r="G227" s="202">
        <f ca="1">IFERROR(__xludf.DUMMYFUNCTION("""COMPUTED_VALUE"""),6)</f>
        <v>6</v>
      </c>
      <c r="H227" s="208"/>
      <c r="I227" s="208"/>
      <c r="J227" s="208"/>
      <c r="K227" s="208"/>
      <c r="L227" s="208" t="str">
        <v/>
      </c>
      <c r="M227" s="208" t="str">
        <v/>
      </c>
    </row>
    <row r="228" spans="1:13" ht="14.4">
      <c r="A228" s="199" t="str">
        <f ca="1">IFERROR(__xludf.DUMMYFUNCTION("""COMPUTED_VALUE"""),"CH")</f>
        <v>CH</v>
      </c>
      <c r="B228" s="207" t="str">
        <f ca="1">IFERROR(__xludf.DUMMYFUNCTION("""COMPUTED_VALUE"""),"Teresa Capuano-Rizzo")</f>
        <v>Teresa Capuano-Rizzo</v>
      </c>
      <c r="C228" s="199">
        <f ca="1">IFERROR(__xludf.DUMMYFUNCTION("""COMPUTED_VALUE"""),18)</f>
        <v>18</v>
      </c>
      <c r="D228" s="199" t="str">
        <f ca="1">IFERROR(__xludf.DUMMYFUNCTION("""COMPUTED_VALUE"""),"G")</f>
        <v>G</v>
      </c>
      <c r="E228" s="202" t="str">
        <f ca="1">IFERROR(__xludf.DUMMYFUNCTION("""COMPUTED_VALUE"""),"S")</f>
        <v>S</v>
      </c>
      <c r="F228" s="202" t="str">
        <f ca="1">IFERROR(__xludf.DUMMYFUNCTION("""COMPUTED_VALUE"""),"S")</f>
        <v>S</v>
      </c>
      <c r="G228" s="202">
        <f ca="1">IFERROR(__xludf.DUMMYFUNCTION("""COMPUTED_VALUE"""),6)</f>
        <v>6</v>
      </c>
      <c r="H228" s="206">
        <v>163.15</v>
      </c>
      <c r="I228" s="206"/>
      <c r="J228" s="206" t="s">
        <v>121</v>
      </c>
      <c r="K228" s="206"/>
      <c r="L228" s="206" t="str">
        <v xml:space="preserve"> 163.15</v>
      </c>
      <c r="M228" s="206" t="str">
        <v/>
      </c>
    </row>
    <row r="229" spans="1:13" ht="14.4">
      <c r="A229" s="199" t="str">
        <f ca="1">IFERROR(__xludf.DUMMYFUNCTION("""COMPUTED_VALUE"""),"CP")</f>
        <v>CP</v>
      </c>
      <c r="B229" s="207" t="str">
        <f ca="1">IFERROR(__xludf.DUMMYFUNCTION("""COMPUTED_VALUE"""),"Caleb Cherryholmes-Wesley")</f>
        <v>Caleb Cherryholmes-Wesley</v>
      </c>
      <c r="C229" s="199">
        <f ca="1">IFERROR(__xludf.DUMMYFUNCTION("""COMPUTED_VALUE"""),9)</f>
        <v>9</v>
      </c>
      <c r="D229" s="199" t="str">
        <f ca="1">IFERROR(__xludf.DUMMYFUNCTION("""COMPUTED_VALUE"""),"B")</f>
        <v>B</v>
      </c>
      <c r="E229" s="202" t="str">
        <f ca="1">IFERROR(__xludf.DUMMYFUNCTION("""COMPUTED_VALUE"""),"F")</f>
        <v>F</v>
      </c>
      <c r="F229" s="202" t="str">
        <f ca="1">IFERROR(__xludf.DUMMYFUNCTION("""COMPUTED_VALUE"""),"J")</f>
        <v>J</v>
      </c>
      <c r="G229" s="202">
        <f ca="1">IFERROR(__xludf.DUMMYFUNCTION("""COMPUTED_VALUE"""),5)</f>
        <v>5</v>
      </c>
      <c r="H229" s="206"/>
      <c r="I229" s="206">
        <v>72.25</v>
      </c>
      <c r="J229" s="206"/>
      <c r="K229" s="206" t="s">
        <v>121</v>
      </c>
      <c r="L229" s="206" t="str">
        <v xml:space="preserve"> 72.25</v>
      </c>
      <c r="M229" s="206" t="str">
        <v/>
      </c>
    </row>
    <row r="230" spans="1:13" ht="14.4">
      <c r="A230" s="199" t="str">
        <f ca="1">IFERROR(__xludf.DUMMYFUNCTION("""COMPUTED_VALUE"""),"CP")</f>
        <v>CP</v>
      </c>
      <c r="B230" s="207" t="str">
        <f ca="1">IFERROR(__xludf.DUMMYFUNCTION("""COMPUTED_VALUE"""),"Easton Dugger")</f>
        <v>Easton Dugger</v>
      </c>
      <c r="C230" s="199">
        <f ca="1">IFERROR(__xludf.DUMMYFUNCTION("""COMPUTED_VALUE"""),8)</f>
        <v>8</v>
      </c>
      <c r="D230" s="199" t="str">
        <f ca="1">IFERROR(__xludf.DUMMYFUNCTION("""COMPUTED_VALUE"""),"B")</f>
        <v>B</v>
      </c>
      <c r="E230" s="202" t="str">
        <f ca="1">IFERROR(__xludf.DUMMYFUNCTION("""COMPUTED_VALUE"""),"F")</f>
        <v>F</v>
      </c>
      <c r="F230" s="202" t="str">
        <f ca="1">IFERROR(__xludf.DUMMYFUNCTION("""COMPUTED_VALUE"""),"J")</f>
        <v>J</v>
      </c>
      <c r="G230" s="202">
        <f ca="1">IFERROR(__xludf.DUMMYFUNCTION("""COMPUTED_VALUE"""),5)</f>
        <v>5</v>
      </c>
      <c r="H230" s="206"/>
      <c r="I230" s="206"/>
      <c r="J230" s="206"/>
      <c r="K230" s="206"/>
      <c r="L230" s="206" t="str">
        <v/>
      </c>
      <c r="M230" s="206" t="str">
        <v/>
      </c>
    </row>
    <row r="231" spans="1:13" ht="14.4">
      <c r="A231" s="199" t="str">
        <f ca="1">IFERROR(__xludf.DUMMYFUNCTION("""COMPUTED_VALUE"""),"CP")</f>
        <v>CP</v>
      </c>
      <c r="B231" s="207" t="str">
        <f ca="1">IFERROR(__xludf.DUMMYFUNCTION("""COMPUTED_VALUE"""),"Ethan Johns")</f>
        <v>Ethan Johns</v>
      </c>
      <c r="C231" s="199">
        <f ca="1">IFERROR(__xludf.DUMMYFUNCTION("""COMPUTED_VALUE"""),10)</f>
        <v>10</v>
      </c>
      <c r="D231" s="199" t="str">
        <f ca="1">IFERROR(__xludf.DUMMYFUNCTION("""COMPUTED_VALUE"""),"B")</f>
        <v>B</v>
      </c>
      <c r="E231" s="202" t="str">
        <f ca="1">IFERROR(__xludf.DUMMYFUNCTION("""COMPUTED_VALUE"""),"F")</f>
        <v>F</v>
      </c>
      <c r="F231" s="202" t="str">
        <f ca="1">IFERROR(__xludf.DUMMYFUNCTION("""COMPUTED_VALUE"""),"J")</f>
        <v>J</v>
      </c>
      <c r="G231" s="202">
        <f ca="1">IFERROR(__xludf.DUMMYFUNCTION("""COMPUTED_VALUE"""),5)</f>
        <v>5</v>
      </c>
      <c r="H231" s="206"/>
      <c r="I231" s="206">
        <v>69.2</v>
      </c>
      <c r="J231" s="206"/>
      <c r="K231" s="206" t="s">
        <v>121</v>
      </c>
      <c r="L231" s="206" t="str">
        <v xml:space="preserve"> 69.2</v>
      </c>
      <c r="M231" s="206" t="str">
        <v/>
      </c>
    </row>
    <row r="232" spans="1:13" ht="14.4">
      <c r="A232" s="199" t="str">
        <f ca="1">IFERROR(__xludf.DUMMYFUNCTION("""COMPUTED_VALUE"""),"CP")</f>
        <v>CP</v>
      </c>
      <c r="B232" s="207" t="str">
        <f ca="1">IFERROR(__xludf.DUMMYFUNCTION("""COMPUTED_VALUE"""),"Evan Davis")</f>
        <v>Evan Davis</v>
      </c>
      <c r="C232" s="199">
        <f ca="1">IFERROR(__xludf.DUMMYFUNCTION("""COMPUTED_VALUE"""),10)</f>
        <v>10</v>
      </c>
      <c r="D232" s="199" t="str">
        <f ca="1">IFERROR(__xludf.DUMMYFUNCTION("""COMPUTED_VALUE"""),"B")</f>
        <v>B</v>
      </c>
      <c r="E232" s="202" t="str">
        <f ca="1">IFERROR(__xludf.DUMMYFUNCTION("""COMPUTED_VALUE"""),"F")</f>
        <v>F</v>
      </c>
      <c r="F232" s="202" t="str">
        <f ca="1">IFERROR(__xludf.DUMMYFUNCTION("""COMPUTED_VALUE"""),"J")</f>
        <v>J</v>
      </c>
      <c r="G232" s="202">
        <f ca="1">IFERROR(__xludf.DUMMYFUNCTION("""COMPUTED_VALUE"""),5)</f>
        <v>5</v>
      </c>
      <c r="H232" s="208"/>
      <c r="I232" s="208"/>
      <c r="J232" s="208"/>
      <c r="K232" s="208"/>
      <c r="L232" s="208" t="str">
        <v/>
      </c>
      <c r="M232" s="208" t="str">
        <v/>
      </c>
    </row>
    <row r="233" spans="1:13" ht="14.4">
      <c r="A233" s="199" t="str">
        <f ca="1">IFERROR(__xludf.DUMMYFUNCTION("""COMPUTED_VALUE"""),"CP")</f>
        <v>CP</v>
      </c>
      <c r="B233" s="207" t="str">
        <f ca="1">IFERROR(__xludf.DUMMYFUNCTION("""COMPUTED_VALUE"""),"Ewan Stacey")</f>
        <v>Ewan Stacey</v>
      </c>
      <c r="C233" s="199">
        <f ca="1">IFERROR(__xludf.DUMMYFUNCTION("""COMPUTED_VALUE"""),9)</f>
        <v>9</v>
      </c>
      <c r="D233" s="199" t="str">
        <f ca="1">IFERROR(__xludf.DUMMYFUNCTION("""COMPUTED_VALUE"""),"B")</f>
        <v>B</v>
      </c>
      <c r="E233" s="202" t="str">
        <f ca="1">IFERROR(__xludf.DUMMYFUNCTION("""COMPUTED_VALUE"""),"F")</f>
        <v>F</v>
      </c>
      <c r="F233" s="202" t="str">
        <f ca="1">IFERROR(__xludf.DUMMYFUNCTION("""COMPUTED_VALUE"""),"J")</f>
        <v>J</v>
      </c>
      <c r="G233" s="202">
        <f ca="1">IFERROR(__xludf.DUMMYFUNCTION("""COMPUTED_VALUE"""),5)</f>
        <v>5</v>
      </c>
      <c r="H233" s="206"/>
      <c r="I233" s="206"/>
      <c r="J233" s="206"/>
      <c r="K233" s="206"/>
      <c r="L233" s="206" t="str">
        <v/>
      </c>
      <c r="M233" s="206" t="str">
        <v/>
      </c>
    </row>
    <row r="234" spans="1:13" ht="14.4">
      <c r="A234" s="199" t="str">
        <f ca="1">IFERROR(__xludf.DUMMYFUNCTION("""COMPUTED_VALUE"""),"CP")</f>
        <v>CP</v>
      </c>
      <c r="B234" s="207" t="str">
        <f ca="1">IFERROR(__xludf.DUMMYFUNCTION("""COMPUTED_VALUE"""),"Gavin Johns")</f>
        <v>Gavin Johns</v>
      </c>
      <c r="C234" s="199">
        <f ca="1">IFERROR(__xludf.DUMMYFUNCTION("""COMPUTED_VALUE"""),8)</f>
        <v>8</v>
      </c>
      <c r="D234" s="199" t="str">
        <f ca="1">IFERROR(__xludf.DUMMYFUNCTION("""COMPUTED_VALUE"""),"B")</f>
        <v>B</v>
      </c>
      <c r="E234" s="202" t="str">
        <f ca="1">IFERROR(__xludf.DUMMYFUNCTION("""COMPUTED_VALUE"""),"F")</f>
        <v>F</v>
      </c>
      <c r="F234" s="202" t="str">
        <f ca="1">IFERROR(__xludf.DUMMYFUNCTION("""COMPUTED_VALUE"""),"J")</f>
        <v>J</v>
      </c>
      <c r="G234" s="202">
        <f ca="1">IFERROR(__xludf.DUMMYFUNCTION("""COMPUTED_VALUE"""),5)</f>
        <v>5</v>
      </c>
      <c r="H234" s="206"/>
      <c r="I234" s="206"/>
      <c r="J234" s="206"/>
      <c r="K234" s="206"/>
      <c r="L234" s="206" t="str">
        <v/>
      </c>
      <c r="M234" s="206" t="str">
        <v/>
      </c>
    </row>
    <row r="235" spans="1:13" ht="14.4">
      <c r="A235" s="199" t="str">
        <f ca="1">IFERROR(__xludf.DUMMYFUNCTION("""COMPUTED_VALUE"""),"CP")</f>
        <v>CP</v>
      </c>
      <c r="B235" s="207" t="str">
        <f ca="1">IFERROR(__xludf.DUMMYFUNCTION("""COMPUTED_VALUE"""),"Hugh Keaney")</f>
        <v>Hugh Keaney</v>
      </c>
      <c r="C235" s="199">
        <f ca="1">IFERROR(__xludf.DUMMYFUNCTION("""COMPUTED_VALUE"""),8)</f>
        <v>8</v>
      </c>
      <c r="D235" s="199" t="str">
        <f ca="1">IFERROR(__xludf.DUMMYFUNCTION("""COMPUTED_VALUE"""),"B")</f>
        <v>B</v>
      </c>
      <c r="E235" s="202" t="str">
        <f ca="1">IFERROR(__xludf.DUMMYFUNCTION("""COMPUTED_VALUE"""),"F")</f>
        <v>F</v>
      </c>
      <c r="F235" s="202" t="str">
        <f ca="1">IFERROR(__xludf.DUMMYFUNCTION("""COMPUTED_VALUE"""),"J")</f>
        <v>J</v>
      </c>
      <c r="G235" s="202">
        <f ca="1">IFERROR(__xludf.DUMMYFUNCTION("""COMPUTED_VALUE"""),5)</f>
        <v>5</v>
      </c>
      <c r="H235" s="206"/>
      <c r="I235" s="206"/>
      <c r="J235" s="206"/>
      <c r="K235" s="206"/>
      <c r="L235" s="206" t="str">
        <v/>
      </c>
      <c r="M235" s="206" t="str">
        <v/>
      </c>
    </row>
    <row r="236" spans="1:13" ht="14.4">
      <c r="A236" s="199" t="str">
        <f ca="1">IFERROR(__xludf.DUMMYFUNCTION("""COMPUTED_VALUE"""),"CP")</f>
        <v>CP</v>
      </c>
      <c r="B236" s="207" t="str">
        <f ca="1">IFERROR(__xludf.DUMMYFUNCTION("""COMPUTED_VALUE"""),"Luke Sabo")</f>
        <v>Luke Sabo</v>
      </c>
      <c r="C236" s="199">
        <f ca="1">IFERROR(__xludf.DUMMYFUNCTION("""COMPUTED_VALUE"""),10)</f>
        <v>10</v>
      </c>
      <c r="D236" s="199" t="str">
        <f ca="1">IFERROR(__xludf.DUMMYFUNCTION("""COMPUTED_VALUE"""),"B")</f>
        <v>B</v>
      </c>
      <c r="E236" s="202" t="str">
        <f ca="1">IFERROR(__xludf.DUMMYFUNCTION("""COMPUTED_VALUE"""),"F")</f>
        <v>F</v>
      </c>
      <c r="F236" s="202" t="str">
        <f ca="1">IFERROR(__xludf.DUMMYFUNCTION("""COMPUTED_VALUE"""),"J")</f>
        <v>J</v>
      </c>
      <c r="G236" s="202">
        <f ca="1">IFERROR(__xludf.DUMMYFUNCTION("""COMPUTED_VALUE"""),5)</f>
        <v>5</v>
      </c>
      <c r="H236" s="206"/>
      <c r="I236" s="206">
        <v>43.3</v>
      </c>
      <c r="J236" s="206"/>
      <c r="K236" s="206" t="s">
        <v>121</v>
      </c>
      <c r="L236" s="206" t="str">
        <v xml:space="preserve"> 43.3</v>
      </c>
      <c r="M236" s="206" t="str">
        <v/>
      </c>
    </row>
    <row r="237" spans="1:13" ht="14.4">
      <c r="A237" s="199" t="str">
        <f ca="1">IFERROR(__xludf.DUMMYFUNCTION("""COMPUTED_VALUE"""),"CP")</f>
        <v>CP</v>
      </c>
      <c r="B237" s="207" t="str">
        <f ca="1">IFERROR(__xludf.DUMMYFUNCTION("""COMPUTED_VALUE"""),"Nolan Cherryholmes-Wesley")</f>
        <v>Nolan Cherryholmes-Wesley</v>
      </c>
      <c r="C237" s="199">
        <f ca="1">IFERROR(__xludf.DUMMYFUNCTION("""COMPUTED_VALUE"""),6)</f>
        <v>6</v>
      </c>
      <c r="D237" s="199" t="str">
        <f ca="1">IFERROR(__xludf.DUMMYFUNCTION("""COMPUTED_VALUE"""),"B")</f>
        <v>B</v>
      </c>
      <c r="E237" s="202" t="str">
        <f ca="1">IFERROR(__xludf.DUMMYFUNCTION("""COMPUTED_VALUE"""),"F")</f>
        <v>F</v>
      </c>
      <c r="F237" s="202" t="str">
        <f ca="1">IFERROR(__xludf.DUMMYFUNCTION("""COMPUTED_VALUE"""),"J")</f>
        <v>J</v>
      </c>
      <c r="G237" s="202">
        <f ca="1">IFERROR(__xludf.DUMMYFUNCTION("""COMPUTED_VALUE"""),5)</f>
        <v>5</v>
      </c>
      <c r="H237" s="206"/>
      <c r="I237" s="206"/>
      <c r="J237" s="206"/>
      <c r="K237" s="206"/>
      <c r="L237" s="206" t="str">
        <v/>
      </c>
      <c r="M237" s="206" t="str">
        <v/>
      </c>
    </row>
    <row r="238" spans="1:13" ht="14.4">
      <c r="A238" s="199" t="str">
        <f ca="1">IFERROR(__xludf.DUMMYFUNCTION("""COMPUTED_VALUE"""),"CP")</f>
        <v>CP</v>
      </c>
      <c r="B238" s="207" t="str">
        <f ca="1">IFERROR(__xludf.DUMMYFUNCTION("""COMPUTED_VALUE"""),"Ryan Stephens")</f>
        <v>Ryan Stephens</v>
      </c>
      <c r="C238" s="199">
        <f ca="1">IFERROR(__xludf.DUMMYFUNCTION("""COMPUTED_VALUE"""),8)</f>
        <v>8</v>
      </c>
      <c r="D238" s="199" t="str">
        <f ca="1">IFERROR(__xludf.DUMMYFUNCTION("""COMPUTED_VALUE"""),"B")</f>
        <v>B</v>
      </c>
      <c r="E238" s="202" t="str">
        <f ca="1">IFERROR(__xludf.DUMMYFUNCTION("""COMPUTED_VALUE"""),"F")</f>
        <v>F</v>
      </c>
      <c r="F238" s="202" t="str">
        <f ca="1">IFERROR(__xludf.DUMMYFUNCTION("""COMPUTED_VALUE"""),"J")</f>
        <v>J</v>
      </c>
      <c r="G238" s="202">
        <f ca="1">IFERROR(__xludf.DUMMYFUNCTION("""COMPUTED_VALUE"""),5)</f>
        <v>5</v>
      </c>
      <c r="H238" s="206"/>
      <c r="I238" s="206"/>
      <c r="J238" s="206"/>
      <c r="K238" s="206"/>
      <c r="L238" s="206" t="str">
        <v/>
      </c>
      <c r="M238" s="206" t="str">
        <v/>
      </c>
    </row>
    <row r="239" spans="1:13" ht="14.4">
      <c r="A239" s="199" t="str">
        <f ca="1">IFERROR(__xludf.DUMMYFUNCTION("""COMPUTED_VALUE"""),"CP")</f>
        <v>CP</v>
      </c>
      <c r="B239" s="207" t="str">
        <f ca="1">IFERROR(__xludf.DUMMYFUNCTION("""COMPUTED_VALUE"""),"William Haskins")</f>
        <v>William Haskins</v>
      </c>
      <c r="C239" s="199">
        <f ca="1">IFERROR(__xludf.DUMMYFUNCTION("""COMPUTED_VALUE"""),10)</f>
        <v>10</v>
      </c>
      <c r="D239" s="199" t="str">
        <f ca="1">IFERROR(__xludf.DUMMYFUNCTION("""COMPUTED_VALUE"""),"B")</f>
        <v>B</v>
      </c>
      <c r="E239" s="202" t="str">
        <f ca="1">IFERROR(__xludf.DUMMYFUNCTION("""COMPUTED_VALUE"""),"F")</f>
        <v>F</v>
      </c>
      <c r="F239" s="202" t="str">
        <f ca="1">IFERROR(__xludf.DUMMYFUNCTION("""COMPUTED_VALUE"""),"J")</f>
        <v>J</v>
      </c>
      <c r="G239" s="202">
        <f ca="1">IFERROR(__xludf.DUMMYFUNCTION("""COMPUTED_VALUE"""),5)</f>
        <v>5</v>
      </c>
      <c r="H239" s="206"/>
      <c r="I239" s="206"/>
      <c r="J239" s="206"/>
      <c r="K239" s="206"/>
      <c r="L239" s="206" t="str">
        <v/>
      </c>
      <c r="M239" s="206" t="str">
        <v/>
      </c>
    </row>
    <row r="240" spans="1:13" ht="14.4">
      <c r="A240" s="199" t="str">
        <f ca="1">IFERROR(__xludf.DUMMYFUNCTION("""COMPUTED_VALUE"""),"CP")</f>
        <v>CP</v>
      </c>
      <c r="B240" s="207" t="str">
        <f ca="1">IFERROR(__xludf.DUMMYFUNCTION("""COMPUTED_VALUE"""),"Alexandra Smith")</f>
        <v>Alexandra Smith</v>
      </c>
      <c r="C240" s="199">
        <f ca="1">IFERROR(__xludf.DUMMYFUNCTION("""COMPUTED_VALUE"""),7)</f>
        <v>7</v>
      </c>
      <c r="D240" s="199" t="str">
        <f ca="1">IFERROR(__xludf.DUMMYFUNCTION("""COMPUTED_VALUE"""),"G")</f>
        <v>G</v>
      </c>
      <c r="E240" s="202" t="str">
        <f ca="1">IFERROR(__xludf.DUMMYFUNCTION("""COMPUTED_VALUE"""),"F")</f>
        <v>F</v>
      </c>
      <c r="F240" s="202" t="str">
        <f ca="1">IFERROR(__xludf.DUMMYFUNCTION("""COMPUTED_VALUE"""),"J")</f>
        <v>J</v>
      </c>
      <c r="G240" s="202">
        <f ca="1">IFERROR(__xludf.DUMMYFUNCTION("""COMPUTED_VALUE"""),5)</f>
        <v>5</v>
      </c>
      <c r="H240" s="206"/>
      <c r="I240" s="206"/>
      <c r="J240" s="206"/>
      <c r="K240" s="206"/>
      <c r="L240" s="206" t="str">
        <v/>
      </c>
      <c r="M240" s="206" t="str">
        <v/>
      </c>
    </row>
    <row r="241" spans="1:13" ht="14.4">
      <c r="A241" s="199" t="str">
        <f ca="1">IFERROR(__xludf.DUMMYFUNCTION("""COMPUTED_VALUE"""),"CP")</f>
        <v>CP</v>
      </c>
      <c r="B241" s="207" t="str">
        <f ca="1">IFERROR(__xludf.DUMMYFUNCTION("""COMPUTED_VALUE"""),"Aliya Zikria")</f>
        <v>Aliya Zikria</v>
      </c>
      <c r="C241" s="199">
        <f ca="1">IFERROR(__xludf.DUMMYFUNCTION("""COMPUTED_VALUE"""),9)</f>
        <v>9</v>
      </c>
      <c r="D241" s="199" t="str">
        <f ca="1">IFERROR(__xludf.DUMMYFUNCTION("""COMPUTED_VALUE"""),"G")</f>
        <v>G</v>
      </c>
      <c r="E241" s="202" t="str">
        <f ca="1">IFERROR(__xludf.DUMMYFUNCTION("""COMPUTED_VALUE"""),"F")</f>
        <v>F</v>
      </c>
      <c r="F241" s="202" t="str">
        <f ca="1">IFERROR(__xludf.DUMMYFUNCTION("""COMPUTED_VALUE"""),"J")</f>
        <v>J</v>
      </c>
      <c r="G241" s="202">
        <f ca="1">IFERROR(__xludf.DUMMYFUNCTION("""COMPUTED_VALUE"""),5)</f>
        <v>5</v>
      </c>
      <c r="H241" s="208"/>
      <c r="I241" s="208"/>
      <c r="J241" s="208"/>
      <c r="K241" s="208"/>
      <c r="L241" s="208" t="str">
        <v/>
      </c>
      <c r="M241" s="208" t="str">
        <v/>
      </c>
    </row>
    <row r="242" spans="1:13" ht="14.4">
      <c r="A242" s="199" t="str">
        <f ca="1">IFERROR(__xludf.DUMMYFUNCTION("""COMPUTED_VALUE"""),"CP")</f>
        <v>CP</v>
      </c>
      <c r="B242" s="207" t="str">
        <f ca="1">IFERROR(__xludf.DUMMYFUNCTION("""COMPUTED_VALUE"""),"Anna Keller")</f>
        <v>Anna Keller</v>
      </c>
      <c r="C242" s="199">
        <f ca="1">IFERROR(__xludf.DUMMYFUNCTION("""COMPUTED_VALUE"""),8)</f>
        <v>8</v>
      </c>
      <c r="D242" s="199" t="str">
        <f ca="1">IFERROR(__xludf.DUMMYFUNCTION("""COMPUTED_VALUE"""),"G")</f>
        <v>G</v>
      </c>
      <c r="E242" s="202" t="str">
        <f ca="1">IFERROR(__xludf.DUMMYFUNCTION("""COMPUTED_VALUE"""),"F")</f>
        <v>F</v>
      </c>
      <c r="F242" s="202" t="str">
        <f ca="1">IFERROR(__xludf.DUMMYFUNCTION("""COMPUTED_VALUE"""),"J")</f>
        <v>J</v>
      </c>
      <c r="G242" s="202">
        <f ca="1">IFERROR(__xludf.DUMMYFUNCTION("""COMPUTED_VALUE"""),5)</f>
        <v>5</v>
      </c>
      <c r="H242" s="208"/>
      <c r="I242" s="208"/>
      <c r="J242" s="208"/>
      <c r="K242" s="208"/>
      <c r="L242" s="208" t="str">
        <v/>
      </c>
      <c r="M242" s="208" t="str">
        <v/>
      </c>
    </row>
    <row r="243" spans="1:13" ht="14.4">
      <c r="A243" s="199" t="str">
        <f ca="1">IFERROR(__xludf.DUMMYFUNCTION("""COMPUTED_VALUE"""),"CP")</f>
        <v>CP</v>
      </c>
      <c r="B243" s="207" t="str">
        <f ca="1">IFERROR(__xludf.DUMMYFUNCTION("""COMPUTED_VALUE"""),"Ashleigh Haskins")</f>
        <v>Ashleigh Haskins</v>
      </c>
      <c r="C243" s="199">
        <f ca="1">IFERROR(__xludf.DUMMYFUNCTION("""COMPUTED_VALUE"""),7)</f>
        <v>7</v>
      </c>
      <c r="D243" s="199" t="str">
        <f ca="1">IFERROR(__xludf.DUMMYFUNCTION("""COMPUTED_VALUE"""),"G")</f>
        <v>G</v>
      </c>
      <c r="E243" s="202" t="str">
        <f ca="1">IFERROR(__xludf.DUMMYFUNCTION("""COMPUTED_VALUE"""),"F")</f>
        <v>F</v>
      </c>
      <c r="F243" s="202" t="str">
        <f ca="1">IFERROR(__xludf.DUMMYFUNCTION("""COMPUTED_VALUE"""),"J")</f>
        <v>J</v>
      </c>
      <c r="G243" s="202">
        <f ca="1">IFERROR(__xludf.DUMMYFUNCTION("""COMPUTED_VALUE"""),5)</f>
        <v>5</v>
      </c>
      <c r="H243" s="206"/>
      <c r="I243" s="206"/>
      <c r="J243" s="206"/>
      <c r="K243" s="206"/>
      <c r="L243" s="206" t="str">
        <v/>
      </c>
      <c r="M243" s="206" t="str">
        <v/>
      </c>
    </row>
    <row r="244" spans="1:13" ht="14.4">
      <c r="A244" s="199" t="str">
        <f ca="1">IFERROR(__xludf.DUMMYFUNCTION("""COMPUTED_VALUE"""),"CP")</f>
        <v>CP</v>
      </c>
      <c r="B244" s="207" t="str">
        <f ca="1">IFERROR(__xludf.DUMMYFUNCTION("""COMPUTED_VALUE"""),"Carolina Hall")</f>
        <v>Carolina Hall</v>
      </c>
      <c r="C244" s="199">
        <f ca="1">IFERROR(__xludf.DUMMYFUNCTION("""COMPUTED_VALUE"""),10)</f>
        <v>10</v>
      </c>
      <c r="D244" s="199" t="str">
        <f ca="1">IFERROR(__xludf.DUMMYFUNCTION("""COMPUTED_VALUE"""),"G")</f>
        <v>G</v>
      </c>
      <c r="E244" s="202" t="str">
        <f ca="1">IFERROR(__xludf.DUMMYFUNCTION("""COMPUTED_VALUE"""),"F")</f>
        <v>F</v>
      </c>
      <c r="F244" s="202" t="str">
        <f ca="1">IFERROR(__xludf.DUMMYFUNCTION("""COMPUTED_VALUE"""),"J")</f>
        <v>J</v>
      </c>
      <c r="G244" s="202">
        <f ca="1">IFERROR(__xludf.DUMMYFUNCTION("""COMPUTED_VALUE"""),5)</f>
        <v>5</v>
      </c>
      <c r="H244" s="206"/>
      <c r="I244" s="206"/>
      <c r="J244" s="206"/>
      <c r="K244" s="206"/>
      <c r="L244" s="206" t="str">
        <v/>
      </c>
      <c r="M244" s="206" t="str">
        <v/>
      </c>
    </row>
    <row r="245" spans="1:13" ht="14.4">
      <c r="A245" s="199" t="str">
        <f ca="1">IFERROR(__xludf.DUMMYFUNCTION("""COMPUTED_VALUE"""),"CP")</f>
        <v>CP</v>
      </c>
      <c r="B245" s="207" t="str">
        <f ca="1">IFERROR(__xludf.DUMMYFUNCTION("""COMPUTED_VALUE"""),"Casimira Betz")</f>
        <v>Casimira Betz</v>
      </c>
      <c r="C245" s="199">
        <f ca="1">IFERROR(__xludf.DUMMYFUNCTION("""COMPUTED_VALUE"""),9)</f>
        <v>9</v>
      </c>
      <c r="D245" s="199" t="str">
        <f ca="1">IFERROR(__xludf.DUMMYFUNCTION("""COMPUTED_VALUE"""),"G")</f>
        <v>G</v>
      </c>
      <c r="E245" s="202" t="str">
        <f ca="1">IFERROR(__xludf.DUMMYFUNCTION("""COMPUTED_VALUE"""),"F")</f>
        <v>F</v>
      </c>
      <c r="F245" s="202" t="str">
        <f ca="1">IFERROR(__xludf.DUMMYFUNCTION("""COMPUTED_VALUE"""),"J")</f>
        <v>J</v>
      </c>
      <c r="G245" s="202">
        <f ca="1">IFERROR(__xludf.DUMMYFUNCTION("""COMPUTED_VALUE"""),5)</f>
        <v>5</v>
      </c>
      <c r="H245" s="208">
        <v>50.2</v>
      </c>
      <c r="I245" s="208"/>
      <c r="J245" s="208" t="s">
        <v>121</v>
      </c>
      <c r="K245" s="208"/>
      <c r="L245" s="208" t="str">
        <v xml:space="preserve"> 50.2</v>
      </c>
      <c r="M245" s="208" t="str">
        <v/>
      </c>
    </row>
    <row r="246" spans="1:13" ht="14.4">
      <c r="A246" s="199" t="str">
        <f ca="1">IFERROR(__xludf.DUMMYFUNCTION("""COMPUTED_VALUE"""),"CP")</f>
        <v>CP</v>
      </c>
      <c r="B246" s="207" t="str">
        <f ca="1">IFERROR(__xludf.DUMMYFUNCTION("""COMPUTED_VALUE"""),"Eleena Manser")</f>
        <v>Eleena Manser</v>
      </c>
      <c r="C246" s="199">
        <f ca="1">IFERROR(__xludf.DUMMYFUNCTION("""COMPUTED_VALUE"""),10)</f>
        <v>10</v>
      </c>
      <c r="D246" s="199" t="str">
        <f ca="1">IFERROR(__xludf.DUMMYFUNCTION("""COMPUTED_VALUE"""),"G")</f>
        <v>G</v>
      </c>
      <c r="E246" s="202" t="str">
        <f ca="1">IFERROR(__xludf.DUMMYFUNCTION("""COMPUTED_VALUE"""),"F")</f>
        <v>F</v>
      </c>
      <c r="F246" s="202" t="str">
        <f ca="1">IFERROR(__xludf.DUMMYFUNCTION("""COMPUTED_VALUE"""),"J")</f>
        <v>J</v>
      </c>
      <c r="G246" s="202">
        <f ca="1">IFERROR(__xludf.DUMMYFUNCTION("""COMPUTED_VALUE"""),5)</f>
        <v>5</v>
      </c>
      <c r="H246" s="208">
        <v>59.9</v>
      </c>
      <c r="I246" s="208"/>
      <c r="J246" s="208" t="s">
        <v>121</v>
      </c>
      <c r="K246" s="208"/>
      <c r="L246" s="208" t="str">
        <v xml:space="preserve"> 59.9</v>
      </c>
      <c r="M246" s="208" t="str">
        <v/>
      </c>
    </row>
    <row r="247" spans="1:13" ht="14.4">
      <c r="A247" s="199" t="str">
        <f ca="1">IFERROR(__xludf.DUMMYFUNCTION("""COMPUTED_VALUE"""),"CP")</f>
        <v>CP</v>
      </c>
      <c r="B247" s="207" t="str">
        <f ca="1">IFERROR(__xludf.DUMMYFUNCTION("""COMPUTED_VALUE"""),"Haley Schwab")</f>
        <v>Haley Schwab</v>
      </c>
      <c r="C247" s="199">
        <f ca="1">IFERROR(__xludf.DUMMYFUNCTION("""COMPUTED_VALUE"""),9)</f>
        <v>9</v>
      </c>
      <c r="D247" s="199" t="str">
        <f ca="1">IFERROR(__xludf.DUMMYFUNCTION("""COMPUTED_VALUE"""),"G")</f>
        <v>G</v>
      </c>
      <c r="E247" s="202" t="str">
        <f ca="1">IFERROR(__xludf.DUMMYFUNCTION("""COMPUTED_VALUE"""),"F")</f>
        <v>F</v>
      </c>
      <c r="F247" s="202" t="str">
        <f ca="1">IFERROR(__xludf.DUMMYFUNCTION("""COMPUTED_VALUE"""),"J")</f>
        <v>J</v>
      </c>
      <c r="G247" s="202">
        <f ca="1">IFERROR(__xludf.DUMMYFUNCTION("""COMPUTED_VALUE"""),5)</f>
        <v>5</v>
      </c>
      <c r="H247" s="208">
        <v>70.45</v>
      </c>
      <c r="I247" s="208"/>
      <c r="J247" s="208" t="s">
        <v>121</v>
      </c>
      <c r="K247" s="208"/>
      <c r="L247" s="208" t="str">
        <v xml:space="preserve"> 70.45</v>
      </c>
      <c r="M247" s="208" t="str">
        <v/>
      </c>
    </row>
    <row r="248" spans="1:13" ht="14.4">
      <c r="A248" s="199" t="str">
        <f ca="1">IFERROR(__xludf.DUMMYFUNCTION("""COMPUTED_VALUE"""),"CP")</f>
        <v>CP</v>
      </c>
      <c r="B248" s="207" t="str">
        <f ca="1">IFERROR(__xludf.DUMMYFUNCTION("""COMPUTED_VALUE"""),"Harper Jennings")</f>
        <v>Harper Jennings</v>
      </c>
      <c r="C248" s="199">
        <f ca="1">IFERROR(__xludf.DUMMYFUNCTION("""COMPUTED_VALUE"""),9)</f>
        <v>9</v>
      </c>
      <c r="D248" s="199" t="str">
        <f ca="1">IFERROR(__xludf.DUMMYFUNCTION("""COMPUTED_VALUE"""),"G")</f>
        <v>G</v>
      </c>
      <c r="E248" s="202" t="str">
        <f ca="1">IFERROR(__xludf.DUMMYFUNCTION("""COMPUTED_VALUE"""),"F")</f>
        <v>F</v>
      </c>
      <c r="F248" s="202" t="str">
        <f ca="1">IFERROR(__xludf.DUMMYFUNCTION("""COMPUTED_VALUE"""),"J")</f>
        <v>J</v>
      </c>
      <c r="G248" s="202">
        <f ca="1">IFERROR(__xludf.DUMMYFUNCTION("""COMPUTED_VALUE"""),5)</f>
        <v>5</v>
      </c>
      <c r="H248" s="208"/>
      <c r="I248" s="208"/>
      <c r="J248" s="208"/>
      <c r="K248" s="208"/>
      <c r="L248" s="208" t="str">
        <v/>
      </c>
      <c r="M248" s="208" t="str">
        <v/>
      </c>
    </row>
    <row r="249" spans="1:13" ht="14.4">
      <c r="A249" s="199" t="str">
        <f ca="1">IFERROR(__xludf.DUMMYFUNCTION("""COMPUTED_VALUE"""),"CP")</f>
        <v>CP</v>
      </c>
      <c r="B249" s="207" t="str">
        <f ca="1">IFERROR(__xludf.DUMMYFUNCTION("""COMPUTED_VALUE"""),"Jacqueline Hull")</f>
        <v>Jacqueline Hull</v>
      </c>
      <c r="C249" s="199">
        <f ca="1">IFERROR(__xludf.DUMMYFUNCTION("""COMPUTED_VALUE"""),9)</f>
        <v>9</v>
      </c>
      <c r="D249" s="199" t="str">
        <f ca="1">IFERROR(__xludf.DUMMYFUNCTION("""COMPUTED_VALUE"""),"G")</f>
        <v>G</v>
      </c>
      <c r="E249" s="202" t="str">
        <f ca="1">IFERROR(__xludf.DUMMYFUNCTION("""COMPUTED_VALUE"""),"F")</f>
        <v>F</v>
      </c>
      <c r="F249" s="202" t="str">
        <f ca="1">IFERROR(__xludf.DUMMYFUNCTION("""COMPUTED_VALUE"""),"J")</f>
        <v>J</v>
      </c>
      <c r="G249" s="202">
        <f ca="1">IFERROR(__xludf.DUMMYFUNCTION("""COMPUTED_VALUE"""),5)</f>
        <v>5</v>
      </c>
      <c r="H249" s="208"/>
      <c r="I249" s="208"/>
      <c r="J249" s="208"/>
      <c r="K249" s="208"/>
      <c r="L249" s="208" t="str">
        <v/>
      </c>
      <c r="M249" s="208" t="str">
        <v/>
      </c>
    </row>
    <row r="250" spans="1:13" ht="14.4">
      <c r="A250" s="199" t="str">
        <f ca="1">IFERROR(__xludf.DUMMYFUNCTION("""COMPUTED_VALUE"""),"CP")</f>
        <v>CP</v>
      </c>
      <c r="B250" s="207" t="str">
        <f ca="1">IFERROR(__xludf.DUMMYFUNCTION("""COMPUTED_VALUE"""),"Kiana Ryan")</f>
        <v>Kiana Ryan</v>
      </c>
      <c r="C250" s="199">
        <f ca="1">IFERROR(__xludf.DUMMYFUNCTION("""COMPUTED_VALUE"""),9)</f>
        <v>9</v>
      </c>
      <c r="D250" s="199" t="str">
        <f ca="1">IFERROR(__xludf.DUMMYFUNCTION("""COMPUTED_VALUE"""),"G")</f>
        <v>G</v>
      </c>
      <c r="E250" s="202" t="str">
        <f ca="1">IFERROR(__xludf.DUMMYFUNCTION("""COMPUTED_VALUE"""),"F")</f>
        <v>F</v>
      </c>
      <c r="F250" s="202" t="str">
        <f ca="1">IFERROR(__xludf.DUMMYFUNCTION("""COMPUTED_VALUE"""),"J")</f>
        <v>J</v>
      </c>
      <c r="G250" s="202">
        <f ca="1">IFERROR(__xludf.DUMMYFUNCTION("""COMPUTED_VALUE"""),5)</f>
        <v>5</v>
      </c>
      <c r="H250" s="206"/>
      <c r="I250" s="206"/>
      <c r="J250" s="206"/>
      <c r="K250" s="206"/>
      <c r="L250" s="206" t="str">
        <v/>
      </c>
      <c r="M250" s="206" t="str">
        <v/>
      </c>
    </row>
    <row r="251" spans="1:13" ht="14.4">
      <c r="A251" s="199" t="str">
        <f ca="1">IFERROR(__xludf.DUMMYFUNCTION("""COMPUTED_VALUE"""),"CP")</f>
        <v>CP</v>
      </c>
      <c r="B251" s="207" t="str">
        <f ca="1">IFERROR(__xludf.DUMMYFUNCTION("""COMPUTED_VALUE"""),"Leah Pounder")</f>
        <v>Leah Pounder</v>
      </c>
      <c r="C251" s="199">
        <f ca="1">IFERROR(__xludf.DUMMYFUNCTION("""COMPUTED_VALUE"""),9)</f>
        <v>9</v>
      </c>
      <c r="D251" s="199" t="str">
        <f ca="1">IFERROR(__xludf.DUMMYFUNCTION("""COMPUTED_VALUE"""),"G")</f>
        <v>G</v>
      </c>
      <c r="E251" s="202" t="str">
        <f ca="1">IFERROR(__xludf.DUMMYFUNCTION("""COMPUTED_VALUE"""),"F")</f>
        <v>F</v>
      </c>
      <c r="F251" s="202" t="str">
        <f ca="1">IFERROR(__xludf.DUMMYFUNCTION("""COMPUTED_VALUE"""),"J")</f>
        <v>J</v>
      </c>
      <c r="G251" s="202">
        <f ca="1">IFERROR(__xludf.DUMMYFUNCTION("""COMPUTED_VALUE"""),5)</f>
        <v>5</v>
      </c>
      <c r="H251" s="206"/>
      <c r="I251" s="206"/>
      <c r="J251" s="206"/>
      <c r="K251" s="206"/>
      <c r="L251" s="206" t="str">
        <v/>
      </c>
      <c r="M251" s="206" t="str">
        <v/>
      </c>
    </row>
    <row r="252" spans="1:13" ht="14.4">
      <c r="A252" s="199" t="str">
        <f ca="1">IFERROR(__xludf.DUMMYFUNCTION("""COMPUTED_VALUE"""),"CP")</f>
        <v>CP</v>
      </c>
      <c r="B252" s="207" t="str">
        <f ca="1">IFERROR(__xludf.DUMMYFUNCTION("""COMPUTED_VALUE"""),"Lily Sabo")</f>
        <v>Lily Sabo</v>
      </c>
      <c r="C252" s="199">
        <f ca="1">IFERROR(__xludf.DUMMYFUNCTION("""COMPUTED_VALUE"""),6)</f>
        <v>6</v>
      </c>
      <c r="D252" s="199" t="str">
        <f ca="1">IFERROR(__xludf.DUMMYFUNCTION("""COMPUTED_VALUE"""),"G")</f>
        <v>G</v>
      </c>
      <c r="E252" s="202" t="str">
        <f ca="1">IFERROR(__xludf.DUMMYFUNCTION("""COMPUTED_VALUE"""),"F")</f>
        <v>F</v>
      </c>
      <c r="F252" s="202" t="str">
        <f ca="1">IFERROR(__xludf.DUMMYFUNCTION("""COMPUTED_VALUE"""),"J")</f>
        <v>J</v>
      </c>
      <c r="G252" s="202">
        <f ca="1">IFERROR(__xludf.DUMMYFUNCTION("""COMPUTED_VALUE"""),5)</f>
        <v>5</v>
      </c>
      <c r="H252" s="206"/>
      <c r="I252" s="206"/>
      <c r="J252" s="206"/>
      <c r="K252" s="206"/>
      <c r="L252" s="206" t="str">
        <v/>
      </c>
      <c r="M252" s="206" t="str">
        <v/>
      </c>
    </row>
    <row r="253" spans="1:13" ht="14.4">
      <c r="A253" s="199" t="str">
        <f ca="1">IFERROR(__xludf.DUMMYFUNCTION("""COMPUTED_VALUE"""),"CP")</f>
        <v>CP</v>
      </c>
      <c r="B253" s="207" t="str">
        <f ca="1">IFERROR(__xludf.DUMMYFUNCTION("""COMPUTED_VALUE"""),"Sarah Keller")</f>
        <v>Sarah Keller</v>
      </c>
      <c r="C253" s="199">
        <f ca="1">IFERROR(__xludf.DUMMYFUNCTION("""COMPUTED_VALUE"""),9)</f>
        <v>9</v>
      </c>
      <c r="D253" s="199" t="str">
        <f ca="1">IFERROR(__xludf.DUMMYFUNCTION("""COMPUTED_VALUE"""),"G")</f>
        <v>G</v>
      </c>
      <c r="E253" s="202" t="str">
        <f ca="1">IFERROR(__xludf.DUMMYFUNCTION("""COMPUTED_VALUE"""),"F")</f>
        <v>F</v>
      </c>
      <c r="F253" s="202" t="str">
        <f ca="1">IFERROR(__xludf.DUMMYFUNCTION("""COMPUTED_VALUE"""),"J")</f>
        <v>J</v>
      </c>
      <c r="G253" s="202">
        <f ca="1">IFERROR(__xludf.DUMMYFUNCTION("""COMPUTED_VALUE"""),5)</f>
        <v>5</v>
      </c>
      <c r="H253" s="206"/>
      <c r="I253" s="206"/>
      <c r="J253" s="206"/>
      <c r="K253" s="206"/>
      <c r="L253" s="206" t="str">
        <v/>
      </c>
      <c r="M253" s="206" t="str">
        <v/>
      </c>
    </row>
    <row r="254" spans="1:13" ht="14.4">
      <c r="A254" s="199" t="str">
        <f ca="1">IFERROR(__xludf.DUMMYFUNCTION("""COMPUTED_VALUE"""),"CP")</f>
        <v>CP</v>
      </c>
      <c r="B254" s="207" t="str">
        <f ca="1">IFERROR(__xludf.DUMMYFUNCTION("""COMPUTED_VALUE"""),"Sloan Tann")</f>
        <v>Sloan Tann</v>
      </c>
      <c r="C254" s="199">
        <f ca="1">IFERROR(__xludf.DUMMYFUNCTION("""COMPUTED_VALUE"""),10)</f>
        <v>10</v>
      </c>
      <c r="D254" s="199" t="str">
        <f ca="1">IFERROR(__xludf.DUMMYFUNCTION("""COMPUTED_VALUE"""),"G")</f>
        <v>G</v>
      </c>
      <c r="E254" s="202" t="str">
        <f ca="1">IFERROR(__xludf.DUMMYFUNCTION("""COMPUTED_VALUE"""),"F")</f>
        <v>F</v>
      </c>
      <c r="F254" s="202" t="str">
        <f ca="1">IFERROR(__xludf.DUMMYFUNCTION("""COMPUTED_VALUE"""),"J")</f>
        <v>J</v>
      </c>
      <c r="G254" s="202">
        <f ca="1">IFERROR(__xludf.DUMMYFUNCTION("""COMPUTED_VALUE"""),5)</f>
        <v>5</v>
      </c>
      <c r="H254" s="208">
        <v>90.1</v>
      </c>
      <c r="I254" s="208"/>
      <c r="J254" s="208" t="s">
        <v>121</v>
      </c>
      <c r="K254" s="208"/>
      <c r="L254" s="208" t="str">
        <v xml:space="preserve"> 90.1</v>
      </c>
      <c r="M254" s="208" t="str">
        <v/>
      </c>
    </row>
    <row r="255" spans="1:13" ht="14.4">
      <c r="A255" s="199" t="str">
        <f ca="1">IFERROR(__xludf.DUMMYFUNCTION("""COMPUTED_VALUE"""),"CP")</f>
        <v>CP</v>
      </c>
      <c r="B255" s="207" t="str">
        <f ca="1">IFERROR(__xludf.DUMMYFUNCTION("""COMPUTED_VALUE"""),"Taylor Lehmann")</f>
        <v>Taylor Lehmann</v>
      </c>
      <c r="C255" s="199">
        <f ca="1">IFERROR(__xludf.DUMMYFUNCTION("""COMPUTED_VALUE"""),9)</f>
        <v>9</v>
      </c>
      <c r="D255" s="199" t="str">
        <f ca="1">IFERROR(__xludf.DUMMYFUNCTION("""COMPUTED_VALUE"""),"G")</f>
        <v>G</v>
      </c>
      <c r="E255" s="202" t="str">
        <f ca="1">IFERROR(__xludf.DUMMYFUNCTION("""COMPUTED_VALUE"""),"F")</f>
        <v>F</v>
      </c>
      <c r="F255" s="202" t="str">
        <f ca="1">IFERROR(__xludf.DUMMYFUNCTION("""COMPUTED_VALUE"""),"J")</f>
        <v>J</v>
      </c>
      <c r="G255" s="202">
        <f ca="1">IFERROR(__xludf.DUMMYFUNCTION("""COMPUTED_VALUE"""),5)</f>
        <v>5</v>
      </c>
      <c r="H255" s="208"/>
      <c r="I255" s="208"/>
      <c r="J255" s="208"/>
      <c r="K255" s="208"/>
      <c r="L255" s="208" t="str">
        <v/>
      </c>
      <c r="M255" s="208" t="str">
        <v/>
      </c>
    </row>
    <row r="256" spans="1:13" ht="14.4">
      <c r="A256" s="199" t="str">
        <f ca="1">IFERROR(__xludf.DUMMYFUNCTION("""COMPUTED_VALUE"""),"CP")</f>
        <v>CP</v>
      </c>
      <c r="B256" s="207" t="str">
        <f ca="1">IFERROR(__xludf.DUMMYFUNCTION("""COMPUTED_VALUE"""),"Taylor Miller")</f>
        <v>Taylor Miller</v>
      </c>
      <c r="C256" s="199">
        <f ca="1">IFERROR(__xludf.DUMMYFUNCTION("""COMPUTED_VALUE"""),10)</f>
        <v>10</v>
      </c>
      <c r="D256" s="199" t="str">
        <f ca="1">IFERROR(__xludf.DUMMYFUNCTION("""COMPUTED_VALUE"""),"G")</f>
        <v>G</v>
      </c>
      <c r="E256" s="202" t="str">
        <f ca="1">IFERROR(__xludf.DUMMYFUNCTION("""COMPUTED_VALUE"""),"F")</f>
        <v>F</v>
      </c>
      <c r="F256" s="202" t="str">
        <f ca="1">IFERROR(__xludf.DUMMYFUNCTION("""COMPUTED_VALUE"""),"J")</f>
        <v>J</v>
      </c>
      <c r="G256" s="202">
        <f ca="1">IFERROR(__xludf.DUMMYFUNCTION("""COMPUTED_VALUE"""),5)</f>
        <v>5</v>
      </c>
      <c r="H256" s="206"/>
      <c r="I256" s="206"/>
      <c r="J256" s="206"/>
      <c r="K256" s="206"/>
      <c r="L256" s="206" t="str">
        <v/>
      </c>
      <c r="M256" s="206" t="str">
        <v/>
      </c>
    </row>
    <row r="257" spans="1:13" ht="14.4">
      <c r="A257" s="199" t="str">
        <f ca="1">IFERROR(__xludf.DUMMYFUNCTION("""COMPUTED_VALUE"""),"CP")</f>
        <v>CP</v>
      </c>
      <c r="B257" s="207" t="str">
        <f ca="1">IFERROR(__xludf.DUMMYFUNCTION("""COMPUTED_VALUE"""),"Teagan Johns")</f>
        <v>Teagan Johns</v>
      </c>
      <c r="C257" s="199">
        <f ca="1">IFERROR(__xludf.DUMMYFUNCTION("""COMPUTED_VALUE"""),10)</f>
        <v>10</v>
      </c>
      <c r="D257" s="199" t="str">
        <f ca="1">IFERROR(__xludf.DUMMYFUNCTION("""COMPUTED_VALUE"""),"G")</f>
        <v>G</v>
      </c>
      <c r="E257" s="202" t="str">
        <f ca="1">IFERROR(__xludf.DUMMYFUNCTION("""COMPUTED_VALUE"""),"F")</f>
        <v>F</v>
      </c>
      <c r="F257" s="202" t="str">
        <f ca="1">IFERROR(__xludf.DUMMYFUNCTION("""COMPUTED_VALUE"""),"J")</f>
        <v>J</v>
      </c>
      <c r="G257" s="202">
        <f ca="1">IFERROR(__xludf.DUMMYFUNCTION("""COMPUTED_VALUE"""),5)</f>
        <v>5</v>
      </c>
      <c r="H257" s="208">
        <v>65.25</v>
      </c>
      <c r="I257" s="208"/>
      <c r="J257" s="208" t="s">
        <v>121</v>
      </c>
      <c r="K257" s="208"/>
      <c r="L257" s="208" t="str">
        <v xml:space="preserve"> 65.25</v>
      </c>
      <c r="M257" s="208" t="str">
        <v/>
      </c>
    </row>
    <row r="258" spans="1:13" ht="14.4">
      <c r="A258" s="199" t="str">
        <f ca="1">IFERROR(__xludf.DUMMYFUNCTION("""COMPUTED_VALUE"""),"CP")</f>
        <v>CP</v>
      </c>
      <c r="B258" s="207" t="str">
        <f ca="1">IFERROR(__xludf.DUMMYFUNCTION("""COMPUTED_VALUE"""),"A J Sumangil")</f>
        <v>A J Sumangil</v>
      </c>
      <c r="C258" s="199">
        <f ca="1">IFERROR(__xludf.DUMMYFUNCTION("""COMPUTED_VALUE"""),14)</f>
        <v>14</v>
      </c>
      <c r="D258" s="199" t="str">
        <f ca="1">IFERROR(__xludf.DUMMYFUNCTION("""COMPUTED_VALUE"""),"B")</f>
        <v>B</v>
      </c>
      <c r="E258" s="202" t="str">
        <f ca="1">IFERROR(__xludf.DUMMYFUNCTION("""COMPUTED_VALUE"""),"I")</f>
        <v>I</v>
      </c>
      <c r="F258" s="202" t="str">
        <f ca="1">IFERROR(__xludf.DUMMYFUNCTION("""COMPUTED_VALUE"""),"S")</f>
        <v>S</v>
      </c>
      <c r="G258" s="202">
        <f ca="1">IFERROR(__xludf.DUMMYFUNCTION("""COMPUTED_VALUE"""),5)</f>
        <v>5</v>
      </c>
      <c r="H258" s="208"/>
      <c r="I258" s="208"/>
      <c r="J258" s="208"/>
      <c r="K258" s="208"/>
      <c r="L258" s="208" t="str">
        <v/>
      </c>
      <c r="M258" s="208" t="str">
        <v/>
      </c>
    </row>
    <row r="259" spans="1:13" ht="14.4">
      <c r="A259" s="199" t="str">
        <f ca="1">IFERROR(__xludf.DUMMYFUNCTION("""COMPUTED_VALUE"""),"CP")</f>
        <v>CP</v>
      </c>
      <c r="B259" s="207" t="str">
        <f ca="1">IFERROR(__xludf.DUMMYFUNCTION("""COMPUTED_VALUE"""),"Brady Davies")</f>
        <v>Brady Davies</v>
      </c>
      <c r="C259" s="199">
        <f ca="1">IFERROR(__xludf.DUMMYFUNCTION("""COMPUTED_VALUE"""),13)</f>
        <v>13</v>
      </c>
      <c r="D259" s="199" t="str">
        <f ca="1">IFERROR(__xludf.DUMMYFUNCTION("""COMPUTED_VALUE"""),"B")</f>
        <v>B</v>
      </c>
      <c r="E259" s="202" t="str">
        <f ca="1">IFERROR(__xludf.DUMMYFUNCTION("""COMPUTED_VALUE"""),"I")</f>
        <v>I</v>
      </c>
      <c r="F259" s="202" t="str">
        <f ca="1">IFERROR(__xludf.DUMMYFUNCTION("""COMPUTED_VALUE"""),"S")</f>
        <v>S</v>
      </c>
      <c r="G259" s="202">
        <f ca="1">IFERROR(__xludf.DUMMYFUNCTION("""COMPUTED_VALUE"""),5)</f>
        <v>5</v>
      </c>
      <c r="H259" s="208"/>
      <c r="I259" s="208">
        <v>135.15</v>
      </c>
      <c r="J259" s="208"/>
      <c r="K259" s="208" t="s">
        <v>121</v>
      </c>
      <c r="L259" s="208" t="str">
        <v xml:space="preserve"> 135.15</v>
      </c>
      <c r="M259" s="208" t="str">
        <v/>
      </c>
    </row>
    <row r="260" spans="1:13" ht="14.4">
      <c r="A260" s="199" t="str">
        <f ca="1">IFERROR(__xludf.DUMMYFUNCTION("""COMPUTED_VALUE"""),"CP")</f>
        <v>CP</v>
      </c>
      <c r="B260" s="207" t="str">
        <f ca="1">IFERROR(__xludf.DUMMYFUNCTION("""COMPUTED_VALUE"""),"Abigail Whelan")</f>
        <v>Abigail Whelan</v>
      </c>
      <c r="C260" s="199">
        <f ca="1">IFERROR(__xludf.DUMMYFUNCTION("""COMPUTED_VALUE"""),13)</f>
        <v>13</v>
      </c>
      <c r="D260" s="199" t="str">
        <f ca="1">IFERROR(__xludf.DUMMYFUNCTION("""COMPUTED_VALUE"""),"G")</f>
        <v>G</v>
      </c>
      <c r="E260" s="202" t="str">
        <f ca="1">IFERROR(__xludf.DUMMYFUNCTION("""COMPUTED_VALUE"""),"I")</f>
        <v>I</v>
      </c>
      <c r="F260" s="202" t="str">
        <f ca="1">IFERROR(__xludf.DUMMYFUNCTION("""COMPUTED_VALUE"""),"S")</f>
        <v>S</v>
      </c>
      <c r="G260" s="202">
        <f ca="1">IFERROR(__xludf.DUMMYFUNCTION("""COMPUTED_VALUE"""),5)</f>
        <v>5</v>
      </c>
      <c r="H260" s="208"/>
      <c r="I260" s="208"/>
      <c r="J260" s="208"/>
      <c r="K260" s="208"/>
      <c r="L260" s="208" t="str">
        <v/>
      </c>
      <c r="M260" s="208" t="str">
        <v/>
      </c>
    </row>
    <row r="261" spans="1:13" ht="14.4">
      <c r="A261" s="199" t="str">
        <f ca="1">IFERROR(__xludf.DUMMYFUNCTION("""COMPUTED_VALUE"""),"CP")</f>
        <v>CP</v>
      </c>
      <c r="B261" s="207" t="str">
        <f ca="1">IFERROR(__xludf.DUMMYFUNCTION("""COMPUTED_VALUE"""),"Ceara Manser")</f>
        <v>Ceara Manser</v>
      </c>
      <c r="C261" s="199">
        <f ca="1">IFERROR(__xludf.DUMMYFUNCTION("""COMPUTED_VALUE"""),14)</f>
        <v>14</v>
      </c>
      <c r="D261" s="199" t="str">
        <f ca="1">IFERROR(__xludf.DUMMYFUNCTION("""COMPUTED_VALUE"""),"G")</f>
        <v>G</v>
      </c>
      <c r="E261" s="202" t="str">
        <f ca="1">IFERROR(__xludf.DUMMYFUNCTION("""COMPUTED_VALUE"""),"I")</f>
        <v>I</v>
      </c>
      <c r="F261" s="202" t="str">
        <f ca="1">IFERROR(__xludf.DUMMYFUNCTION("""COMPUTED_VALUE"""),"S")</f>
        <v>S</v>
      </c>
      <c r="G261" s="202">
        <f ca="1">IFERROR(__xludf.DUMMYFUNCTION("""COMPUTED_VALUE"""),5)</f>
        <v>5</v>
      </c>
      <c r="H261" s="208"/>
      <c r="I261" s="208"/>
      <c r="J261" s="208"/>
      <c r="K261" s="208"/>
      <c r="L261" s="208" t="str">
        <v/>
      </c>
      <c r="M261" s="208" t="str">
        <v/>
      </c>
    </row>
    <row r="262" spans="1:13" ht="14.4">
      <c r="A262" s="199" t="str">
        <f ca="1">IFERROR(__xludf.DUMMYFUNCTION("""COMPUTED_VALUE"""),"CP")</f>
        <v>CP</v>
      </c>
      <c r="B262" s="207" t="str">
        <f ca="1">IFERROR(__xludf.DUMMYFUNCTION("""COMPUTED_VALUE"""),"Katy Haransky")</f>
        <v>Katy Haransky</v>
      </c>
      <c r="C262" s="199">
        <f ca="1">IFERROR(__xludf.DUMMYFUNCTION("""COMPUTED_VALUE"""),13)</f>
        <v>13</v>
      </c>
      <c r="D262" s="199" t="str">
        <f ca="1">IFERROR(__xludf.DUMMYFUNCTION("""COMPUTED_VALUE"""),"G")</f>
        <v>G</v>
      </c>
      <c r="E262" s="202" t="str">
        <f ca="1">IFERROR(__xludf.DUMMYFUNCTION("""COMPUTED_VALUE"""),"I")</f>
        <v>I</v>
      </c>
      <c r="F262" s="202" t="str">
        <f ca="1">IFERROR(__xludf.DUMMYFUNCTION("""COMPUTED_VALUE"""),"S")</f>
        <v>S</v>
      </c>
      <c r="G262" s="202">
        <f ca="1">IFERROR(__xludf.DUMMYFUNCTION("""COMPUTED_VALUE"""),5)</f>
        <v>5</v>
      </c>
      <c r="H262" s="206">
        <v>143</v>
      </c>
      <c r="I262" s="206"/>
      <c r="J262" s="206" t="s">
        <v>121</v>
      </c>
      <c r="K262" s="206"/>
      <c r="L262" s="206" t="str">
        <v xml:space="preserve"> 143</v>
      </c>
      <c r="M262" s="206" t="str">
        <v/>
      </c>
    </row>
    <row r="263" spans="1:13" ht="14.4">
      <c r="A263" s="199" t="str">
        <f ca="1">IFERROR(__xludf.DUMMYFUNCTION("""COMPUTED_VALUE"""),"CP")</f>
        <v>CP</v>
      </c>
      <c r="B263" s="207" t="str">
        <f ca="1">IFERROR(__xludf.DUMMYFUNCTION("""COMPUTED_VALUE"""),"Kayley Davis")</f>
        <v>Kayley Davis</v>
      </c>
      <c r="C263" s="199">
        <f ca="1">IFERROR(__xludf.DUMMYFUNCTION("""COMPUTED_VALUE"""),14)</f>
        <v>14</v>
      </c>
      <c r="D263" s="199" t="str">
        <f ca="1">IFERROR(__xludf.DUMMYFUNCTION("""COMPUTED_VALUE"""),"G")</f>
        <v>G</v>
      </c>
      <c r="E263" s="202" t="str">
        <f ca="1">IFERROR(__xludf.DUMMYFUNCTION("""COMPUTED_VALUE"""),"I")</f>
        <v>I</v>
      </c>
      <c r="F263" s="202" t="str">
        <f ca="1">IFERROR(__xludf.DUMMYFUNCTION("""COMPUTED_VALUE"""),"S")</f>
        <v>S</v>
      </c>
      <c r="G263" s="202">
        <f ca="1">IFERROR(__xludf.DUMMYFUNCTION("""COMPUTED_VALUE"""),5)</f>
        <v>5</v>
      </c>
      <c r="H263" s="208"/>
      <c r="I263" s="208"/>
      <c r="J263" s="208"/>
      <c r="K263" s="208"/>
      <c r="L263" s="208" t="str">
        <v/>
      </c>
      <c r="M263" s="208" t="str">
        <v/>
      </c>
    </row>
    <row r="264" spans="1:13" ht="14.4">
      <c r="A264" s="199" t="str">
        <f ca="1">IFERROR(__xludf.DUMMYFUNCTION("""COMPUTED_VALUE"""),"CP")</f>
        <v>CP</v>
      </c>
      <c r="B264" s="207" t="str">
        <f ca="1">IFERROR(__xludf.DUMMYFUNCTION("""COMPUTED_VALUE"""),"Caleb Schwab")</f>
        <v>Caleb Schwab</v>
      </c>
      <c r="C264" s="199">
        <f ca="1">IFERROR(__xludf.DUMMYFUNCTION("""COMPUTED_VALUE"""),11)</f>
        <v>11</v>
      </c>
      <c r="D264" s="199" t="str">
        <f ca="1">IFERROR(__xludf.DUMMYFUNCTION("""COMPUTED_VALUE"""),"B")</f>
        <v>B</v>
      </c>
      <c r="E264" s="202" t="str">
        <f ca="1">IFERROR(__xludf.DUMMYFUNCTION("""COMPUTED_VALUE"""),"J")</f>
        <v>J</v>
      </c>
      <c r="F264" s="202" t="str">
        <f ca="1">IFERROR(__xludf.DUMMYFUNCTION("""COMPUTED_VALUE"""),"I")</f>
        <v>I</v>
      </c>
      <c r="G264" s="202">
        <f ca="1">IFERROR(__xludf.DUMMYFUNCTION("""COMPUTED_VALUE"""),5)</f>
        <v>5</v>
      </c>
      <c r="H264" s="208"/>
      <c r="I264" s="208">
        <v>81.45</v>
      </c>
      <c r="J264" s="208"/>
      <c r="K264" s="208" t="s">
        <v>121</v>
      </c>
      <c r="L264" s="208" t="str">
        <v xml:space="preserve"> 81.45</v>
      </c>
      <c r="M264" s="208" t="str">
        <v/>
      </c>
    </row>
    <row r="265" spans="1:13" ht="14.4">
      <c r="A265" s="199" t="str">
        <f ca="1">IFERROR(__xludf.DUMMYFUNCTION("""COMPUTED_VALUE"""),"CP")</f>
        <v>CP</v>
      </c>
      <c r="B265" s="207" t="str">
        <f ca="1">IFERROR(__xludf.DUMMYFUNCTION("""COMPUTED_VALUE"""),"Dylan Johns")</f>
        <v>Dylan Johns</v>
      </c>
      <c r="C265" s="199">
        <f ca="1">IFERROR(__xludf.DUMMYFUNCTION("""COMPUTED_VALUE"""),12)</f>
        <v>12</v>
      </c>
      <c r="D265" s="199" t="str">
        <f ca="1">IFERROR(__xludf.DUMMYFUNCTION("""COMPUTED_VALUE"""),"B")</f>
        <v>B</v>
      </c>
      <c r="E265" s="202" t="str">
        <f ca="1">IFERROR(__xludf.DUMMYFUNCTION("""COMPUTED_VALUE"""),"J")</f>
        <v>J</v>
      </c>
      <c r="F265" s="202" t="str">
        <f ca="1">IFERROR(__xludf.DUMMYFUNCTION("""COMPUTED_VALUE"""),"I")</f>
        <v>I</v>
      </c>
      <c r="G265" s="202">
        <f ca="1">IFERROR(__xludf.DUMMYFUNCTION("""COMPUTED_VALUE"""),5)</f>
        <v>5</v>
      </c>
      <c r="H265" s="208"/>
      <c r="I265" s="208">
        <v>90.3</v>
      </c>
      <c r="J265" s="208"/>
      <c r="K265" s="208" t="s">
        <v>121</v>
      </c>
      <c r="L265" s="208" t="str">
        <v xml:space="preserve"> 90.3</v>
      </c>
      <c r="M265" s="208" t="str">
        <v/>
      </c>
    </row>
    <row r="266" spans="1:13" ht="14.4">
      <c r="A266" s="199" t="str">
        <f ca="1">IFERROR(__xludf.DUMMYFUNCTION("""COMPUTED_VALUE"""),"CP")</f>
        <v>CP</v>
      </c>
      <c r="B266" s="207" t="str">
        <f ca="1">IFERROR(__xludf.DUMMYFUNCTION("""COMPUTED_VALUE"""),"Enrique Ugalde")</f>
        <v>Enrique Ugalde</v>
      </c>
      <c r="C266" s="199">
        <f ca="1">IFERROR(__xludf.DUMMYFUNCTION("""COMPUTED_VALUE"""),12)</f>
        <v>12</v>
      </c>
      <c r="D266" s="199" t="str">
        <f ca="1">IFERROR(__xludf.DUMMYFUNCTION("""COMPUTED_VALUE"""),"B")</f>
        <v>B</v>
      </c>
      <c r="E266" s="202" t="str">
        <f ca="1">IFERROR(__xludf.DUMMYFUNCTION("""COMPUTED_VALUE"""),"J")</f>
        <v>J</v>
      </c>
      <c r="F266" s="202" t="str">
        <f ca="1">IFERROR(__xludf.DUMMYFUNCTION("""COMPUTED_VALUE"""),"I")</f>
        <v>I</v>
      </c>
      <c r="G266" s="202">
        <f ca="1">IFERROR(__xludf.DUMMYFUNCTION("""COMPUTED_VALUE"""),5)</f>
        <v>5</v>
      </c>
      <c r="H266" s="208"/>
      <c r="I266" s="208">
        <v>82.1</v>
      </c>
      <c r="J266" s="208"/>
      <c r="K266" s="208" t="s">
        <v>121</v>
      </c>
      <c r="L266" s="208" t="str">
        <v xml:space="preserve"> 82.1</v>
      </c>
      <c r="M266" s="208" t="str">
        <v/>
      </c>
    </row>
    <row r="267" spans="1:13" ht="14.4">
      <c r="A267" s="199" t="str">
        <f ca="1">IFERROR(__xludf.DUMMYFUNCTION("""COMPUTED_VALUE"""),"CP")</f>
        <v>CP</v>
      </c>
      <c r="B267" s="207" t="str">
        <f ca="1">IFERROR(__xludf.DUMMYFUNCTION("""COMPUTED_VALUE"""),"Grant Fricke")</f>
        <v>Grant Fricke</v>
      </c>
      <c r="C267" s="199">
        <f ca="1">IFERROR(__xludf.DUMMYFUNCTION("""COMPUTED_VALUE"""),12)</f>
        <v>12</v>
      </c>
      <c r="D267" s="199" t="str">
        <f ca="1">IFERROR(__xludf.DUMMYFUNCTION("""COMPUTED_VALUE"""),"B")</f>
        <v>B</v>
      </c>
      <c r="E267" s="202" t="str">
        <f ca="1">IFERROR(__xludf.DUMMYFUNCTION("""COMPUTED_VALUE"""),"J")</f>
        <v>J</v>
      </c>
      <c r="F267" s="202" t="str">
        <f ca="1">IFERROR(__xludf.DUMMYFUNCTION("""COMPUTED_VALUE"""),"I")</f>
        <v>I</v>
      </c>
      <c r="G267" s="202">
        <f ca="1">IFERROR(__xludf.DUMMYFUNCTION("""COMPUTED_VALUE"""),5)</f>
        <v>5</v>
      </c>
      <c r="H267" s="208"/>
      <c r="I267" s="208"/>
      <c r="J267" s="208"/>
      <c r="K267" s="208"/>
      <c r="L267" s="208" t="str">
        <v/>
      </c>
      <c r="M267" s="208" t="str">
        <v/>
      </c>
    </row>
    <row r="268" spans="1:13" ht="14.4">
      <c r="A268" s="199" t="str">
        <f ca="1">IFERROR(__xludf.DUMMYFUNCTION("""COMPUTED_VALUE"""),"CP")</f>
        <v>CP</v>
      </c>
      <c r="B268" s="207" t="str">
        <f ca="1">IFERROR(__xludf.DUMMYFUNCTION("""COMPUTED_VALUE"""),"Kyle Haight")</f>
        <v>Kyle Haight</v>
      </c>
      <c r="C268" s="199">
        <f ca="1">IFERROR(__xludf.DUMMYFUNCTION("""COMPUTED_VALUE"""),12)</f>
        <v>12</v>
      </c>
      <c r="D268" s="199" t="str">
        <f ca="1">IFERROR(__xludf.DUMMYFUNCTION("""COMPUTED_VALUE"""),"B")</f>
        <v>B</v>
      </c>
      <c r="E268" s="202" t="str">
        <f ca="1">IFERROR(__xludf.DUMMYFUNCTION("""COMPUTED_VALUE"""),"J")</f>
        <v>J</v>
      </c>
      <c r="F268" s="202" t="str">
        <f ca="1">IFERROR(__xludf.DUMMYFUNCTION("""COMPUTED_VALUE"""),"I")</f>
        <v>I</v>
      </c>
      <c r="G268" s="202">
        <f ca="1">IFERROR(__xludf.DUMMYFUNCTION("""COMPUTED_VALUE"""),5)</f>
        <v>5</v>
      </c>
      <c r="H268" s="208"/>
      <c r="I268" s="208"/>
      <c r="J268" s="208"/>
      <c r="K268" s="208"/>
      <c r="L268" s="208" t="str">
        <v/>
      </c>
      <c r="M268" s="208" t="str">
        <v/>
      </c>
    </row>
    <row r="269" spans="1:13" ht="14.4">
      <c r="A269" s="199" t="str">
        <f ca="1">IFERROR(__xludf.DUMMYFUNCTION("""COMPUTED_VALUE"""),"CP")</f>
        <v>CP</v>
      </c>
      <c r="B269" s="207" t="str">
        <f ca="1">IFERROR(__xludf.DUMMYFUNCTION("""COMPUTED_VALUE"""),"Warren Drake")</f>
        <v>Warren Drake</v>
      </c>
      <c r="C269" s="199">
        <f ca="1">IFERROR(__xludf.DUMMYFUNCTION("""COMPUTED_VALUE"""),11)</f>
        <v>11</v>
      </c>
      <c r="D269" s="199" t="str">
        <f ca="1">IFERROR(__xludf.DUMMYFUNCTION("""COMPUTED_VALUE"""),"B")</f>
        <v>B</v>
      </c>
      <c r="E269" s="202" t="str">
        <f ca="1">IFERROR(__xludf.DUMMYFUNCTION("""COMPUTED_VALUE"""),"J")</f>
        <v>J</v>
      </c>
      <c r="F269" s="202" t="str">
        <f ca="1">IFERROR(__xludf.DUMMYFUNCTION("""COMPUTED_VALUE"""),"I")</f>
        <v>I</v>
      </c>
      <c r="G269" s="202">
        <f ca="1">IFERROR(__xludf.DUMMYFUNCTION("""COMPUTED_VALUE"""),5)</f>
        <v>5</v>
      </c>
      <c r="H269" s="206"/>
      <c r="I269" s="206"/>
      <c r="J269" s="206"/>
      <c r="K269" s="206"/>
      <c r="L269" s="206" t="str">
        <v/>
      </c>
      <c r="M269" s="206" t="str">
        <v/>
      </c>
    </row>
    <row r="270" spans="1:13" ht="14.4">
      <c r="A270" s="199" t="str">
        <f ca="1">IFERROR(__xludf.DUMMYFUNCTION("""COMPUTED_VALUE"""),"CP")</f>
        <v>CP</v>
      </c>
      <c r="B270" s="207" t="str">
        <f ca="1">IFERROR(__xludf.DUMMYFUNCTION("""COMPUTED_VALUE"""),"Amari Scruggs")</f>
        <v>Amari Scruggs</v>
      </c>
      <c r="C270" s="199">
        <f ca="1">IFERROR(__xludf.DUMMYFUNCTION("""COMPUTED_VALUE"""),12)</f>
        <v>12</v>
      </c>
      <c r="D270" s="199" t="str">
        <f ca="1">IFERROR(__xludf.DUMMYFUNCTION("""COMPUTED_VALUE"""),"G")</f>
        <v>G</v>
      </c>
      <c r="E270" s="202" t="str">
        <f ca="1">IFERROR(__xludf.DUMMYFUNCTION("""COMPUTED_VALUE"""),"J")</f>
        <v>J</v>
      </c>
      <c r="F270" s="202" t="str">
        <f ca="1">IFERROR(__xludf.DUMMYFUNCTION("""COMPUTED_VALUE"""),"I")</f>
        <v>I</v>
      </c>
      <c r="G270" s="202">
        <f ca="1">IFERROR(__xludf.DUMMYFUNCTION("""COMPUTED_VALUE"""),5)</f>
        <v>5</v>
      </c>
      <c r="H270" s="208"/>
      <c r="I270" s="208"/>
      <c r="J270" s="208"/>
      <c r="K270" s="208"/>
      <c r="L270" s="208" t="str">
        <v/>
      </c>
      <c r="M270" s="208" t="str">
        <v/>
      </c>
    </row>
    <row r="271" spans="1:13" ht="14.4">
      <c r="A271" s="199" t="str">
        <f ca="1">IFERROR(__xludf.DUMMYFUNCTION("""COMPUTED_VALUE"""),"CP")</f>
        <v>CP</v>
      </c>
      <c r="B271" s="207" t="str">
        <f ca="1">IFERROR(__xludf.DUMMYFUNCTION("""COMPUTED_VALUE"""),"Carleigh Haskins")</f>
        <v>Carleigh Haskins</v>
      </c>
      <c r="C271" s="199">
        <f ca="1">IFERROR(__xludf.DUMMYFUNCTION("""COMPUTED_VALUE"""),12)</f>
        <v>12</v>
      </c>
      <c r="D271" s="199" t="str">
        <f ca="1">IFERROR(__xludf.DUMMYFUNCTION("""COMPUTED_VALUE"""),"G")</f>
        <v>G</v>
      </c>
      <c r="E271" s="202" t="str">
        <f ca="1">IFERROR(__xludf.DUMMYFUNCTION("""COMPUTED_VALUE"""),"J")</f>
        <v>J</v>
      </c>
      <c r="F271" s="202" t="str">
        <f ca="1">IFERROR(__xludf.DUMMYFUNCTION("""COMPUTED_VALUE"""),"I")</f>
        <v>I</v>
      </c>
      <c r="G271" s="202">
        <f ca="1">IFERROR(__xludf.DUMMYFUNCTION("""COMPUTED_VALUE"""),5)</f>
        <v>5</v>
      </c>
      <c r="H271" s="208">
        <v>80.849999999999994</v>
      </c>
      <c r="I271" s="208"/>
      <c r="J271" s="208" t="s">
        <v>121</v>
      </c>
      <c r="K271" s="208"/>
      <c r="L271" s="208" t="str">
        <v xml:space="preserve"> 80.85</v>
      </c>
      <c r="M271" s="208" t="str">
        <v/>
      </c>
    </row>
    <row r="272" spans="1:13" ht="14.4">
      <c r="A272" s="199" t="str">
        <f ca="1">IFERROR(__xludf.DUMMYFUNCTION("""COMPUTED_VALUE"""),"CP")</f>
        <v>CP</v>
      </c>
      <c r="B272" s="207" t="str">
        <f ca="1">IFERROR(__xludf.DUMMYFUNCTION("""COMPUTED_VALUE"""),"Caroline Apergis")</f>
        <v>Caroline Apergis</v>
      </c>
      <c r="C272" s="199">
        <f ca="1">IFERROR(__xludf.DUMMYFUNCTION("""COMPUTED_VALUE"""),12)</f>
        <v>12</v>
      </c>
      <c r="D272" s="199" t="str">
        <f ca="1">IFERROR(__xludf.DUMMYFUNCTION("""COMPUTED_VALUE"""),"G")</f>
        <v>G</v>
      </c>
      <c r="E272" s="202" t="str">
        <f ca="1">IFERROR(__xludf.DUMMYFUNCTION("""COMPUTED_VALUE"""),"J")</f>
        <v>J</v>
      </c>
      <c r="F272" s="202" t="str">
        <f ca="1">IFERROR(__xludf.DUMMYFUNCTION("""COMPUTED_VALUE"""),"I")</f>
        <v>I</v>
      </c>
      <c r="G272" s="202">
        <f ca="1">IFERROR(__xludf.DUMMYFUNCTION("""COMPUTED_VALUE"""),5)</f>
        <v>5</v>
      </c>
      <c r="H272" s="206">
        <v>92.35</v>
      </c>
      <c r="I272" s="206"/>
      <c r="J272" s="206" t="s">
        <v>121</v>
      </c>
      <c r="K272" s="206"/>
      <c r="L272" s="206" t="str">
        <v xml:space="preserve"> 92.35</v>
      </c>
      <c r="M272" s="206" t="str">
        <v/>
      </c>
    </row>
    <row r="273" spans="1:13" ht="14.4">
      <c r="A273" s="199" t="str">
        <f ca="1">IFERROR(__xludf.DUMMYFUNCTION("""COMPUTED_VALUE"""),"CP")</f>
        <v>CP</v>
      </c>
      <c r="B273" s="207" t="str">
        <f ca="1">IFERROR(__xludf.DUMMYFUNCTION("""COMPUTED_VALUE"""),"Josie Anderson")</f>
        <v>Josie Anderson</v>
      </c>
      <c r="C273" s="199">
        <f ca="1">IFERROR(__xludf.DUMMYFUNCTION("""COMPUTED_VALUE"""),11)</f>
        <v>11</v>
      </c>
      <c r="D273" s="199" t="str">
        <f ca="1">IFERROR(__xludf.DUMMYFUNCTION("""COMPUTED_VALUE"""),"G")</f>
        <v>G</v>
      </c>
      <c r="E273" s="202" t="str">
        <f ca="1">IFERROR(__xludf.DUMMYFUNCTION("""COMPUTED_VALUE"""),"J")</f>
        <v>J</v>
      </c>
      <c r="F273" s="202" t="str">
        <f ca="1">IFERROR(__xludf.DUMMYFUNCTION("""COMPUTED_VALUE"""),"I")</f>
        <v>I</v>
      </c>
      <c r="G273" s="202">
        <f ca="1">IFERROR(__xludf.DUMMYFUNCTION("""COMPUTED_VALUE"""),5)</f>
        <v>5</v>
      </c>
      <c r="H273" s="206">
        <v>100.8</v>
      </c>
      <c r="I273" s="206"/>
      <c r="J273" s="206" t="s">
        <v>121</v>
      </c>
      <c r="K273" s="206"/>
      <c r="L273" s="206" t="str">
        <v xml:space="preserve"> 100.8</v>
      </c>
      <c r="M273" s="206" t="str">
        <v/>
      </c>
    </row>
    <row r="274" spans="1:13" ht="14.4">
      <c r="A274" s="199" t="str">
        <f ca="1">IFERROR(__xludf.DUMMYFUNCTION("""COMPUTED_VALUE"""),"CP")</f>
        <v>CP</v>
      </c>
      <c r="B274" s="207" t="str">
        <f ca="1">IFERROR(__xludf.DUMMYFUNCTION("""COMPUTED_VALUE"""),"Kelsey Davis")</f>
        <v>Kelsey Davis</v>
      </c>
      <c r="C274" s="199">
        <f ca="1">IFERROR(__xludf.DUMMYFUNCTION("""COMPUTED_VALUE"""),12)</f>
        <v>12</v>
      </c>
      <c r="D274" s="199" t="str">
        <f ca="1">IFERROR(__xludf.DUMMYFUNCTION("""COMPUTED_VALUE"""),"G")</f>
        <v>G</v>
      </c>
      <c r="E274" s="202" t="str">
        <f ca="1">IFERROR(__xludf.DUMMYFUNCTION("""COMPUTED_VALUE"""),"J")</f>
        <v>J</v>
      </c>
      <c r="F274" s="202" t="str">
        <f ca="1">IFERROR(__xludf.DUMMYFUNCTION("""COMPUTED_VALUE"""),"I")</f>
        <v>I</v>
      </c>
      <c r="G274" s="202">
        <f ca="1">IFERROR(__xludf.DUMMYFUNCTION("""COMPUTED_VALUE"""),5)</f>
        <v>5</v>
      </c>
      <c r="H274" s="208">
        <v>92.05</v>
      </c>
      <c r="I274" s="208"/>
      <c r="J274" s="208" t="s">
        <v>121</v>
      </c>
      <c r="K274" s="208"/>
      <c r="L274" s="208" t="str">
        <v xml:space="preserve"> 92.05</v>
      </c>
      <c r="M274" s="208" t="str">
        <v/>
      </c>
    </row>
    <row r="275" spans="1:13" ht="14.4">
      <c r="A275" s="199" t="str">
        <f ca="1">IFERROR(__xludf.DUMMYFUNCTION("""COMPUTED_VALUE"""),"CP")</f>
        <v>CP</v>
      </c>
      <c r="B275" s="207" t="str">
        <f ca="1">IFERROR(__xludf.DUMMYFUNCTION("""COMPUTED_VALUE"""),"Layla Azami")</f>
        <v>Layla Azami</v>
      </c>
      <c r="C275" s="199">
        <f ca="1">IFERROR(__xludf.DUMMYFUNCTION("""COMPUTED_VALUE"""),11)</f>
        <v>11</v>
      </c>
      <c r="D275" s="199" t="str">
        <f ca="1">IFERROR(__xludf.DUMMYFUNCTION("""COMPUTED_VALUE"""),"G")</f>
        <v>G</v>
      </c>
      <c r="E275" s="202" t="str">
        <f ca="1">IFERROR(__xludf.DUMMYFUNCTION("""COMPUTED_VALUE"""),"J")</f>
        <v>J</v>
      </c>
      <c r="F275" s="202" t="str">
        <f ca="1">IFERROR(__xludf.DUMMYFUNCTION("""COMPUTED_VALUE"""),"I")</f>
        <v>I</v>
      </c>
      <c r="G275" s="202">
        <f ca="1">IFERROR(__xludf.DUMMYFUNCTION("""COMPUTED_VALUE"""),5)</f>
        <v>5</v>
      </c>
      <c r="H275" s="208"/>
      <c r="I275" s="208"/>
      <c r="J275" s="208"/>
      <c r="K275" s="208"/>
      <c r="L275" s="208" t="str">
        <v/>
      </c>
      <c r="M275" s="208" t="str">
        <v/>
      </c>
    </row>
    <row r="276" spans="1:13" ht="14.4">
      <c r="A276" s="199" t="str">
        <f ca="1">IFERROR(__xludf.DUMMYFUNCTION("""COMPUTED_VALUE"""),"CP")</f>
        <v>CP</v>
      </c>
      <c r="B276" s="207" t="str">
        <f ca="1">IFERROR(__xludf.DUMMYFUNCTION("""COMPUTED_VALUE"""),"Natalie Scully")</f>
        <v>Natalie Scully</v>
      </c>
      <c r="C276" s="199">
        <f ca="1">IFERROR(__xludf.DUMMYFUNCTION("""COMPUTED_VALUE"""),12)</f>
        <v>12</v>
      </c>
      <c r="D276" s="199" t="str">
        <f ca="1">IFERROR(__xludf.DUMMYFUNCTION("""COMPUTED_VALUE"""),"G")</f>
        <v>G</v>
      </c>
      <c r="E276" s="202" t="str">
        <f ca="1">IFERROR(__xludf.DUMMYFUNCTION("""COMPUTED_VALUE"""),"J")</f>
        <v>J</v>
      </c>
      <c r="F276" s="202" t="str">
        <f ca="1">IFERROR(__xludf.DUMMYFUNCTION("""COMPUTED_VALUE"""),"I")</f>
        <v>I</v>
      </c>
      <c r="G276" s="202">
        <f ca="1">IFERROR(__xludf.DUMMYFUNCTION("""COMPUTED_VALUE"""),5)</f>
        <v>5</v>
      </c>
      <c r="H276" s="208"/>
      <c r="I276" s="208"/>
      <c r="J276" s="208"/>
      <c r="K276" s="208"/>
      <c r="L276" s="208" t="str">
        <v/>
      </c>
      <c r="M276" s="208" t="str">
        <v/>
      </c>
    </row>
    <row r="277" spans="1:13" ht="14.4">
      <c r="A277" s="199" t="str">
        <f ca="1">IFERROR(__xludf.DUMMYFUNCTION("""COMPUTED_VALUE"""),"CP")</f>
        <v>CP</v>
      </c>
      <c r="B277" s="207" t="str">
        <f ca="1">IFERROR(__xludf.DUMMYFUNCTION("""COMPUTED_VALUE"""),"Quinn Harris")</f>
        <v>Quinn Harris</v>
      </c>
      <c r="C277" s="199">
        <f ca="1">IFERROR(__xludf.DUMMYFUNCTION("""COMPUTED_VALUE"""),11)</f>
        <v>11</v>
      </c>
      <c r="D277" s="199" t="str">
        <f ca="1">IFERROR(__xludf.DUMMYFUNCTION("""COMPUTED_VALUE"""),"G")</f>
        <v>G</v>
      </c>
      <c r="E277" s="202" t="str">
        <f ca="1">IFERROR(__xludf.DUMMYFUNCTION("""COMPUTED_VALUE"""),"J")</f>
        <v>J</v>
      </c>
      <c r="F277" s="202" t="str">
        <f ca="1">IFERROR(__xludf.DUMMYFUNCTION("""COMPUTED_VALUE"""),"I")</f>
        <v>I</v>
      </c>
      <c r="G277" s="202">
        <f ca="1">IFERROR(__xludf.DUMMYFUNCTION("""COMPUTED_VALUE"""),5)</f>
        <v>5</v>
      </c>
      <c r="H277" s="206">
        <v>116</v>
      </c>
      <c r="I277" s="206"/>
      <c r="J277" s="206" t="s">
        <v>121</v>
      </c>
      <c r="K277" s="206"/>
      <c r="L277" s="206" t="str">
        <v xml:space="preserve"> 116</v>
      </c>
      <c r="M277" s="206" t="str">
        <v/>
      </c>
    </row>
    <row r="278" spans="1:13" ht="14.4">
      <c r="A278" s="199" t="str">
        <f ca="1">IFERROR(__xludf.DUMMYFUNCTION("""COMPUTED_VALUE"""),"CP")</f>
        <v>CP</v>
      </c>
      <c r="B278" s="207" t="str">
        <f ca="1">IFERROR(__xludf.DUMMYFUNCTION("""COMPUTED_VALUE"""),"Campbell Plageman")</f>
        <v>Campbell Plageman</v>
      </c>
      <c r="C278" s="199">
        <f ca="1">IFERROR(__xludf.DUMMYFUNCTION("""COMPUTED_VALUE"""),16)</f>
        <v>16</v>
      </c>
      <c r="D278" s="199" t="str">
        <f ca="1">IFERROR(__xludf.DUMMYFUNCTION("""COMPUTED_VALUE"""),"G")</f>
        <v>G</v>
      </c>
      <c r="E278" s="202" t="str">
        <f ca="1">IFERROR(__xludf.DUMMYFUNCTION("""COMPUTED_VALUE"""),"S")</f>
        <v>S</v>
      </c>
      <c r="F278" s="202" t="str">
        <f ca="1">IFERROR(__xludf.DUMMYFUNCTION("""COMPUTED_VALUE"""),"S")</f>
        <v>S</v>
      </c>
      <c r="G278" s="202">
        <f ca="1">IFERROR(__xludf.DUMMYFUNCTION("""COMPUTED_VALUE"""),5)</f>
        <v>5</v>
      </c>
      <c r="H278" s="206">
        <v>180.55</v>
      </c>
      <c r="I278" s="206"/>
      <c r="J278" s="206" t="s">
        <v>121</v>
      </c>
      <c r="K278" s="206"/>
      <c r="L278" s="206" t="str">
        <v xml:space="preserve"> 180.55</v>
      </c>
      <c r="M278" s="206" t="str">
        <v/>
      </c>
    </row>
    <row r="279" spans="1:13" ht="14.4">
      <c r="A279" s="199" t="str">
        <f ca="1">IFERROR(__xludf.DUMMYFUNCTION("""COMPUTED_VALUE"""),"CP")</f>
        <v>CP</v>
      </c>
      <c r="B279" s="207" t="str">
        <f ca="1">IFERROR(__xludf.DUMMYFUNCTION("""COMPUTED_VALUE"""),"Mia Mihocko")</f>
        <v>Mia Mihocko</v>
      </c>
      <c r="C279" s="199">
        <f ca="1">IFERROR(__xludf.DUMMYFUNCTION("""COMPUTED_VALUE"""),16)</f>
        <v>16</v>
      </c>
      <c r="D279" s="199" t="str">
        <f ca="1">IFERROR(__xludf.DUMMYFUNCTION("""COMPUTED_VALUE"""),"G")</f>
        <v>G</v>
      </c>
      <c r="E279" s="202" t="str">
        <f ca="1">IFERROR(__xludf.DUMMYFUNCTION("""COMPUTED_VALUE"""),"S")</f>
        <v>S</v>
      </c>
      <c r="F279" s="202" t="str">
        <f ca="1">IFERROR(__xludf.DUMMYFUNCTION("""COMPUTED_VALUE"""),"S")</f>
        <v>S</v>
      </c>
      <c r="G279" s="202">
        <f ca="1">IFERROR(__xludf.DUMMYFUNCTION("""COMPUTED_VALUE"""),5)</f>
        <v>5</v>
      </c>
      <c r="H279" s="208">
        <v>187.9</v>
      </c>
      <c r="I279" s="208"/>
      <c r="J279" s="208" t="s">
        <v>121</v>
      </c>
      <c r="K279" s="208"/>
      <c r="L279" s="208" t="str">
        <v xml:space="preserve"> 187.9</v>
      </c>
      <c r="M279" s="208" t="str">
        <v/>
      </c>
    </row>
    <row r="280" spans="1:13" ht="14.4">
      <c r="A280" s="199" t="str">
        <f ca="1">IFERROR(__xludf.DUMMYFUNCTION("""COMPUTED_VALUE"""),"CSC")</f>
        <v>CSC</v>
      </c>
      <c r="B280" s="207" t="str">
        <f ca="1">IFERROR(__xludf.DUMMYFUNCTION("""COMPUTED_VALUE"""),"Alex Erchov")</f>
        <v>Alex Erchov</v>
      </c>
      <c r="C280" s="199">
        <f ca="1">IFERROR(__xludf.DUMMYFUNCTION("""COMPUTED_VALUE"""),7)</f>
        <v>7</v>
      </c>
      <c r="D280" s="199" t="str">
        <f ca="1">IFERROR(__xludf.DUMMYFUNCTION("""COMPUTED_VALUE"""),"B")</f>
        <v>B</v>
      </c>
      <c r="E280" s="202" t="str">
        <f ca="1">IFERROR(__xludf.DUMMYFUNCTION("""COMPUTED_VALUE"""),"F")</f>
        <v>F</v>
      </c>
      <c r="F280" s="202" t="str">
        <f ca="1">IFERROR(__xludf.DUMMYFUNCTION("""COMPUTED_VALUE"""),"J")</f>
        <v>J</v>
      </c>
      <c r="G280" s="202">
        <f ca="1">IFERROR(__xludf.DUMMYFUNCTION("""COMPUTED_VALUE"""),8)</f>
        <v>8</v>
      </c>
      <c r="H280" s="208"/>
      <c r="I280" s="208">
        <v>47.35</v>
      </c>
      <c r="J280" s="208"/>
      <c r="K280" s="208" t="s">
        <v>121</v>
      </c>
      <c r="L280" s="208" t="str">
        <v xml:space="preserve"> 47.35</v>
      </c>
      <c r="M280" s="208" t="str">
        <v/>
      </c>
    </row>
    <row r="281" spans="1:13" ht="14.4">
      <c r="A281" s="199" t="str">
        <f ca="1">IFERROR(__xludf.DUMMYFUNCTION("""COMPUTED_VALUE"""),"CSC")</f>
        <v>CSC</v>
      </c>
      <c r="B281" s="207" t="str">
        <f ca="1">IFERROR(__xludf.DUMMYFUNCTION("""COMPUTED_VALUE"""),"Benjamin Vargas")</f>
        <v>Benjamin Vargas</v>
      </c>
      <c r="C281" s="199">
        <f ca="1">IFERROR(__xludf.DUMMYFUNCTION("""COMPUTED_VALUE"""),10)</f>
        <v>10</v>
      </c>
      <c r="D281" s="199" t="str">
        <f ca="1">IFERROR(__xludf.DUMMYFUNCTION("""COMPUTED_VALUE"""),"B")</f>
        <v>B</v>
      </c>
      <c r="E281" s="202" t="str">
        <f ca="1">IFERROR(__xludf.DUMMYFUNCTION("""COMPUTED_VALUE"""),"F")</f>
        <v>F</v>
      </c>
      <c r="F281" s="202" t="str">
        <f ca="1">IFERROR(__xludf.DUMMYFUNCTION("""COMPUTED_VALUE"""),"J")</f>
        <v>J</v>
      </c>
      <c r="G281" s="202">
        <f ca="1">IFERROR(__xludf.DUMMYFUNCTION("""COMPUTED_VALUE"""),8)</f>
        <v>8</v>
      </c>
      <c r="H281" s="208"/>
      <c r="I281" s="208"/>
      <c r="J281" s="208"/>
      <c r="K281" s="208"/>
      <c r="L281" s="208" t="str">
        <v/>
      </c>
      <c r="M281" s="208" t="str">
        <v/>
      </c>
    </row>
    <row r="282" spans="1:13" ht="14.4">
      <c r="A282" s="199" t="str">
        <f ca="1">IFERROR(__xludf.DUMMYFUNCTION("""COMPUTED_VALUE"""),"CSC")</f>
        <v>CSC</v>
      </c>
      <c r="B282" s="207" t="str">
        <f ca="1">IFERROR(__xludf.DUMMYFUNCTION("""COMPUTED_VALUE"""),"Carter Jenkins")</f>
        <v>Carter Jenkins</v>
      </c>
      <c r="C282" s="199">
        <f ca="1">IFERROR(__xludf.DUMMYFUNCTION("""COMPUTED_VALUE"""),10)</f>
        <v>10</v>
      </c>
      <c r="D282" s="199" t="str">
        <f ca="1">IFERROR(__xludf.DUMMYFUNCTION("""COMPUTED_VALUE"""),"B")</f>
        <v>B</v>
      </c>
      <c r="E282" s="202" t="str">
        <f ca="1">IFERROR(__xludf.DUMMYFUNCTION("""COMPUTED_VALUE"""),"F")</f>
        <v>F</v>
      </c>
      <c r="F282" s="202" t="str">
        <f ca="1">IFERROR(__xludf.DUMMYFUNCTION("""COMPUTED_VALUE"""),"J")</f>
        <v>J</v>
      </c>
      <c r="G282" s="202">
        <f ca="1">IFERROR(__xludf.DUMMYFUNCTION("""COMPUTED_VALUE"""),8)</f>
        <v>8</v>
      </c>
      <c r="H282" s="208"/>
      <c r="I282" s="208">
        <v>95.35</v>
      </c>
      <c r="J282" s="208"/>
      <c r="K282" s="208" t="s">
        <v>123</v>
      </c>
      <c r="L282" s="208" t="str">
        <v xml:space="preserve"> -95.35</v>
      </c>
      <c r="M282" s="208" t="str">
        <v>^</v>
      </c>
    </row>
    <row r="283" spans="1:13" ht="14.4">
      <c r="A283" s="199" t="str">
        <f ca="1">IFERROR(__xludf.DUMMYFUNCTION("""COMPUTED_VALUE"""),"CSC")</f>
        <v>CSC</v>
      </c>
      <c r="B283" s="207" t="str">
        <f ca="1">IFERROR(__xludf.DUMMYFUNCTION("""COMPUTED_VALUE"""),"Cosmo Armando")</f>
        <v>Cosmo Armando</v>
      </c>
      <c r="C283" s="199">
        <f ca="1">IFERROR(__xludf.DUMMYFUNCTION("""COMPUTED_VALUE"""),5)</f>
        <v>5</v>
      </c>
      <c r="D283" s="199" t="str">
        <f ca="1">IFERROR(__xludf.DUMMYFUNCTION("""COMPUTED_VALUE"""),"B")</f>
        <v>B</v>
      </c>
      <c r="E283" s="202" t="str">
        <f ca="1">IFERROR(__xludf.DUMMYFUNCTION("""COMPUTED_VALUE"""),"F")</f>
        <v>F</v>
      </c>
      <c r="F283" s="202" t="str">
        <f ca="1">IFERROR(__xludf.DUMMYFUNCTION("""COMPUTED_VALUE"""),"J")</f>
        <v>J</v>
      </c>
      <c r="G283" s="202">
        <f ca="1">IFERROR(__xludf.DUMMYFUNCTION("""COMPUTED_VALUE"""),8)</f>
        <v>8</v>
      </c>
      <c r="H283" s="208"/>
      <c r="I283" s="208"/>
      <c r="J283" s="208"/>
      <c r="K283" s="208"/>
      <c r="L283" s="208" t="str">
        <v/>
      </c>
      <c r="M283" s="208" t="str">
        <v/>
      </c>
    </row>
    <row r="284" spans="1:13" ht="14.4">
      <c r="A284" s="199" t="str">
        <f ca="1">IFERROR(__xludf.DUMMYFUNCTION("""COMPUTED_VALUE"""),"CSC")</f>
        <v>CSC</v>
      </c>
      <c r="B284" s="207" t="str">
        <f ca="1">IFERROR(__xludf.DUMMYFUNCTION("""COMPUTED_VALUE"""),"Graham Benson")</f>
        <v>Graham Benson</v>
      </c>
      <c r="C284" s="199">
        <f ca="1">IFERROR(__xludf.DUMMYFUNCTION("""COMPUTED_VALUE"""),8)</f>
        <v>8</v>
      </c>
      <c r="D284" s="199" t="str">
        <f ca="1">IFERROR(__xludf.DUMMYFUNCTION("""COMPUTED_VALUE"""),"B")</f>
        <v>B</v>
      </c>
      <c r="E284" s="202" t="str">
        <f ca="1">IFERROR(__xludf.DUMMYFUNCTION("""COMPUTED_VALUE"""),"F")</f>
        <v>F</v>
      </c>
      <c r="F284" s="202" t="str">
        <f ca="1">IFERROR(__xludf.DUMMYFUNCTION("""COMPUTED_VALUE"""),"J")</f>
        <v>J</v>
      </c>
      <c r="G284" s="202">
        <f ca="1">IFERROR(__xludf.DUMMYFUNCTION("""COMPUTED_VALUE"""),8)</f>
        <v>8</v>
      </c>
      <c r="H284" s="206"/>
      <c r="I284" s="206"/>
      <c r="J284" s="206"/>
      <c r="K284" s="206"/>
      <c r="L284" s="206" t="str">
        <v/>
      </c>
      <c r="M284" s="206" t="str">
        <v/>
      </c>
    </row>
    <row r="285" spans="1:13" ht="14.4">
      <c r="A285" s="199" t="str">
        <f ca="1">IFERROR(__xludf.DUMMYFUNCTION("""COMPUTED_VALUE"""),"CSC")</f>
        <v>CSC</v>
      </c>
      <c r="B285" s="207" t="str">
        <f ca="1">IFERROR(__xludf.DUMMYFUNCTION("""COMPUTED_VALUE"""),"Harrison Ali")</f>
        <v>Harrison Ali</v>
      </c>
      <c r="C285" s="199">
        <f ca="1">IFERROR(__xludf.DUMMYFUNCTION("""COMPUTED_VALUE"""),8)</f>
        <v>8</v>
      </c>
      <c r="D285" s="199" t="str">
        <f ca="1">IFERROR(__xludf.DUMMYFUNCTION("""COMPUTED_VALUE"""),"B")</f>
        <v>B</v>
      </c>
      <c r="E285" s="202" t="str">
        <f ca="1">IFERROR(__xludf.DUMMYFUNCTION("""COMPUTED_VALUE"""),"F")</f>
        <v>F</v>
      </c>
      <c r="F285" s="202" t="str">
        <f ca="1">IFERROR(__xludf.DUMMYFUNCTION("""COMPUTED_VALUE"""),"J")</f>
        <v>J</v>
      </c>
      <c r="G285" s="202">
        <f ca="1">IFERROR(__xludf.DUMMYFUNCTION("""COMPUTED_VALUE"""),8)</f>
        <v>8</v>
      </c>
      <c r="H285" s="208"/>
      <c r="I285" s="208">
        <v>59.45</v>
      </c>
      <c r="J285" s="208"/>
      <c r="K285" s="208" t="s">
        <v>121</v>
      </c>
      <c r="L285" s="208" t="str">
        <v xml:space="preserve"> 59.45</v>
      </c>
      <c r="M285" s="208" t="str">
        <v/>
      </c>
    </row>
    <row r="286" spans="1:13" ht="14.4">
      <c r="A286" s="199" t="str">
        <f ca="1">IFERROR(__xludf.DUMMYFUNCTION("""COMPUTED_VALUE"""),"CSC")</f>
        <v>CSC</v>
      </c>
      <c r="B286" s="207" t="str">
        <f ca="1">IFERROR(__xludf.DUMMYFUNCTION("""COMPUTED_VALUE"""),"Liam Swearingen")</f>
        <v>Liam Swearingen</v>
      </c>
      <c r="C286" s="199">
        <f ca="1">IFERROR(__xludf.DUMMYFUNCTION("""COMPUTED_VALUE"""),7)</f>
        <v>7</v>
      </c>
      <c r="D286" s="199" t="str">
        <f ca="1">IFERROR(__xludf.DUMMYFUNCTION("""COMPUTED_VALUE"""),"B")</f>
        <v>B</v>
      </c>
      <c r="E286" s="202" t="str">
        <f ca="1">IFERROR(__xludf.DUMMYFUNCTION("""COMPUTED_VALUE"""),"F")</f>
        <v>F</v>
      </c>
      <c r="F286" s="202" t="str">
        <f ca="1">IFERROR(__xludf.DUMMYFUNCTION("""COMPUTED_VALUE"""),"J")</f>
        <v>J</v>
      </c>
      <c r="G286" s="202">
        <f ca="1">IFERROR(__xludf.DUMMYFUNCTION("""COMPUTED_VALUE"""),8)</f>
        <v>8</v>
      </c>
      <c r="H286" s="206"/>
      <c r="I286" s="206">
        <v>49.55</v>
      </c>
      <c r="J286" s="206"/>
      <c r="K286" s="206" t="s">
        <v>121</v>
      </c>
      <c r="L286" s="206" t="str">
        <v xml:space="preserve"> 49.55</v>
      </c>
      <c r="M286" s="206" t="str">
        <v/>
      </c>
    </row>
    <row r="287" spans="1:13" ht="14.4">
      <c r="A287" s="199" t="str">
        <f ca="1">IFERROR(__xludf.DUMMYFUNCTION("""COMPUTED_VALUE"""),"CSC")</f>
        <v>CSC</v>
      </c>
      <c r="B287" s="207" t="str">
        <f ca="1">IFERROR(__xludf.DUMMYFUNCTION("""COMPUTED_VALUE"""),"Lincoln Ali")</f>
        <v>Lincoln Ali</v>
      </c>
      <c r="C287" s="199">
        <f ca="1">IFERROR(__xludf.DUMMYFUNCTION("""COMPUTED_VALUE"""),6)</f>
        <v>6</v>
      </c>
      <c r="D287" s="199" t="str">
        <f ca="1">IFERROR(__xludf.DUMMYFUNCTION("""COMPUTED_VALUE"""),"B")</f>
        <v>B</v>
      </c>
      <c r="E287" s="202" t="str">
        <f ca="1">IFERROR(__xludf.DUMMYFUNCTION("""COMPUTED_VALUE"""),"F")</f>
        <v>F</v>
      </c>
      <c r="F287" s="202" t="str">
        <f ca="1">IFERROR(__xludf.DUMMYFUNCTION("""COMPUTED_VALUE"""),"J")</f>
        <v>J</v>
      </c>
      <c r="G287" s="202">
        <f ca="1">IFERROR(__xludf.DUMMYFUNCTION("""COMPUTED_VALUE"""),8)</f>
        <v>8</v>
      </c>
      <c r="H287" s="206"/>
      <c r="I287" s="206">
        <v>28.5</v>
      </c>
      <c r="J287" s="206"/>
      <c r="K287" s="206" t="s">
        <v>121</v>
      </c>
      <c r="L287" s="206" t="str">
        <v xml:space="preserve"> 28.5</v>
      </c>
      <c r="M287" s="206" t="str">
        <v/>
      </c>
    </row>
    <row r="288" spans="1:13" ht="14.4">
      <c r="A288" s="199" t="str">
        <f ca="1">IFERROR(__xludf.DUMMYFUNCTION("""COMPUTED_VALUE"""),"CSC")</f>
        <v>CSC</v>
      </c>
      <c r="B288" s="207" t="str">
        <f ca="1">IFERROR(__xludf.DUMMYFUNCTION("""COMPUTED_VALUE"""),"Lucas Egan")</f>
        <v>Lucas Egan</v>
      </c>
      <c r="C288" s="199">
        <f ca="1">IFERROR(__xludf.DUMMYFUNCTION("""COMPUTED_VALUE"""),10)</f>
        <v>10</v>
      </c>
      <c r="D288" s="199" t="str">
        <f ca="1">IFERROR(__xludf.DUMMYFUNCTION("""COMPUTED_VALUE"""),"B")</f>
        <v>B</v>
      </c>
      <c r="E288" s="202" t="str">
        <f ca="1">IFERROR(__xludf.DUMMYFUNCTION("""COMPUTED_VALUE"""),"F")</f>
        <v>F</v>
      </c>
      <c r="F288" s="202" t="str">
        <f ca="1">IFERROR(__xludf.DUMMYFUNCTION("""COMPUTED_VALUE"""),"J")</f>
        <v>J</v>
      </c>
      <c r="G288" s="202">
        <f ca="1">IFERROR(__xludf.DUMMYFUNCTION("""COMPUTED_VALUE"""),8)</f>
        <v>8</v>
      </c>
      <c r="H288" s="206"/>
      <c r="I288" s="206"/>
      <c r="J288" s="206"/>
      <c r="K288" s="206"/>
      <c r="L288" s="206" t="str">
        <v/>
      </c>
      <c r="M288" s="206" t="str">
        <v/>
      </c>
    </row>
    <row r="289" spans="1:13" ht="14.4">
      <c r="A289" s="199" t="str">
        <f ca="1">IFERROR(__xludf.DUMMYFUNCTION("""COMPUTED_VALUE"""),"CSC")</f>
        <v>CSC</v>
      </c>
      <c r="B289" s="207" t="str">
        <f ca="1">IFERROR(__xludf.DUMMYFUNCTION("""COMPUTED_VALUE"""),"Lucas Nguyen")</f>
        <v>Lucas Nguyen</v>
      </c>
      <c r="C289" s="199">
        <f ca="1">IFERROR(__xludf.DUMMYFUNCTION("""COMPUTED_VALUE"""),9)</f>
        <v>9</v>
      </c>
      <c r="D289" s="199" t="str">
        <f ca="1">IFERROR(__xludf.DUMMYFUNCTION("""COMPUTED_VALUE"""),"B")</f>
        <v>B</v>
      </c>
      <c r="E289" s="202" t="str">
        <f ca="1">IFERROR(__xludf.DUMMYFUNCTION("""COMPUTED_VALUE"""),"F")</f>
        <v>F</v>
      </c>
      <c r="F289" s="202" t="str">
        <f ca="1">IFERROR(__xludf.DUMMYFUNCTION("""COMPUTED_VALUE"""),"J")</f>
        <v>J</v>
      </c>
      <c r="G289" s="202">
        <f ca="1">IFERROR(__xludf.DUMMYFUNCTION("""COMPUTED_VALUE"""),8)</f>
        <v>8</v>
      </c>
      <c r="H289" s="206"/>
      <c r="I289" s="206">
        <v>66.7</v>
      </c>
      <c r="J289" s="206"/>
      <c r="K289" s="206" t="s">
        <v>121</v>
      </c>
      <c r="L289" s="206" t="str">
        <v xml:space="preserve"> 66.7</v>
      </c>
      <c r="M289" s="206" t="str">
        <v/>
      </c>
    </row>
    <row r="290" spans="1:13" ht="14.4">
      <c r="A290" s="199" t="str">
        <f ca="1">IFERROR(__xludf.DUMMYFUNCTION("""COMPUTED_VALUE"""),"CSC")</f>
        <v>CSC</v>
      </c>
      <c r="B290" s="207" t="str">
        <f ca="1">IFERROR(__xludf.DUMMYFUNCTION("""COMPUTED_VALUE"""),"Nathan Pierce")</f>
        <v>Nathan Pierce</v>
      </c>
      <c r="C290" s="199">
        <f ca="1">IFERROR(__xludf.DUMMYFUNCTION("""COMPUTED_VALUE"""),7)</f>
        <v>7</v>
      </c>
      <c r="D290" s="199" t="str">
        <f ca="1">IFERROR(__xludf.DUMMYFUNCTION("""COMPUTED_VALUE"""),"B")</f>
        <v>B</v>
      </c>
      <c r="E290" s="202" t="str">
        <f ca="1">IFERROR(__xludf.DUMMYFUNCTION("""COMPUTED_VALUE"""),"F")</f>
        <v>F</v>
      </c>
      <c r="F290" s="202" t="str">
        <f ca="1">IFERROR(__xludf.DUMMYFUNCTION("""COMPUTED_VALUE"""),"J")</f>
        <v>J</v>
      </c>
      <c r="G290" s="202">
        <f ca="1">IFERROR(__xludf.DUMMYFUNCTION("""COMPUTED_VALUE"""),8)</f>
        <v>8</v>
      </c>
      <c r="H290" s="206"/>
      <c r="I290" s="206">
        <v>59.7</v>
      </c>
      <c r="J290" s="206"/>
      <c r="K290" s="206" t="s">
        <v>121</v>
      </c>
      <c r="L290" s="206" t="str">
        <v xml:space="preserve"> 59.7</v>
      </c>
      <c r="M290" s="206" t="str">
        <v/>
      </c>
    </row>
    <row r="291" spans="1:13" ht="14.4">
      <c r="A291" s="199" t="str">
        <f ca="1">IFERROR(__xludf.DUMMYFUNCTION("""COMPUTED_VALUE"""),"CSC")</f>
        <v>CSC</v>
      </c>
      <c r="B291" s="207" t="str">
        <f ca="1">IFERROR(__xludf.DUMMYFUNCTION("""COMPUTED_VALUE"""),"Nick Jenkins")</f>
        <v>Nick Jenkins</v>
      </c>
      <c r="C291" s="199">
        <f ca="1">IFERROR(__xludf.DUMMYFUNCTION("""COMPUTED_VALUE"""),9)</f>
        <v>9</v>
      </c>
      <c r="D291" s="199" t="str">
        <f ca="1">IFERROR(__xludf.DUMMYFUNCTION("""COMPUTED_VALUE"""),"B")</f>
        <v>B</v>
      </c>
      <c r="E291" s="202" t="str">
        <f ca="1">IFERROR(__xludf.DUMMYFUNCTION("""COMPUTED_VALUE"""),"F")</f>
        <v>F</v>
      </c>
      <c r="F291" s="202" t="str">
        <f ca="1">IFERROR(__xludf.DUMMYFUNCTION("""COMPUTED_VALUE"""),"J")</f>
        <v>J</v>
      </c>
      <c r="G291" s="202">
        <f ca="1">IFERROR(__xludf.DUMMYFUNCTION("""COMPUTED_VALUE"""),8)</f>
        <v>8</v>
      </c>
      <c r="H291" s="206"/>
      <c r="I291" s="206">
        <v>64.099999999999994</v>
      </c>
      <c r="J291" s="206"/>
      <c r="K291" s="206" t="s">
        <v>121</v>
      </c>
      <c r="L291" s="206" t="str">
        <v xml:space="preserve"> 64.1</v>
      </c>
      <c r="M291" s="206" t="str">
        <v/>
      </c>
    </row>
    <row r="292" spans="1:13" ht="14.4">
      <c r="A292" s="199" t="str">
        <f ca="1">IFERROR(__xludf.DUMMYFUNCTION("""COMPUTED_VALUE"""),"CSC")</f>
        <v>CSC</v>
      </c>
      <c r="B292" s="207" t="str">
        <f ca="1">IFERROR(__xludf.DUMMYFUNCTION("""COMPUTED_VALUE"""),"Nik Kankadze")</f>
        <v>Nik Kankadze</v>
      </c>
      <c r="C292" s="199">
        <f ca="1">IFERROR(__xludf.DUMMYFUNCTION("""COMPUTED_VALUE"""),9)</f>
        <v>9</v>
      </c>
      <c r="D292" s="199" t="str">
        <f ca="1">IFERROR(__xludf.DUMMYFUNCTION("""COMPUTED_VALUE"""),"B")</f>
        <v>B</v>
      </c>
      <c r="E292" s="202" t="str">
        <f ca="1">IFERROR(__xludf.DUMMYFUNCTION("""COMPUTED_VALUE"""),"F")</f>
        <v>F</v>
      </c>
      <c r="F292" s="202" t="str">
        <f ca="1">IFERROR(__xludf.DUMMYFUNCTION("""COMPUTED_VALUE"""),"J")</f>
        <v>J</v>
      </c>
      <c r="G292" s="202">
        <f ca="1">IFERROR(__xludf.DUMMYFUNCTION("""COMPUTED_VALUE"""),8)</f>
        <v>8</v>
      </c>
      <c r="H292" s="208"/>
      <c r="I292" s="208"/>
      <c r="J292" s="208"/>
      <c r="K292" s="208"/>
      <c r="L292" s="208" t="str">
        <v/>
      </c>
      <c r="M292" s="208" t="str">
        <v/>
      </c>
    </row>
    <row r="293" spans="1:13" ht="14.4">
      <c r="A293" s="199" t="str">
        <f ca="1">IFERROR(__xludf.DUMMYFUNCTION("""COMPUTED_VALUE"""),"CSC")</f>
        <v>CSC</v>
      </c>
      <c r="B293" s="207" t="str">
        <f ca="1">IFERROR(__xludf.DUMMYFUNCTION("""COMPUTED_VALUE"""),"Noah Pierce")</f>
        <v>Noah Pierce</v>
      </c>
      <c r="C293" s="199">
        <f ca="1">IFERROR(__xludf.DUMMYFUNCTION("""COMPUTED_VALUE"""),5)</f>
        <v>5</v>
      </c>
      <c r="D293" s="199" t="str">
        <f ca="1">IFERROR(__xludf.DUMMYFUNCTION("""COMPUTED_VALUE"""),"B")</f>
        <v>B</v>
      </c>
      <c r="E293" s="202" t="str">
        <f ca="1">IFERROR(__xludf.DUMMYFUNCTION("""COMPUTED_VALUE"""),"F")</f>
        <v>F</v>
      </c>
      <c r="F293" s="202" t="str">
        <f ca="1">IFERROR(__xludf.DUMMYFUNCTION("""COMPUTED_VALUE"""),"J")</f>
        <v>J</v>
      </c>
      <c r="G293" s="202">
        <f ca="1">IFERROR(__xludf.DUMMYFUNCTION("""COMPUTED_VALUE"""),8)</f>
        <v>8</v>
      </c>
      <c r="H293" s="206"/>
      <c r="I293" s="206">
        <v>45.5</v>
      </c>
      <c r="J293" s="206"/>
      <c r="K293" s="206" t="s">
        <v>121</v>
      </c>
      <c r="L293" s="206" t="str">
        <v xml:space="preserve"> 45.5</v>
      </c>
      <c r="M293" s="206" t="str">
        <v/>
      </c>
    </row>
    <row r="294" spans="1:13" ht="14.4">
      <c r="A294" s="199" t="str">
        <f ca="1">IFERROR(__xludf.DUMMYFUNCTION("""COMPUTED_VALUE"""),"CSC")</f>
        <v>CSC</v>
      </c>
      <c r="B294" s="207" t="str">
        <f ca="1">IFERROR(__xludf.DUMMYFUNCTION("""COMPUTED_VALUE"""),"Stephen Wilber")</f>
        <v>Stephen Wilber</v>
      </c>
      <c r="C294" s="199">
        <f ca="1">IFERROR(__xludf.DUMMYFUNCTION("""COMPUTED_VALUE"""),5)</f>
        <v>5</v>
      </c>
      <c r="D294" s="199" t="str">
        <f ca="1">IFERROR(__xludf.DUMMYFUNCTION("""COMPUTED_VALUE"""),"B")</f>
        <v>B</v>
      </c>
      <c r="E294" s="202" t="str">
        <f ca="1">IFERROR(__xludf.DUMMYFUNCTION("""COMPUTED_VALUE"""),"F")</f>
        <v>F</v>
      </c>
      <c r="F294" s="202" t="str">
        <f ca="1">IFERROR(__xludf.DUMMYFUNCTION("""COMPUTED_VALUE"""),"J")</f>
        <v>J</v>
      </c>
      <c r="G294" s="202">
        <f ca="1">IFERROR(__xludf.DUMMYFUNCTION("""COMPUTED_VALUE"""),8)</f>
        <v>8</v>
      </c>
      <c r="H294" s="206"/>
      <c r="I294" s="206"/>
      <c r="J294" s="206"/>
      <c r="K294" s="206"/>
      <c r="L294" s="206" t="str">
        <v/>
      </c>
      <c r="M294" s="206" t="str">
        <v/>
      </c>
    </row>
    <row r="295" spans="1:13" ht="14.4">
      <c r="A295" s="199" t="str">
        <f ca="1">IFERROR(__xludf.DUMMYFUNCTION("""COMPUTED_VALUE"""),"CSC")</f>
        <v>CSC</v>
      </c>
      <c r="B295" s="207" t="str">
        <f ca="1">IFERROR(__xludf.DUMMYFUNCTION("""COMPUTED_VALUE"""),"Ziad Salameh")</f>
        <v>Ziad Salameh</v>
      </c>
      <c r="C295" s="199">
        <f ca="1">IFERROR(__xludf.DUMMYFUNCTION("""COMPUTED_VALUE"""),10)</f>
        <v>10</v>
      </c>
      <c r="D295" s="199" t="str">
        <f ca="1">IFERROR(__xludf.DUMMYFUNCTION("""COMPUTED_VALUE"""),"B")</f>
        <v>B</v>
      </c>
      <c r="E295" s="202" t="str">
        <f ca="1">IFERROR(__xludf.DUMMYFUNCTION("""COMPUTED_VALUE"""),"F")</f>
        <v>F</v>
      </c>
      <c r="F295" s="202" t="str">
        <f ca="1">IFERROR(__xludf.DUMMYFUNCTION("""COMPUTED_VALUE"""),"J")</f>
        <v>J</v>
      </c>
      <c r="G295" s="202">
        <f ca="1">IFERROR(__xludf.DUMMYFUNCTION("""COMPUTED_VALUE"""),8)</f>
        <v>8</v>
      </c>
      <c r="H295" s="206"/>
      <c r="I295" s="206"/>
      <c r="J295" s="206"/>
      <c r="K295" s="206"/>
      <c r="L295" s="206" t="str">
        <v/>
      </c>
      <c r="M295" s="206" t="str">
        <v/>
      </c>
    </row>
    <row r="296" spans="1:13" ht="14.4">
      <c r="A296" s="199" t="str">
        <f ca="1">IFERROR(__xludf.DUMMYFUNCTION("""COMPUTED_VALUE"""),"CSC")</f>
        <v>CSC</v>
      </c>
      <c r="B296" s="207" t="str">
        <f ca="1">IFERROR(__xludf.DUMMYFUNCTION("""COMPUTED_VALUE"""),"Cherianne Truong")</f>
        <v>Cherianne Truong</v>
      </c>
      <c r="C296" s="199">
        <f ca="1">IFERROR(__xludf.DUMMYFUNCTION("""COMPUTED_VALUE"""),10)</f>
        <v>10</v>
      </c>
      <c r="D296" s="199" t="str">
        <f ca="1">IFERROR(__xludf.DUMMYFUNCTION("""COMPUTED_VALUE"""),"G")</f>
        <v>G</v>
      </c>
      <c r="E296" s="202" t="str">
        <f ca="1">IFERROR(__xludf.DUMMYFUNCTION("""COMPUTED_VALUE"""),"F")</f>
        <v>F</v>
      </c>
      <c r="F296" s="202" t="str">
        <f ca="1">IFERROR(__xludf.DUMMYFUNCTION("""COMPUTED_VALUE"""),"J")</f>
        <v>J</v>
      </c>
      <c r="G296" s="202">
        <f ca="1">IFERROR(__xludf.DUMMYFUNCTION("""COMPUTED_VALUE"""),8)</f>
        <v>8</v>
      </c>
      <c r="H296" s="206"/>
      <c r="I296" s="206"/>
      <c r="J296" s="206"/>
      <c r="K296" s="206"/>
      <c r="L296" s="206" t="str">
        <v/>
      </c>
      <c r="M296" s="206" t="str">
        <v/>
      </c>
    </row>
    <row r="297" spans="1:13" ht="14.4">
      <c r="A297" s="199" t="str">
        <f ca="1">IFERROR(__xludf.DUMMYFUNCTION("""COMPUTED_VALUE"""),"CSC")</f>
        <v>CSC</v>
      </c>
      <c r="B297" s="207" t="str">
        <f ca="1">IFERROR(__xludf.DUMMYFUNCTION("""COMPUTED_VALUE"""),"Collette Ungaretti")</f>
        <v>Collette Ungaretti</v>
      </c>
      <c r="C297" s="199">
        <f ca="1">IFERROR(__xludf.DUMMYFUNCTION("""COMPUTED_VALUE"""),6)</f>
        <v>6</v>
      </c>
      <c r="D297" s="199" t="str">
        <f ca="1">IFERROR(__xludf.DUMMYFUNCTION("""COMPUTED_VALUE"""),"G")</f>
        <v>G</v>
      </c>
      <c r="E297" s="202" t="str">
        <f ca="1">IFERROR(__xludf.DUMMYFUNCTION("""COMPUTED_VALUE"""),"F")</f>
        <v>F</v>
      </c>
      <c r="F297" s="202" t="str">
        <f ca="1">IFERROR(__xludf.DUMMYFUNCTION("""COMPUTED_VALUE"""),"J")</f>
        <v>J</v>
      </c>
      <c r="G297" s="202">
        <f ca="1">IFERROR(__xludf.DUMMYFUNCTION("""COMPUTED_VALUE"""),8)</f>
        <v>8</v>
      </c>
      <c r="H297" s="208"/>
      <c r="I297" s="208"/>
      <c r="J297" s="208"/>
      <c r="K297" s="208"/>
      <c r="L297" s="208" t="str">
        <v/>
      </c>
      <c r="M297" s="208" t="str">
        <v/>
      </c>
    </row>
    <row r="298" spans="1:13" ht="14.4">
      <c r="A298" s="199" t="str">
        <f ca="1">IFERROR(__xludf.DUMMYFUNCTION("""COMPUTED_VALUE"""),"CSC")</f>
        <v>CSC</v>
      </c>
      <c r="B298" s="207" t="str">
        <f ca="1">IFERROR(__xludf.DUMMYFUNCTION("""COMPUTED_VALUE"""),"Fiorentina Vargas")</f>
        <v>Fiorentina Vargas</v>
      </c>
      <c r="C298" s="199">
        <f ca="1">IFERROR(__xludf.DUMMYFUNCTION("""COMPUTED_VALUE"""),7)</f>
        <v>7</v>
      </c>
      <c r="D298" s="199" t="str">
        <f ca="1">IFERROR(__xludf.DUMMYFUNCTION("""COMPUTED_VALUE"""),"G")</f>
        <v>G</v>
      </c>
      <c r="E298" s="202" t="str">
        <f ca="1">IFERROR(__xludf.DUMMYFUNCTION("""COMPUTED_VALUE"""),"F")</f>
        <v>F</v>
      </c>
      <c r="F298" s="202" t="str">
        <f ca="1">IFERROR(__xludf.DUMMYFUNCTION("""COMPUTED_VALUE"""),"J")</f>
        <v>J</v>
      </c>
      <c r="G298" s="202">
        <f ca="1">IFERROR(__xludf.DUMMYFUNCTION("""COMPUTED_VALUE"""),8)</f>
        <v>8</v>
      </c>
      <c r="H298" s="206"/>
      <c r="I298" s="206"/>
      <c r="J298" s="206"/>
      <c r="K298" s="206"/>
      <c r="L298" s="206" t="str">
        <v/>
      </c>
      <c r="M298" s="206" t="str">
        <v/>
      </c>
    </row>
    <row r="299" spans="1:13" ht="14.4">
      <c r="A299" s="199" t="str">
        <f ca="1">IFERROR(__xludf.DUMMYFUNCTION("""COMPUTED_VALUE"""),"CSC")</f>
        <v>CSC</v>
      </c>
      <c r="B299" s="207" t="str">
        <f ca="1">IFERROR(__xludf.DUMMYFUNCTION("""COMPUTED_VALUE"""),"Hana Saeedi")</f>
        <v>Hana Saeedi</v>
      </c>
      <c r="C299" s="199">
        <f ca="1">IFERROR(__xludf.DUMMYFUNCTION("""COMPUTED_VALUE"""),9)</f>
        <v>9</v>
      </c>
      <c r="D299" s="199" t="str">
        <f ca="1">IFERROR(__xludf.DUMMYFUNCTION("""COMPUTED_VALUE"""),"G")</f>
        <v>G</v>
      </c>
      <c r="E299" s="202" t="str">
        <f ca="1">IFERROR(__xludf.DUMMYFUNCTION("""COMPUTED_VALUE"""),"F")</f>
        <v>F</v>
      </c>
      <c r="F299" s="202" t="str">
        <f ca="1">IFERROR(__xludf.DUMMYFUNCTION("""COMPUTED_VALUE"""),"J")</f>
        <v>J</v>
      </c>
      <c r="G299" s="202">
        <f ca="1">IFERROR(__xludf.DUMMYFUNCTION("""COMPUTED_VALUE"""),8)</f>
        <v>8</v>
      </c>
      <c r="H299" s="206"/>
      <c r="I299" s="206"/>
      <c r="J299" s="206"/>
      <c r="K299" s="206"/>
      <c r="L299" s="206" t="str">
        <v/>
      </c>
      <c r="M299" s="206" t="str">
        <v/>
      </c>
    </row>
    <row r="300" spans="1:13" ht="14.4">
      <c r="A300" s="199" t="str">
        <f ca="1">IFERROR(__xludf.DUMMYFUNCTION("""COMPUTED_VALUE"""),"CSC")</f>
        <v>CSC</v>
      </c>
      <c r="B300" s="207" t="str">
        <f ca="1">IFERROR(__xludf.DUMMYFUNCTION("""COMPUTED_VALUE"""),"Karie Egan")</f>
        <v>Karie Egan</v>
      </c>
      <c r="C300" s="199">
        <f ca="1">IFERROR(__xludf.DUMMYFUNCTION("""COMPUTED_VALUE"""),10)</f>
        <v>10</v>
      </c>
      <c r="D300" s="199" t="str">
        <f ca="1">IFERROR(__xludf.DUMMYFUNCTION("""COMPUTED_VALUE"""),"G")</f>
        <v>G</v>
      </c>
      <c r="E300" s="202" t="str">
        <f ca="1">IFERROR(__xludf.DUMMYFUNCTION("""COMPUTED_VALUE"""),"F")</f>
        <v>F</v>
      </c>
      <c r="F300" s="202" t="str">
        <f ca="1">IFERROR(__xludf.DUMMYFUNCTION("""COMPUTED_VALUE"""),"J")</f>
        <v>J</v>
      </c>
      <c r="G300" s="202">
        <f ca="1">IFERROR(__xludf.DUMMYFUNCTION("""COMPUTED_VALUE"""),8)</f>
        <v>8</v>
      </c>
      <c r="H300" s="206">
        <v>96</v>
      </c>
      <c r="I300" s="206"/>
      <c r="J300" s="206" t="s">
        <v>123</v>
      </c>
      <c r="K300" s="206"/>
      <c r="L300" s="206" t="str">
        <v xml:space="preserve"> -96</v>
      </c>
      <c r="M300" s="206" t="str">
        <v>^</v>
      </c>
    </row>
    <row r="301" spans="1:13" ht="14.4">
      <c r="A301" s="199" t="str">
        <f ca="1">IFERROR(__xludf.DUMMYFUNCTION("""COMPUTED_VALUE"""),"CSC")</f>
        <v>CSC</v>
      </c>
      <c r="B301" s="207" t="str">
        <f ca="1">IFERROR(__xludf.DUMMYFUNCTION("""COMPUTED_VALUE"""),"Katya Kankadze")</f>
        <v>Katya Kankadze</v>
      </c>
      <c r="C301" s="199">
        <f ca="1">IFERROR(__xludf.DUMMYFUNCTION("""COMPUTED_VALUE"""),9)</f>
        <v>9</v>
      </c>
      <c r="D301" s="199" t="str">
        <f ca="1">IFERROR(__xludf.DUMMYFUNCTION("""COMPUTED_VALUE"""),"G")</f>
        <v>G</v>
      </c>
      <c r="E301" s="202" t="str">
        <f ca="1">IFERROR(__xludf.DUMMYFUNCTION("""COMPUTED_VALUE"""),"F")</f>
        <v>F</v>
      </c>
      <c r="F301" s="202" t="str">
        <f ca="1">IFERROR(__xludf.DUMMYFUNCTION("""COMPUTED_VALUE"""),"J")</f>
        <v>J</v>
      </c>
      <c r="G301" s="202">
        <f ca="1">IFERROR(__xludf.DUMMYFUNCTION("""COMPUTED_VALUE"""),8)</f>
        <v>8</v>
      </c>
      <c r="H301" s="206">
        <v>42.15</v>
      </c>
      <c r="I301" s="206"/>
      <c r="J301" s="206" t="s">
        <v>121</v>
      </c>
      <c r="K301" s="206"/>
      <c r="L301" s="206" t="str">
        <v xml:space="preserve"> 42.15</v>
      </c>
      <c r="M301" s="206" t="str">
        <v/>
      </c>
    </row>
    <row r="302" spans="1:13" ht="14.4">
      <c r="A302" s="199" t="str">
        <f ca="1">IFERROR(__xludf.DUMMYFUNCTION("""COMPUTED_VALUE"""),"CSC")</f>
        <v>CSC</v>
      </c>
      <c r="B302" s="207" t="str">
        <f ca="1">IFERROR(__xludf.DUMMYFUNCTION("""COMPUTED_VALUE"""),"Mackenzie Rose Healy")</f>
        <v>Mackenzie Rose Healy</v>
      </c>
      <c r="C302" s="199">
        <f ca="1">IFERROR(__xludf.DUMMYFUNCTION("""COMPUTED_VALUE"""),8)</f>
        <v>8</v>
      </c>
      <c r="D302" s="199" t="str">
        <f ca="1">IFERROR(__xludf.DUMMYFUNCTION("""COMPUTED_VALUE"""),"G")</f>
        <v>G</v>
      </c>
      <c r="E302" s="202" t="str">
        <f ca="1">IFERROR(__xludf.DUMMYFUNCTION("""COMPUTED_VALUE"""),"F")</f>
        <v>F</v>
      </c>
      <c r="F302" s="202" t="str">
        <f ca="1">IFERROR(__xludf.DUMMYFUNCTION("""COMPUTED_VALUE"""),"J")</f>
        <v>J</v>
      </c>
      <c r="G302" s="202">
        <f ca="1">IFERROR(__xludf.DUMMYFUNCTION("""COMPUTED_VALUE"""),8)</f>
        <v>8</v>
      </c>
      <c r="H302" s="208">
        <v>68.45</v>
      </c>
      <c r="I302" s="208"/>
      <c r="J302" s="208" t="s">
        <v>121</v>
      </c>
      <c r="K302" s="208"/>
      <c r="L302" s="208" t="str">
        <v xml:space="preserve"> 68.45</v>
      </c>
      <c r="M302" s="208" t="str">
        <v/>
      </c>
    </row>
    <row r="303" spans="1:13" ht="14.4">
      <c r="A303" s="199" t="str">
        <f ca="1">IFERROR(__xludf.DUMMYFUNCTION("""COMPUTED_VALUE"""),"CSC")</f>
        <v>CSC</v>
      </c>
      <c r="B303" s="207" t="str">
        <f ca="1">IFERROR(__xludf.DUMMYFUNCTION("""COMPUTED_VALUE"""),"Marissa Rubin")</f>
        <v>Marissa Rubin</v>
      </c>
      <c r="C303" s="199">
        <f ca="1">IFERROR(__xludf.DUMMYFUNCTION("""COMPUTED_VALUE"""),9)</f>
        <v>9</v>
      </c>
      <c r="D303" s="199" t="str">
        <f ca="1">IFERROR(__xludf.DUMMYFUNCTION("""COMPUTED_VALUE"""),"G")</f>
        <v>G</v>
      </c>
      <c r="E303" s="202" t="str">
        <f ca="1">IFERROR(__xludf.DUMMYFUNCTION("""COMPUTED_VALUE"""),"F")</f>
        <v>F</v>
      </c>
      <c r="F303" s="202" t="str">
        <f ca="1">IFERROR(__xludf.DUMMYFUNCTION("""COMPUTED_VALUE"""),"J")</f>
        <v>J</v>
      </c>
      <c r="G303" s="202">
        <f ca="1">IFERROR(__xludf.DUMMYFUNCTION("""COMPUTED_VALUE"""),8)</f>
        <v>8</v>
      </c>
      <c r="H303" s="208"/>
      <c r="I303" s="208"/>
      <c r="J303" s="208"/>
      <c r="K303" s="208"/>
      <c r="L303" s="208" t="str">
        <v/>
      </c>
      <c r="M303" s="208" t="str">
        <v/>
      </c>
    </row>
    <row r="304" spans="1:13" ht="14.4">
      <c r="A304" s="199" t="str">
        <f ca="1">IFERROR(__xludf.DUMMYFUNCTION("""COMPUTED_VALUE"""),"CSC")</f>
        <v>CSC</v>
      </c>
      <c r="B304" s="207" t="str">
        <f ca="1">IFERROR(__xludf.DUMMYFUNCTION("""COMPUTED_VALUE"""),"Natalia Torres")</f>
        <v>Natalia Torres</v>
      </c>
      <c r="C304" s="199">
        <f ca="1">IFERROR(__xludf.DUMMYFUNCTION("""COMPUTED_VALUE"""),10)</f>
        <v>10</v>
      </c>
      <c r="D304" s="199" t="str">
        <f ca="1">IFERROR(__xludf.DUMMYFUNCTION("""COMPUTED_VALUE"""),"G")</f>
        <v>G</v>
      </c>
      <c r="E304" s="202" t="str">
        <f ca="1">IFERROR(__xludf.DUMMYFUNCTION("""COMPUTED_VALUE"""),"F")</f>
        <v>F</v>
      </c>
      <c r="F304" s="202" t="str">
        <f ca="1">IFERROR(__xludf.DUMMYFUNCTION("""COMPUTED_VALUE"""),"J")</f>
        <v>J</v>
      </c>
      <c r="G304" s="202">
        <f ca="1">IFERROR(__xludf.DUMMYFUNCTION("""COMPUTED_VALUE"""),8)</f>
        <v>8</v>
      </c>
      <c r="H304" s="206">
        <v>44.8</v>
      </c>
      <c r="I304" s="206"/>
      <c r="J304" s="206" t="s">
        <v>121</v>
      </c>
      <c r="K304" s="206"/>
      <c r="L304" s="206" t="str">
        <v xml:space="preserve"> 44.8</v>
      </c>
      <c r="M304" s="206" t="str">
        <v/>
      </c>
    </row>
    <row r="305" spans="1:13" ht="14.4">
      <c r="A305" s="199" t="str">
        <f ca="1">IFERROR(__xludf.DUMMYFUNCTION("""COMPUTED_VALUE"""),"CSC")</f>
        <v>CSC</v>
      </c>
      <c r="B305" s="207" t="str">
        <f ca="1">IFERROR(__xludf.DUMMYFUNCTION("""COMPUTED_VALUE"""),"Orya Chapa")</f>
        <v>Orya Chapa</v>
      </c>
      <c r="C305" s="199">
        <f ca="1">IFERROR(__xludf.DUMMYFUNCTION("""COMPUTED_VALUE"""),9)</f>
        <v>9</v>
      </c>
      <c r="D305" s="199" t="str">
        <f ca="1">IFERROR(__xludf.DUMMYFUNCTION("""COMPUTED_VALUE"""),"G")</f>
        <v>G</v>
      </c>
      <c r="E305" s="202" t="str">
        <f ca="1">IFERROR(__xludf.DUMMYFUNCTION("""COMPUTED_VALUE"""),"F")</f>
        <v>F</v>
      </c>
      <c r="F305" s="202" t="str">
        <f ca="1">IFERROR(__xludf.DUMMYFUNCTION("""COMPUTED_VALUE"""),"J")</f>
        <v>J</v>
      </c>
      <c r="G305" s="202">
        <f ca="1">IFERROR(__xludf.DUMMYFUNCTION("""COMPUTED_VALUE"""),8)</f>
        <v>8</v>
      </c>
      <c r="H305" s="206"/>
      <c r="I305" s="206"/>
      <c r="J305" s="206"/>
      <c r="K305" s="206"/>
      <c r="L305" s="206" t="str">
        <v/>
      </c>
      <c r="M305" s="206" t="str">
        <v/>
      </c>
    </row>
    <row r="306" spans="1:13" ht="14.4">
      <c r="A306" s="199" t="str">
        <f ca="1">IFERROR(__xludf.DUMMYFUNCTION("""COMPUTED_VALUE"""),"CSC")</f>
        <v>CSC</v>
      </c>
      <c r="B306" s="207" t="str">
        <f ca="1">IFERROR(__xludf.DUMMYFUNCTION("""COMPUTED_VALUE"""),"Samantha Armando")</f>
        <v>Samantha Armando</v>
      </c>
      <c r="C306" s="199">
        <f ca="1">IFERROR(__xludf.DUMMYFUNCTION("""COMPUTED_VALUE"""),6)</f>
        <v>6</v>
      </c>
      <c r="D306" s="199" t="str">
        <f ca="1">IFERROR(__xludf.DUMMYFUNCTION("""COMPUTED_VALUE"""),"G")</f>
        <v>G</v>
      </c>
      <c r="E306" s="202" t="str">
        <f ca="1">IFERROR(__xludf.DUMMYFUNCTION("""COMPUTED_VALUE"""),"F")</f>
        <v>F</v>
      </c>
      <c r="F306" s="202" t="str">
        <f ca="1">IFERROR(__xludf.DUMMYFUNCTION("""COMPUTED_VALUE"""),"J")</f>
        <v>J</v>
      </c>
      <c r="G306" s="202">
        <f ca="1">IFERROR(__xludf.DUMMYFUNCTION("""COMPUTED_VALUE"""),8)</f>
        <v>8</v>
      </c>
      <c r="H306" s="206"/>
      <c r="I306" s="206"/>
      <c r="J306" s="206"/>
      <c r="K306" s="206"/>
      <c r="L306" s="206" t="str">
        <v/>
      </c>
      <c r="M306" s="206" t="str">
        <v/>
      </c>
    </row>
    <row r="307" spans="1:13" ht="14.4">
      <c r="A307" s="199" t="str">
        <f ca="1">IFERROR(__xludf.DUMMYFUNCTION("""COMPUTED_VALUE"""),"CSC")</f>
        <v>CSC</v>
      </c>
      <c r="B307" s="207" t="str">
        <f ca="1">IFERROR(__xludf.DUMMYFUNCTION("""COMPUTED_VALUE"""),"Soraya Lora-Pena")</f>
        <v>Soraya Lora-Pena</v>
      </c>
      <c r="C307" s="199">
        <f ca="1">IFERROR(__xludf.DUMMYFUNCTION("""COMPUTED_VALUE"""),10)</f>
        <v>10</v>
      </c>
      <c r="D307" s="199" t="str">
        <f ca="1">IFERROR(__xludf.DUMMYFUNCTION("""COMPUTED_VALUE"""),"G")</f>
        <v>G</v>
      </c>
      <c r="E307" s="202" t="str">
        <f ca="1">IFERROR(__xludf.DUMMYFUNCTION("""COMPUTED_VALUE"""),"F")</f>
        <v>F</v>
      </c>
      <c r="F307" s="202" t="str">
        <f ca="1">IFERROR(__xludf.DUMMYFUNCTION("""COMPUTED_VALUE"""),"J")</f>
        <v>J</v>
      </c>
      <c r="G307" s="202">
        <f ca="1">IFERROR(__xludf.DUMMYFUNCTION("""COMPUTED_VALUE"""),8)</f>
        <v>8</v>
      </c>
      <c r="H307" s="208">
        <v>76.25</v>
      </c>
      <c r="I307" s="208"/>
      <c r="J307" s="208" t="s">
        <v>121</v>
      </c>
      <c r="K307" s="208"/>
      <c r="L307" s="208" t="str">
        <v xml:space="preserve"> 76.25</v>
      </c>
      <c r="M307" s="208" t="str">
        <v/>
      </c>
    </row>
    <row r="308" spans="1:13" ht="14.4">
      <c r="A308" s="199" t="str">
        <f ca="1">IFERROR(__xludf.DUMMYFUNCTION("""COMPUTED_VALUE"""),"CSC")</f>
        <v>CSC</v>
      </c>
      <c r="B308" s="207" t="str">
        <f ca="1">IFERROR(__xludf.DUMMYFUNCTION("""COMPUTED_VALUE"""),"Tamar Kankadze")</f>
        <v>Tamar Kankadze</v>
      </c>
      <c r="C308" s="199">
        <f ca="1">IFERROR(__xludf.DUMMYFUNCTION("""COMPUTED_VALUE"""),9)</f>
        <v>9</v>
      </c>
      <c r="D308" s="199" t="str">
        <f ca="1">IFERROR(__xludf.DUMMYFUNCTION("""COMPUTED_VALUE"""),"G")</f>
        <v>G</v>
      </c>
      <c r="E308" s="202" t="str">
        <f ca="1">IFERROR(__xludf.DUMMYFUNCTION("""COMPUTED_VALUE"""),"F")</f>
        <v>F</v>
      </c>
      <c r="F308" s="202" t="str">
        <f ca="1">IFERROR(__xludf.DUMMYFUNCTION("""COMPUTED_VALUE"""),"J")</f>
        <v>J</v>
      </c>
      <c r="G308" s="202">
        <f ca="1">IFERROR(__xludf.DUMMYFUNCTION("""COMPUTED_VALUE"""),8)</f>
        <v>8</v>
      </c>
      <c r="H308" s="208"/>
      <c r="I308" s="208"/>
      <c r="J308" s="208"/>
      <c r="K308" s="208"/>
      <c r="L308" s="208" t="str">
        <v/>
      </c>
      <c r="M308" s="208" t="str">
        <v/>
      </c>
    </row>
    <row r="309" spans="1:13" ht="14.4">
      <c r="A309" s="199" t="str">
        <f ca="1">IFERROR(__xludf.DUMMYFUNCTION("""COMPUTED_VALUE"""),"CSC")</f>
        <v>CSC</v>
      </c>
      <c r="B309" s="207" t="str">
        <f ca="1">IFERROR(__xludf.DUMMYFUNCTION("""COMPUTED_VALUE"""),"Alish Dhakal")</f>
        <v>Alish Dhakal</v>
      </c>
      <c r="C309" s="199">
        <f ca="1">IFERROR(__xludf.DUMMYFUNCTION("""COMPUTED_VALUE"""),13)</f>
        <v>13</v>
      </c>
      <c r="D309" s="199" t="str">
        <f ca="1">IFERROR(__xludf.DUMMYFUNCTION("""COMPUTED_VALUE"""),"B")</f>
        <v>B</v>
      </c>
      <c r="E309" s="202" t="str">
        <f ca="1">IFERROR(__xludf.DUMMYFUNCTION("""COMPUTED_VALUE"""),"I")</f>
        <v>I</v>
      </c>
      <c r="F309" s="202" t="str">
        <f ca="1">IFERROR(__xludf.DUMMYFUNCTION("""COMPUTED_VALUE"""),"S")</f>
        <v>S</v>
      </c>
      <c r="G309" s="202">
        <f ca="1">IFERROR(__xludf.DUMMYFUNCTION("""COMPUTED_VALUE"""),8)</f>
        <v>8</v>
      </c>
      <c r="H309" s="208"/>
      <c r="I309" s="208"/>
      <c r="J309" s="208"/>
      <c r="K309" s="208"/>
      <c r="L309" s="208" t="str">
        <v/>
      </c>
      <c r="M309" s="208" t="str">
        <v/>
      </c>
    </row>
    <row r="310" spans="1:13" ht="14.4">
      <c r="A310" s="199" t="str">
        <f ca="1">IFERROR(__xludf.DUMMYFUNCTION("""COMPUTED_VALUE"""),"CSC")</f>
        <v>CSC</v>
      </c>
      <c r="B310" s="207" t="str">
        <f ca="1">IFERROR(__xludf.DUMMYFUNCTION("""COMPUTED_VALUE"""),"Liam McCoy")</f>
        <v>Liam McCoy</v>
      </c>
      <c r="C310" s="199">
        <f ca="1">IFERROR(__xludf.DUMMYFUNCTION("""COMPUTED_VALUE"""),14)</f>
        <v>14</v>
      </c>
      <c r="D310" s="199" t="str">
        <f ca="1">IFERROR(__xludf.DUMMYFUNCTION("""COMPUTED_VALUE"""),"B")</f>
        <v>B</v>
      </c>
      <c r="E310" s="202" t="str">
        <f ca="1">IFERROR(__xludf.DUMMYFUNCTION("""COMPUTED_VALUE"""),"I")</f>
        <v>I</v>
      </c>
      <c r="F310" s="202" t="str">
        <f ca="1">IFERROR(__xludf.DUMMYFUNCTION("""COMPUTED_VALUE"""),"S")</f>
        <v>S</v>
      </c>
      <c r="G310" s="202">
        <f ca="1">IFERROR(__xludf.DUMMYFUNCTION("""COMPUTED_VALUE"""),8)</f>
        <v>8</v>
      </c>
      <c r="H310" s="206"/>
      <c r="I310" s="206"/>
      <c r="J310" s="206"/>
      <c r="K310" s="206"/>
      <c r="L310" s="206" t="str">
        <v/>
      </c>
      <c r="M310" s="206" t="str">
        <v/>
      </c>
    </row>
    <row r="311" spans="1:13" ht="14.4">
      <c r="A311" s="199" t="str">
        <f ca="1">IFERROR(__xludf.DUMMYFUNCTION("""COMPUTED_VALUE"""),"CSC")</f>
        <v>CSC</v>
      </c>
      <c r="B311" s="207" t="str">
        <f ca="1">IFERROR(__xludf.DUMMYFUNCTION("""COMPUTED_VALUE"""),"Thomas Phelam")</f>
        <v>Thomas Phelam</v>
      </c>
      <c r="C311" s="199">
        <f ca="1">IFERROR(__xludf.DUMMYFUNCTION("""COMPUTED_VALUE"""),14)</f>
        <v>14</v>
      </c>
      <c r="D311" s="199" t="str">
        <f ca="1">IFERROR(__xludf.DUMMYFUNCTION("""COMPUTED_VALUE"""),"B")</f>
        <v>B</v>
      </c>
      <c r="E311" s="202" t="str">
        <f ca="1">IFERROR(__xludf.DUMMYFUNCTION("""COMPUTED_VALUE"""),"I")</f>
        <v>I</v>
      </c>
      <c r="F311" s="202" t="str">
        <f ca="1">IFERROR(__xludf.DUMMYFUNCTION("""COMPUTED_VALUE"""),"S")</f>
        <v>S</v>
      </c>
      <c r="G311" s="202">
        <f ca="1">IFERROR(__xludf.DUMMYFUNCTION("""COMPUTED_VALUE"""),8)</f>
        <v>8</v>
      </c>
      <c r="H311" s="206"/>
      <c r="I311" s="206"/>
      <c r="J311" s="206"/>
      <c r="K311" s="206"/>
      <c r="L311" s="206" t="str">
        <v/>
      </c>
      <c r="M311" s="206" t="str">
        <v/>
      </c>
    </row>
    <row r="312" spans="1:13" ht="14.4">
      <c r="A312" s="199" t="str">
        <f ca="1">IFERROR(__xludf.DUMMYFUNCTION("""COMPUTED_VALUE"""),"CSC")</f>
        <v>CSC</v>
      </c>
      <c r="B312" s="207" t="str">
        <f ca="1">IFERROR(__xludf.DUMMYFUNCTION("""COMPUTED_VALUE"""),"Tristan Wathen")</f>
        <v>Tristan Wathen</v>
      </c>
      <c r="C312" s="199">
        <f ca="1">IFERROR(__xludf.DUMMYFUNCTION("""COMPUTED_VALUE"""),14)</f>
        <v>14</v>
      </c>
      <c r="D312" s="199" t="str">
        <f ca="1">IFERROR(__xludf.DUMMYFUNCTION("""COMPUTED_VALUE"""),"B")</f>
        <v>B</v>
      </c>
      <c r="E312" s="202" t="str">
        <f ca="1">IFERROR(__xludf.DUMMYFUNCTION("""COMPUTED_VALUE"""),"I")</f>
        <v>I</v>
      </c>
      <c r="F312" s="202" t="str">
        <f ca="1">IFERROR(__xludf.DUMMYFUNCTION("""COMPUTED_VALUE"""),"S")</f>
        <v>S</v>
      </c>
      <c r="G312" s="202">
        <f ca="1">IFERROR(__xludf.DUMMYFUNCTION("""COMPUTED_VALUE"""),8)</f>
        <v>8</v>
      </c>
      <c r="H312" s="206"/>
      <c r="I312" s="206"/>
      <c r="J312" s="206"/>
      <c r="K312" s="206"/>
      <c r="L312" s="206" t="str">
        <v/>
      </c>
      <c r="M312" s="206" t="str">
        <v/>
      </c>
    </row>
    <row r="313" spans="1:13" ht="14.4">
      <c r="A313" s="199" t="str">
        <f ca="1">IFERROR(__xludf.DUMMYFUNCTION("""COMPUTED_VALUE"""),"CSC")</f>
        <v>CSC</v>
      </c>
      <c r="B313" s="207" t="str">
        <f ca="1">IFERROR(__xludf.DUMMYFUNCTION("""COMPUTED_VALUE"""),"Abbie Baldree")</f>
        <v>Abbie Baldree</v>
      </c>
      <c r="C313" s="199">
        <f ca="1">IFERROR(__xludf.DUMMYFUNCTION("""COMPUTED_VALUE"""),14)</f>
        <v>14</v>
      </c>
      <c r="D313" s="199" t="str">
        <f ca="1">IFERROR(__xludf.DUMMYFUNCTION("""COMPUTED_VALUE"""),"G")</f>
        <v>G</v>
      </c>
      <c r="E313" s="202" t="str">
        <f ca="1">IFERROR(__xludf.DUMMYFUNCTION("""COMPUTED_VALUE"""),"I")</f>
        <v>I</v>
      </c>
      <c r="F313" s="202" t="str">
        <f ca="1">IFERROR(__xludf.DUMMYFUNCTION("""COMPUTED_VALUE"""),"S")</f>
        <v>S</v>
      </c>
      <c r="G313" s="202">
        <f ca="1">IFERROR(__xludf.DUMMYFUNCTION("""COMPUTED_VALUE"""),8)</f>
        <v>8</v>
      </c>
      <c r="H313" s="208"/>
      <c r="I313" s="208"/>
      <c r="J313" s="208"/>
      <c r="K313" s="208"/>
      <c r="L313" s="208" t="str">
        <v/>
      </c>
      <c r="M313" s="208" t="str">
        <v/>
      </c>
    </row>
    <row r="314" spans="1:13" ht="14.4">
      <c r="A314" s="199" t="str">
        <f ca="1">IFERROR(__xludf.DUMMYFUNCTION("""COMPUTED_VALUE"""),"CSC")</f>
        <v>CSC</v>
      </c>
      <c r="B314" s="207" t="str">
        <f ca="1">IFERROR(__xludf.DUMMYFUNCTION("""COMPUTED_VALUE"""),"Charlie Ciri")</f>
        <v>Charlie Ciri</v>
      </c>
      <c r="C314" s="199">
        <f ca="1">IFERROR(__xludf.DUMMYFUNCTION("""COMPUTED_VALUE"""),11)</f>
        <v>11</v>
      </c>
      <c r="D314" s="199" t="str">
        <f ca="1">IFERROR(__xludf.DUMMYFUNCTION("""COMPUTED_VALUE"""),"B")</f>
        <v>B</v>
      </c>
      <c r="E314" s="202" t="str">
        <f ca="1">IFERROR(__xludf.DUMMYFUNCTION("""COMPUTED_VALUE"""),"J")</f>
        <v>J</v>
      </c>
      <c r="F314" s="202" t="str">
        <f ca="1">IFERROR(__xludf.DUMMYFUNCTION("""COMPUTED_VALUE"""),"I")</f>
        <v>I</v>
      </c>
      <c r="G314" s="202">
        <f ca="1">IFERROR(__xludf.DUMMYFUNCTION("""COMPUTED_VALUE"""),8)</f>
        <v>8</v>
      </c>
      <c r="H314" s="206"/>
      <c r="I314" s="206"/>
      <c r="J314" s="206"/>
      <c r="K314" s="206"/>
      <c r="L314" s="206" t="str">
        <v/>
      </c>
      <c r="M314" s="206" t="str">
        <v/>
      </c>
    </row>
    <row r="315" spans="1:13" ht="14.4">
      <c r="A315" s="199" t="str">
        <f ca="1">IFERROR(__xludf.DUMMYFUNCTION("""COMPUTED_VALUE"""),"CSC")</f>
        <v>CSC</v>
      </c>
      <c r="B315" s="207" t="str">
        <f ca="1">IFERROR(__xludf.DUMMYFUNCTION("""COMPUTED_VALUE"""),"Isaiah Lora-Pena")</f>
        <v>Isaiah Lora-Pena</v>
      </c>
      <c r="C315" s="199">
        <f ca="1">IFERROR(__xludf.DUMMYFUNCTION("""COMPUTED_VALUE"""),12)</f>
        <v>12</v>
      </c>
      <c r="D315" s="199" t="str">
        <f ca="1">IFERROR(__xludf.DUMMYFUNCTION("""COMPUTED_VALUE"""),"B")</f>
        <v>B</v>
      </c>
      <c r="E315" s="202" t="str">
        <f ca="1">IFERROR(__xludf.DUMMYFUNCTION("""COMPUTED_VALUE"""),"J")</f>
        <v>J</v>
      </c>
      <c r="F315" s="202" t="str">
        <f ca="1">IFERROR(__xludf.DUMMYFUNCTION("""COMPUTED_VALUE"""),"I")</f>
        <v>I</v>
      </c>
      <c r="G315" s="202">
        <f ca="1">IFERROR(__xludf.DUMMYFUNCTION("""COMPUTED_VALUE"""),8)</f>
        <v>8</v>
      </c>
      <c r="H315" s="208"/>
      <c r="I315" s="208"/>
      <c r="J315" s="208"/>
      <c r="K315" s="208"/>
      <c r="L315" s="208" t="str">
        <v/>
      </c>
      <c r="M315" s="208" t="str">
        <v/>
      </c>
    </row>
    <row r="316" spans="1:13" ht="14.4">
      <c r="A316" s="199" t="str">
        <f ca="1">IFERROR(__xludf.DUMMYFUNCTION("""COMPUTED_VALUE"""),"CSC")</f>
        <v>CSC</v>
      </c>
      <c r="B316" s="207" t="str">
        <f ca="1">IFERROR(__xludf.DUMMYFUNCTION("""COMPUTED_VALUE"""),"Matthew Phelam")</f>
        <v>Matthew Phelam</v>
      </c>
      <c r="C316" s="199">
        <f ca="1">IFERROR(__xludf.DUMMYFUNCTION("""COMPUTED_VALUE"""),12)</f>
        <v>12</v>
      </c>
      <c r="D316" s="199" t="str">
        <f ca="1">IFERROR(__xludf.DUMMYFUNCTION("""COMPUTED_VALUE"""),"B")</f>
        <v>B</v>
      </c>
      <c r="E316" s="202" t="str">
        <f ca="1">IFERROR(__xludf.DUMMYFUNCTION("""COMPUTED_VALUE"""),"J")</f>
        <v>J</v>
      </c>
      <c r="F316" s="202" t="str">
        <f ca="1">IFERROR(__xludf.DUMMYFUNCTION("""COMPUTED_VALUE"""),"I")</f>
        <v>I</v>
      </c>
      <c r="G316" s="202">
        <f ca="1">IFERROR(__xludf.DUMMYFUNCTION("""COMPUTED_VALUE"""),8)</f>
        <v>8</v>
      </c>
      <c r="H316" s="208"/>
      <c r="I316" s="208"/>
      <c r="J316" s="208"/>
      <c r="K316" s="208"/>
      <c r="L316" s="208" t="str">
        <v/>
      </c>
      <c r="M316" s="208" t="str">
        <v/>
      </c>
    </row>
    <row r="317" spans="1:13" ht="14.4">
      <c r="A317" s="199" t="str">
        <f ca="1">IFERROR(__xludf.DUMMYFUNCTION("""COMPUTED_VALUE"""),"CSC")</f>
        <v>CSC</v>
      </c>
      <c r="B317" s="207" t="str">
        <f ca="1">IFERROR(__xludf.DUMMYFUNCTION("""COMPUTED_VALUE"""),"Danica Fox")</f>
        <v>Danica Fox</v>
      </c>
      <c r="C317" s="199">
        <f ca="1">IFERROR(__xludf.DUMMYFUNCTION("""COMPUTED_VALUE"""),12)</f>
        <v>12</v>
      </c>
      <c r="D317" s="199" t="str">
        <f ca="1">IFERROR(__xludf.DUMMYFUNCTION("""COMPUTED_VALUE"""),"G")</f>
        <v>G</v>
      </c>
      <c r="E317" s="202" t="str">
        <f ca="1">IFERROR(__xludf.DUMMYFUNCTION("""COMPUTED_VALUE"""),"J")</f>
        <v>J</v>
      </c>
      <c r="F317" s="202" t="str">
        <f ca="1">IFERROR(__xludf.DUMMYFUNCTION("""COMPUTED_VALUE"""),"I")</f>
        <v>I</v>
      </c>
      <c r="G317" s="202">
        <f ca="1">IFERROR(__xludf.DUMMYFUNCTION("""COMPUTED_VALUE"""),8)</f>
        <v>8</v>
      </c>
      <c r="H317" s="206"/>
      <c r="I317" s="206"/>
      <c r="J317" s="206"/>
      <c r="K317" s="206"/>
      <c r="L317" s="206" t="str">
        <v/>
      </c>
      <c r="M317" s="206" t="str">
        <v/>
      </c>
    </row>
    <row r="318" spans="1:13" ht="14.4">
      <c r="A318" s="199" t="str">
        <f ca="1">IFERROR(__xludf.DUMMYFUNCTION("""COMPUTED_VALUE"""),"CSC")</f>
        <v>CSC</v>
      </c>
      <c r="B318" s="207" t="str">
        <f ca="1">IFERROR(__xludf.DUMMYFUNCTION("""COMPUTED_VALUE"""),"Jenna Wathen")</f>
        <v>Jenna Wathen</v>
      </c>
      <c r="C318" s="199">
        <f ca="1">IFERROR(__xludf.DUMMYFUNCTION("""COMPUTED_VALUE"""),11)</f>
        <v>11</v>
      </c>
      <c r="D318" s="199" t="str">
        <f ca="1">IFERROR(__xludf.DUMMYFUNCTION("""COMPUTED_VALUE"""),"G")</f>
        <v>G</v>
      </c>
      <c r="E318" s="202" t="str">
        <f ca="1">IFERROR(__xludf.DUMMYFUNCTION("""COMPUTED_VALUE"""),"J")</f>
        <v>J</v>
      </c>
      <c r="F318" s="202" t="str">
        <f ca="1">IFERROR(__xludf.DUMMYFUNCTION("""COMPUTED_VALUE"""),"I")</f>
        <v>I</v>
      </c>
      <c r="G318" s="202">
        <f ca="1">IFERROR(__xludf.DUMMYFUNCTION("""COMPUTED_VALUE"""),8)</f>
        <v>8</v>
      </c>
      <c r="H318" s="206"/>
      <c r="I318" s="206"/>
      <c r="J318" s="206"/>
      <c r="K318" s="206"/>
      <c r="L318" s="206" t="str">
        <v/>
      </c>
      <c r="M318" s="206" t="str">
        <v/>
      </c>
    </row>
    <row r="319" spans="1:13" ht="14.4">
      <c r="A319" s="199" t="str">
        <f ca="1">IFERROR(__xludf.DUMMYFUNCTION("""COMPUTED_VALUE"""),"CSC")</f>
        <v>CSC</v>
      </c>
      <c r="B319" s="207" t="str">
        <f ca="1">IFERROR(__xludf.DUMMYFUNCTION("""COMPUTED_VALUE"""),"Sabrina Fox")</f>
        <v>Sabrina Fox</v>
      </c>
      <c r="C319" s="199">
        <f ca="1">IFERROR(__xludf.DUMMYFUNCTION("""COMPUTED_VALUE"""),12)</f>
        <v>12</v>
      </c>
      <c r="D319" s="199" t="str">
        <f ca="1">IFERROR(__xludf.DUMMYFUNCTION("""COMPUTED_VALUE"""),"G")</f>
        <v>G</v>
      </c>
      <c r="E319" s="202" t="str">
        <f ca="1">IFERROR(__xludf.DUMMYFUNCTION("""COMPUTED_VALUE"""),"J")</f>
        <v>J</v>
      </c>
      <c r="F319" s="202" t="str">
        <f ca="1">IFERROR(__xludf.DUMMYFUNCTION("""COMPUTED_VALUE"""),"I")</f>
        <v>I</v>
      </c>
      <c r="G319" s="202">
        <f ca="1">IFERROR(__xludf.DUMMYFUNCTION("""COMPUTED_VALUE"""),8)</f>
        <v>8</v>
      </c>
      <c r="H319" s="206"/>
      <c r="I319" s="206"/>
      <c r="J319" s="206"/>
      <c r="K319" s="206"/>
      <c r="L319" s="206" t="str">
        <v/>
      </c>
      <c r="M319" s="206" t="str">
        <v/>
      </c>
    </row>
    <row r="320" spans="1:13" ht="14.4">
      <c r="A320" s="199" t="str">
        <f ca="1">IFERROR(__xludf.DUMMYFUNCTION("""COMPUTED_VALUE"""),"CSC")</f>
        <v>CSC</v>
      </c>
      <c r="B320" s="207" t="str">
        <f ca="1">IFERROR(__xludf.DUMMYFUNCTION("""COMPUTED_VALUE"""),"Tyler Jackson")</f>
        <v>Tyler Jackson</v>
      </c>
      <c r="C320" s="199">
        <f ca="1">IFERROR(__xludf.DUMMYFUNCTION("""COMPUTED_VALUE"""),19)</f>
        <v>19</v>
      </c>
      <c r="D320" s="199" t="str">
        <f ca="1">IFERROR(__xludf.DUMMYFUNCTION("""COMPUTED_VALUE"""),"B")</f>
        <v>B</v>
      </c>
      <c r="E320" s="202" t="str">
        <f ca="1">IFERROR(__xludf.DUMMYFUNCTION("""COMPUTED_VALUE"""),"S")</f>
        <v>S</v>
      </c>
      <c r="F320" s="202" t="str">
        <f ca="1">IFERROR(__xludf.DUMMYFUNCTION("""COMPUTED_VALUE"""),"S")</f>
        <v>S</v>
      </c>
      <c r="G320" s="202">
        <f ca="1">IFERROR(__xludf.DUMMYFUNCTION("""COMPUTED_VALUE"""),8)</f>
        <v>8</v>
      </c>
      <c r="H320" s="206"/>
      <c r="I320" s="206"/>
      <c r="J320" s="206"/>
      <c r="K320" s="206"/>
      <c r="L320" s="206" t="str">
        <v/>
      </c>
      <c r="M320" s="206" t="str">
        <v/>
      </c>
    </row>
    <row r="321" spans="1:13" ht="14.4">
      <c r="A321" s="199" t="str">
        <f ca="1">IFERROR(__xludf.DUMMYFUNCTION("""COMPUTED_VALUE"""),"CSC")</f>
        <v>CSC</v>
      </c>
      <c r="B321" s="207" t="str">
        <f ca="1">IFERROR(__xludf.DUMMYFUNCTION("""COMPUTED_VALUE"""),"Carly Jackson")</f>
        <v>Carly Jackson</v>
      </c>
      <c r="C321" s="199">
        <f ca="1">IFERROR(__xludf.DUMMYFUNCTION("""COMPUTED_VALUE"""),17)</f>
        <v>17</v>
      </c>
      <c r="D321" s="199" t="str">
        <f ca="1">IFERROR(__xludf.DUMMYFUNCTION("""COMPUTED_VALUE"""),"G")</f>
        <v>G</v>
      </c>
      <c r="E321" s="202" t="str">
        <f ca="1">IFERROR(__xludf.DUMMYFUNCTION("""COMPUTED_VALUE"""),"S")</f>
        <v>S</v>
      </c>
      <c r="F321" s="202" t="str">
        <f ca="1">IFERROR(__xludf.DUMMYFUNCTION("""COMPUTED_VALUE"""),"S")</f>
        <v>S</v>
      </c>
      <c r="G321" s="202">
        <f ca="1">IFERROR(__xludf.DUMMYFUNCTION("""COMPUTED_VALUE"""),8)</f>
        <v>8</v>
      </c>
      <c r="H321" s="206"/>
      <c r="I321" s="206"/>
      <c r="J321" s="206"/>
      <c r="K321" s="206"/>
      <c r="L321" s="206" t="str">
        <v/>
      </c>
      <c r="M321" s="206" t="str">
        <v/>
      </c>
    </row>
    <row r="322" spans="1:13" ht="14.4">
      <c r="A322" s="199" t="str">
        <f ca="1">IFERROR(__xludf.DUMMYFUNCTION("""COMPUTED_VALUE"""),"CSC")</f>
        <v>CSC</v>
      </c>
      <c r="B322" s="207" t="str">
        <f ca="1">IFERROR(__xludf.DUMMYFUNCTION("""COMPUTED_VALUE"""),"Isabelle Merchant")</f>
        <v>Isabelle Merchant</v>
      </c>
      <c r="C322" s="199">
        <f ca="1">IFERROR(__xludf.DUMMYFUNCTION("""COMPUTED_VALUE"""),16)</f>
        <v>16</v>
      </c>
      <c r="D322" s="199" t="str">
        <f ca="1">IFERROR(__xludf.DUMMYFUNCTION("""COMPUTED_VALUE"""),"G")</f>
        <v>G</v>
      </c>
      <c r="E322" s="202" t="str">
        <f ca="1">IFERROR(__xludf.DUMMYFUNCTION("""COMPUTED_VALUE"""),"S")</f>
        <v>S</v>
      </c>
      <c r="F322" s="202" t="str">
        <f ca="1">IFERROR(__xludf.DUMMYFUNCTION("""COMPUTED_VALUE"""),"S")</f>
        <v>S</v>
      </c>
      <c r="G322" s="202">
        <f ca="1">IFERROR(__xludf.DUMMYFUNCTION("""COMPUTED_VALUE"""),8)</f>
        <v>8</v>
      </c>
      <c r="H322" s="206"/>
      <c r="I322" s="206"/>
      <c r="J322" s="206"/>
      <c r="K322" s="206"/>
      <c r="L322" s="206" t="str">
        <v/>
      </c>
      <c r="M322" s="206" t="str">
        <v/>
      </c>
    </row>
    <row r="323" spans="1:13" ht="14.4">
      <c r="A323" s="199" t="str">
        <f ca="1">IFERROR(__xludf.DUMMYFUNCTION("""COMPUTED_VALUE"""),"CSC")</f>
        <v>CSC</v>
      </c>
      <c r="B323" s="207" t="str">
        <f ca="1">IFERROR(__xludf.DUMMYFUNCTION("""COMPUTED_VALUE"""),"Madi Flinn")</f>
        <v>Madi Flinn</v>
      </c>
      <c r="C323" s="199">
        <f ca="1">IFERROR(__xludf.DUMMYFUNCTION("""COMPUTED_VALUE"""),19)</f>
        <v>19</v>
      </c>
      <c r="D323" s="199" t="str">
        <f ca="1">IFERROR(__xludf.DUMMYFUNCTION("""COMPUTED_VALUE"""),"G")</f>
        <v>G</v>
      </c>
      <c r="E323" s="202" t="str">
        <f ca="1">IFERROR(__xludf.DUMMYFUNCTION("""COMPUTED_VALUE"""),"S")</f>
        <v>S</v>
      </c>
      <c r="F323" s="202" t="str">
        <f ca="1">IFERROR(__xludf.DUMMYFUNCTION("""COMPUTED_VALUE"""),"S")</f>
        <v>S</v>
      </c>
      <c r="G323" s="202">
        <f ca="1">IFERROR(__xludf.DUMMYFUNCTION("""COMPUTED_VALUE"""),8)</f>
        <v>8</v>
      </c>
      <c r="H323" s="206">
        <v>189.55</v>
      </c>
      <c r="I323" s="206"/>
      <c r="J323" s="206" t="s">
        <v>121</v>
      </c>
      <c r="K323" s="206"/>
      <c r="L323" s="206" t="str">
        <v xml:space="preserve"> 189.55</v>
      </c>
      <c r="M323" s="206" t="str">
        <v/>
      </c>
    </row>
    <row r="324" spans="1:13" ht="14.4">
      <c r="A324" s="199" t="str">
        <f ca="1">IFERROR(__xludf.DUMMYFUNCTION("""COMPUTED_VALUE"""),"DH")</f>
        <v>DH</v>
      </c>
      <c r="B324" s="207" t="str">
        <f ca="1">IFERROR(__xludf.DUMMYFUNCTION("""COMPUTED_VALUE"""),"Aiden Robinson")</f>
        <v>Aiden Robinson</v>
      </c>
      <c r="C324" s="199">
        <f ca="1">IFERROR(__xludf.DUMMYFUNCTION("""COMPUTED_VALUE"""),9)</f>
        <v>9</v>
      </c>
      <c r="D324" s="199" t="str">
        <f ca="1">IFERROR(__xludf.DUMMYFUNCTION("""COMPUTED_VALUE"""),"B")</f>
        <v>B</v>
      </c>
      <c r="E324" s="202" t="str">
        <f ca="1">IFERROR(__xludf.DUMMYFUNCTION("""COMPUTED_VALUE"""),"F")</f>
        <v>F</v>
      </c>
      <c r="F324" s="202" t="str">
        <f ca="1">IFERROR(__xludf.DUMMYFUNCTION("""COMPUTED_VALUE"""),"J")</f>
        <v>J</v>
      </c>
      <c r="G324" s="202">
        <f ca="1">IFERROR(__xludf.DUMMYFUNCTION("""COMPUTED_VALUE"""),4)</f>
        <v>4</v>
      </c>
      <c r="H324" s="208"/>
      <c r="I324" s="208"/>
      <c r="J324" s="208"/>
      <c r="K324" s="208"/>
      <c r="L324" s="208" t="str">
        <v/>
      </c>
      <c r="M324" s="208" t="str">
        <v/>
      </c>
    </row>
    <row r="325" spans="1:13" ht="14.4">
      <c r="A325" s="199" t="str">
        <f ca="1">IFERROR(__xludf.DUMMYFUNCTION("""COMPUTED_VALUE"""),"DH")</f>
        <v>DH</v>
      </c>
      <c r="B325" s="207" t="str">
        <f ca="1">IFERROR(__xludf.DUMMYFUNCTION("""COMPUTED_VALUE"""),"Andrew Aldonas")</f>
        <v>Andrew Aldonas</v>
      </c>
      <c r="C325" s="199">
        <f ca="1">IFERROR(__xludf.DUMMYFUNCTION("""COMPUTED_VALUE"""),5)</f>
        <v>5</v>
      </c>
      <c r="D325" s="199" t="str">
        <f ca="1">IFERROR(__xludf.DUMMYFUNCTION("""COMPUTED_VALUE"""),"B")</f>
        <v>B</v>
      </c>
      <c r="E325" s="202" t="str">
        <f ca="1">IFERROR(__xludf.DUMMYFUNCTION("""COMPUTED_VALUE"""),"F")</f>
        <v>F</v>
      </c>
      <c r="F325" s="202" t="str">
        <f ca="1">IFERROR(__xludf.DUMMYFUNCTION("""COMPUTED_VALUE"""),"J")</f>
        <v>J</v>
      </c>
      <c r="G325" s="202">
        <f ca="1">IFERROR(__xludf.DUMMYFUNCTION("""COMPUTED_VALUE"""),4)</f>
        <v>4</v>
      </c>
      <c r="H325" s="208"/>
      <c r="I325" s="208">
        <v>28.4</v>
      </c>
      <c r="J325" s="208"/>
      <c r="K325" s="208" t="s">
        <v>121</v>
      </c>
      <c r="L325" s="208" t="str">
        <v xml:space="preserve"> 28.4</v>
      </c>
      <c r="M325" s="208" t="str">
        <v/>
      </c>
    </row>
    <row r="326" spans="1:13" ht="14.4">
      <c r="A326" s="199" t="str">
        <f ca="1">IFERROR(__xludf.DUMMYFUNCTION("""COMPUTED_VALUE"""),"DH")</f>
        <v>DH</v>
      </c>
      <c r="B326" s="207" t="str">
        <f ca="1">IFERROR(__xludf.DUMMYFUNCTION("""COMPUTED_VALUE"""),"Cameron Kirchoff-Johnson")</f>
        <v>Cameron Kirchoff-Johnson</v>
      </c>
      <c r="C326" s="199">
        <f ca="1">IFERROR(__xludf.DUMMYFUNCTION("""COMPUTED_VALUE"""),9)</f>
        <v>9</v>
      </c>
      <c r="D326" s="199" t="str">
        <f ca="1">IFERROR(__xludf.DUMMYFUNCTION("""COMPUTED_VALUE"""),"B")</f>
        <v>B</v>
      </c>
      <c r="E326" s="202" t="str">
        <f ca="1">IFERROR(__xludf.DUMMYFUNCTION("""COMPUTED_VALUE"""),"F")</f>
        <v>F</v>
      </c>
      <c r="F326" s="202" t="str">
        <f ca="1">IFERROR(__xludf.DUMMYFUNCTION("""COMPUTED_VALUE"""),"J")</f>
        <v>J</v>
      </c>
      <c r="G326" s="202">
        <f ca="1">IFERROR(__xludf.DUMMYFUNCTION("""COMPUTED_VALUE"""),4)</f>
        <v>4</v>
      </c>
      <c r="H326" s="208"/>
      <c r="I326" s="208"/>
      <c r="J326" s="208"/>
      <c r="K326" s="208"/>
      <c r="L326" s="208" t="str">
        <v/>
      </c>
      <c r="M326" s="208" t="str">
        <v/>
      </c>
    </row>
    <row r="327" spans="1:13" ht="14.4">
      <c r="A327" s="199" t="str">
        <f ca="1">IFERROR(__xludf.DUMMYFUNCTION("""COMPUTED_VALUE"""),"DH")</f>
        <v>DH</v>
      </c>
      <c r="B327" s="207" t="str">
        <f ca="1">IFERROR(__xludf.DUMMYFUNCTION("""COMPUTED_VALUE"""),"Connor Myers")</f>
        <v>Connor Myers</v>
      </c>
      <c r="C327" s="199">
        <f ca="1">IFERROR(__xludf.DUMMYFUNCTION("""COMPUTED_VALUE"""),8)</f>
        <v>8</v>
      </c>
      <c r="D327" s="199" t="str">
        <f ca="1">IFERROR(__xludf.DUMMYFUNCTION("""COMPUTED_VALUE"""),"B")</f>
        <v>B</v>
      </c>
      <c r="E327" s="202" t="str">
        <f ca="1">IFERROR(__xludf.DUMMYFUNCTION("""COMPUTED_VALUE"""),"F")</f>
        <v>F</v>
      </c>
      <c r="F327" s="202" t="str">
        <f ca="1">IFERROR(__xludf.DUMMYFUNCTION("""COMPUTED_VALUE"""),"J")</f>
        <v>J</v>
      </c>
      <c r="G327" s="202">
        <f ca="1">IFERROR(__xludf.DUMMYFUNCTION("""COMPUTED_VALUE"""),4)</f>
        <v>4</v>
      </c>
      <c r="H327" s="206"/>
      <c r="I327" s="206"/>
      <c r="J327" s="206"/>
      <c r="K327" s="206"/>
      <c r="L327" s="206" t="str">
        <v/>
      </c>
      <c r="M327" s="206" t="str">
        <v/>
      </c>
    </row>
    <row r="328" spans="1:13" ht="14.4">
      <c r="A328" s="199" t="str">
        <f ca="1">IFERROR(__xludf.DUMMYFUNCTION("""COMPUTED_VALUE"""),"DH")</f>
        <v>DH</v>
      </c>
      <c r="B328" s="207" t="str">
        <f ca="1">IFERROR(__xludf.DUMMYFUNCTION("""COMPUTED_VALUE"""),"Harry Larsen")</f>
        <v>Harry Larsen</v>
      </c>
      <c r="C328" s="199">
        <f ca="1">IFERROR(__xludf.DUMMYFUNCTION("""COMPUTED_VALUE"""),10)</f>
        <v>10</v>
      </c>
      <c r="D328" s="199" t="str">
        <f ca="1">IFERROR(__xludf.DUMMYFUNCTION("""COMPUTED_VALUE"""),"B")</f>
        <v>B</v>
      </c>
      <c r="E328" s="202" t="str">
        <f ca="1">IFERROR(__xludf.DUMMYFUNCTION("""COMPUTED_VALUE"""),"F")</f>
        <v>F</v>
      </c>
      <c r="F328" s="202" t="str">
        <f ca="1">IFERROR(__xludf.DUMMYFUNCTION("""COMPUTED_VALUE"""),"J")</f>
        <v>J</v>
      </c>
      <c r="G328" s="202">
        <f ca="1">IFERROR(__xludf.DUMMYFUNCTION("""COMPUTED_VALUE"""),4)</f>
        <v>4</v>
      </c>
      <c r="H328" s="208"/>
      <c r="I328" s="208"/>
      <c r="J328" s="208"/>
      <c r="K328" s="208"/>
      <c r="L328" s="208" t="str">
        <v/>
      </c>
      <c r="M328" s="208" t="str">
        <v/>
      </c>
    </row>
    <row r="329" spans="1:13" ht="14.4">
      <c r="A329" s="199" t="str">
        <f ca="1">IFERROR(__xludf.DUMMYFUNCTION("""COMPUTED_VALUE"""),"DH")</f>
        <v>DH</v>
      </c>
      <c r="B329" s="207" t="str">
        <f ca="1">IFERROR(__xludf.DUMMYFUNCTION("""COMPUTED_VALUE"""),"Ian Bradley")</f>
        <v>Ian Bradley</v>
      </c>
      <c r="C329" s="199">
        <f ca="1">IFERROR(__xludf.DUMMYFUNCTION("""COMPUTED_VALUE"""),9)</f>
        <v>9</v>
      </c>
      <c r="D329" s="199" t="str">
        <f ca="1">IFERROR(__xludf.DUMMYFUNCTION("""COMPUTED_VALUE"""),"B")</f>
        <v>B</v>
      </c>
      <c r="E329" s="202" t="str">
        <f ca="1">IFERROR(__xludf.DUMMYFUNCTION("""COMPUTED_VALUE"""),"F")</f>
        <v>F</v>
      </c>
      <c r="F329" s="202" t="str">
        <f ca="1">IFERROR(__xludf.DUMMYFUNCTION("""COMPUTED_VALUE"""),"J")</f>
        <v>J</v>
      </c>
      <c r="G329" s="202">
        <f ca="1">IFERROR(__xludf.DUMMYFUNCTION("""COMPUTED_VALUE"""),4)</f>
        <v>4</v>
      </c>
      <c r="H329" s="208"/>
      <c r="I329" s="208"/>
      <c r="J329" s="208"/>
      <c r="K329" s="208"/>
      <c r="L329" s="208" t="str">
        <v/>
      </c>
      <c r="M329" s="208" t="str">
        <v/>
      </c>
    </row>
    <row r="330" spans="1:13" ht="14.4">
      <c r="A330" s="199" t="str">
        <f ca="1">IFERROR(__xludf.DUMMYFUNCTION("""COMPUTED_VALUE"""),"DH")</f>
        <v>DH</v>
      </c>
      <c r="B330" s="207" t="str">
        <f ca="1">IFERROR(__xludf.DUMMYFUNCTION("""COMPUTED_VALUE"""),"Joe Mathieson")</f>
        <v>Joe Mathieson</v>
      </c>
      <c r="C330" s="199">
        <f ca="1">IFERROR(__xludf.DUMMYFUNCTION("""COMPUTED_VALUE"""),9)</f>
        <v>9</v>
      </c>
      <c r="D330" s="199" t="str">
        <f ca="1">IFERROR(__xludf.DUMMYFUNCTION("""COMPUTED_VALUE"""),"B")</f>
        <v>B</v>
      </c>
      <c r="E330" s="202" t="str">
        <f ca="1">IFERROR(__xludf.DUMMYFUNCTION("""COMPUTED_VALUE"""),"F")</f>
        <v>F</v>
      </c>
      <c r="F330" s="202" t="str">
        <f ca="1">IFERROR(__xludf.DUMMYFUNCTION("""COMPUTED_VALUE"""),"J")</f>
        <v>J</v>
      </c>
      <c r="G330" s="202">
        <f ca="1">IFERROR(__xludf.DUMMYFUNCTION("""COMPUTED_VALUE"""),4)</f>
        <v>4</v>
      </c>
      <c r="H330" s="208"/>
      <c r="I330" s="208">
        <v>53.55</v>
      </c>
      <c r="J330" s="208"/>
      <c r="K330" s="208" t="s">
        <v>121</v>
      </c>
      <c r="L330" s="208" t="str">
        <v xml:space="preserve"> 53.55</v>
      </c>
      <c r="M330" s="208" t="str">
        <v/>
      </c>
    </row>
    <row r="331" spans="1:13" ht="14.4">
      <c r="A331" s="199" t="str">
        <f ca="1">IFERROR(__xludf.DUMMYFUNCTION("""COMPUTED_VALUE"""),"DH")</f>
        <v>DH</v>
      </c>
      <c r="B331" s="207" t="str">
        <f ca="1">IFERROR(__xludf.DUMMYFUNCTION("""COMPUTED_VALUE"""),"John Aldonas")</f>
        <v>John Aldonas</v>
      </c>
      <c r="C331" s="199">
        <f ca="1">IFERROR(__xludf.DUMMYFUNCTION("""COMPUTED_VALUE"""),8)</f>
        <v>8</v>
      </c>
      <c r="D331" s="199" t="str">
        <f ca="1">IFERROR(__xludf.DUMMYFUNCTION("""COMPUTED_VALUE"""),"B")</f>
        <v>B</v>
      </c>
      <c r="E331" s="202" t="str">
        <f ca="1">IFERROR(__xludf.DUMMYFUNCTION("""COMPUTED_VALUE"""),"F")</f>
        <v>F</v>
      </c>
      <c r="F331" s="202" t="str">
        <f ca="1">IFERROR(__xludf.DUMMYFUNCTION("""COMPUTED_VALUE"""),"J")</f>
        <v>J</v>
      </c>
      <c r="G331" s="202">
        <f ca="1">IFERROR(__xludf.DUMMYFUNCTION("""COMPUTED_VALUE"""),4)</f>
        <v>4</v>
      </c>
      <c r="H331" s="206"/>
      <c r="I331" s="206"/>
      <c r="J331" s="206"/>
      <c r="K331" s="206"/>
      <c r="L331" s="206" t="str">
        <v/>
      </c>
      <c r="M331" s="206" t="str">
        <v/>
      </c>
    </row>
    <row r="332" spans="1:13" ht="14.4">
      <c r="A332" s="199" t="str">
        <f ca="1">IFERROR(__xludf.DUMMYFUNCTION("""COMPUTED_VALUE"""),"DH")</f>
        <v>DH</v>
      </c>
      <c r="B332" s="207" t="str">
        <f ca="1">IFERROR(__xludf.DUMMYFUNCTION("""COMPUTED_VALUE"""),"Logan DiBenigno")</f>
        <v>Logan DiBenigno</v>
      </c>
      <c r="C332" s="199">
        <f ca="1">IFERROR(__xludf.DUMMYFUNCTION("""COMPUTED_VALUE"""),10)</f>
        <v>10</v>
      </c>
      <c r="D332" s="199" t="str">
        <f ca="1">IFERROR(__xludf.DUMMYFUNCTION("""COMPUTED_VALUE"""),"B")</f>
        <v>B</v>
      </c>
      <c r="E332" s="202" t="str">
        <f ca="1">IFERROR(__xludf.DUMMYFUNCTION("""COMPUTED_VALUE"""),"F")</f>
        <v>F</v>
      </c>
      <c r="F332" s="202" t="str">
        <f ca="1">IFERROR(__xludf.DUMMYFUNCTION("""COMPUTED_VALUE"""),"J")</f>
        <v>J</v>
      </c>
      <c r="G332" s="202">
        <f ca="1">IFERROR(__xludf.DUMMYFUNCTION("""COMPUTED_VALUE"""),4)</f>
        <v>4</v>
      </c>
      <c r="H332" s="206"/>
      <c r="I332" s="206">
        <v>74.75</v>
      </c>
      <c r="J332" s="206"/>
      <c r="K332" s="206" t="s">
        <v>121</v>
      </c>
      <c r="L332" s="206" t="str">
        <v xml:space="preserve"> 74.75</v>
      </c>
      <c r="M332" s="206" t="str">
        <v/>
      </c>
    </row>
    <row r="333" spans="1:13" ht="14.4">
      <c r="A333" s="199" t="str">
        <f ca="1">IFERROR(__xludf.DUMMYFUNCTION("""COMPUTED_VALUE"""),"DH")</f>
        <v>DH</v>
      </c>
      <c r="B333" s="207" t="str">
        <f ca="1">IFERROR(__xludf.DUMMYFUNCTION("""COMPUTED_VALUE"""),"Luke Baltatzis")</f>
        <v>Luke Baltatzis</v>
      </c>
      <c r="C333" s="199">
        <f ca="1">IFERROR(__xludf.DUMMYFUNCTION("""COMPUTED_VALUE"""),10)</f>
        <v>10</v>
      </c>
      <c r="D333" s="199" t="str">
        <f ca="1">IFERROR(__xludf.DUMMYFUNCTION("""COMPUTED_VALUE"""),"B")</f>
        <v>B</v>
      </c>
      <c r="E333" s="202" t="str">
        <f ca="1">IFERROR(__xludf.DUMMYFUNCTION("""COMPUTED_VALUE"""),"F")</f>
        <v>F</v>
      </c>
      <c r="F333" s="202" t="str">
        <f ca="1">IFERROR(__xludf.DUMMYFUNCTION("""COMPUTED_VALUE"""),"J")</f>
        <v>J</v>
      </c>
      <c r="G333" s="202">
        <f ca="1">IFERROR(__xludf.DUMMYFUNCTION("""COMPUTED_VALUE"""),4)</f>
        <v>4</v>
      </c>
      <c r="H333" s="206"/>
      <c r="I333" s="206"/>
      <c r="J333" s="206"/>
      <c r="K333" s="206"/>
      <c r="L333" s="206" t="str">
        <v/>
      </c>
      <c r="M333" s="206" t="str">
        <v/>
      </c>
    </row>
    <row r="334" spans="1:13" ht="14.4">
      <c r="A334" s="199" t="str">
        <f ca="1">IFERROR(__xludf.DUMMYFUNCTION("""COMPUTED_VALUE"""),"DH")</f>
        <v>DH</v>
      </c>
      <c r="B334" s="207" t="str">
        <f ca="1">IFERROR(__xludf.DUMMYFUNCTION("""COMPUTED_VALUE"""),"Maki Bush")</f>
        <v>Maki Bush</v>
      </c>
      <c r="C334" s="199">
        <f ca="1">IFERROR(__xludf.DUMMYFUNCTION("""COMPUTED_VALUE"""),9)</f>
        <v>9</v>
      </c>
      <c r="D334" s="199" t="str">
        <f ca="1">IFERROR(__xludf.DUMMYFUNCTION("""COMPUTED_VALUE"""),"B")</f>
        <v>B</v>
      </c>
      <c r="E334" s="202" t="str">
        <f ca="1">IFERROR(__xludf.DUMMYFUNCTION("""COMPUTED_VALUE"""),"F")</f>
        <v>F</v>
      </c>
      <c r="F334" s="202" t="str">
        <f ca="1">IFERROR(__xludf.DUMMYFUNCTION("""COMPUTED_VALUE"""),"J")</f>
        <v>J</v>
      </c>
      <c r="G334" s="202">
        <f ca="1">IFERROR(__xludf.DUMMYFUNCTION("""COMPUTED_VALUE"""),4)</f>
        <v>4</v>
      </c>
      <c r="H334" s="208"/>
      <c r="I334" s="208"/>
      <c r="J334" s="208"/>
      <c r="K334" s="208"/>
      <c r="L334" s="208" t="str">
        <v/>
      </c>
      <c r="M334" s="208" t="str">
        <v/>
      </c>
    </row>
    <row r="335" spans="1:13" ht="14.4">
      <c r="A335" s="199" t="str">
        <f ca="1">IFERROR(__xludf.DUMMYFUNCTION("""COMPUTED_VALUE"""),"DH")</f>
        <v>DH</v>
      </c>
      <c r="B335" s="207" t="str">
        <f ca="1">IFERROR(__xludf.DUMMYFUNCTION("""COMPUTED_VALUE"""),"Nicholas Teisl")</f>
        <v>Nicholas Teisl</v>
      </c>
      <c r="C335" s="199">
        <f ca="1">IFERROR(__xludf.DUMMYFUNCTION("""COMPUTED_VALUE"""),8)</f>
        <v>8</v>
      </c>
      <c r="D335" s="199" t="str">
        <f ca="1">IFERROR(__xludf.DUMMYFUNCTION("""COMPUTED_VALUE"""),"B")</f>
        <v>B</v>
      </c>
      <c r="E335" s="202" t="str">
        <f ca="1">IFERROR(__xludf.DUMMYFUNCTION("""COMPUTED_VALUE"""),"F")</f>
        <v>F</v>
      </c>
      <c r="F335" s="202" t="str">
        <f ca="1">IFERROR(__xludf.DUMMYFUNCTION("""COMPUTED_VALUE"""),"J")</f>
        <v>J</v>
      </c>
      <c r="G335" s="202">
        <f ca="1">IFERROR(__xludf.DUMMYFUNCTION("""COMPUTED_VALUE"""),4)</f>
        <v>4</v>
      </c>
      <c r="H335" s="206"/>
      <c r="I335" s="206"/>
      <c r="J335" s="206"/>
      <c r="K335" s="206"/>
      <c r="L335" s="206" t="str">
        <v/>
      </c>
      <c r="M335" s="206" t="str">
        <v/>
      </c>
    </row>
    <row r="336" spans="1:13" ht="14.4">
      <c r="A336" s="199" t="str">
        <f ca="1">IFERROR(__xludf.DUMMYFUNCTION("""COMPUTED_VALUE"""),"DH")</f>
        <v>DH</v>
      </c>
      <c r="B336" s="207" t="str">
        <f ca="1">IFERROR(__xludf.DUMMYFUNCTION("""COMPUTED_VALUE"""),"Parker Myers")</f>
        <v>Parker Myers</v>
      </c>
      <c r="C336" s="199">
        <f ca="1">IFERROR(__xludf.DUMMYFUNCTION("""COMPUTED_VALUE"""),10)</f>
        <v>10</v>
      </c>
      <c r="D336" s="199" t="str">
        <f ca="1">IFERROR(__xludf.DUMMYFUNCTION("""COMPUTED_VALUE"""),"B")</f>
        <v>B</v>
      </c>
      <c r="E336" s="202" t="str">
        <f ca="1">IFERROR(__xludf.DUMMYFUNCTION("""COMPUTED_VALUE"""),"F")</f>
        <v>F</v>
      </c>
      <c r="F336" s="202" t="str">
        <f ca="1">IFERROR(__xludf.DUMMYFUNCTION("""COMPUTED_VALUE"""),"J")</f>
        <v>J</v>
      </c>
      <c r="G336" s="202">
        <f ca="1">IFERROR(__xludf.DUMMYFUNCTION("""COMPUTED_VALUE"""),4)</f>
        <v>4</v>
      </c>
      <c r="H336" s="206"/>
      <c r="I336" s="206"/>
      <c r="J336" s="206"/>
      <c r="K336" s="206"/>
      <c r="L336" s="206" t="str">
        <v/>
      </c>
      <c r="M336" s="206" t="str">
        <v/>
      </c>
    </row>
    <row r="337" spans="1:13" ht="14.4">
      <c r="A337" s="199" t="str">
        <f ca="1">IFERROR(__xludf.DUMMYFUNCTION("""COMPUTED_VALUE"""),"DH")</f>
        <v>DH</v>
      </c>
      <c r="B337" s="207" t="str">
        <f ca="1">IFERROR(__xludf.DUMMYFUNCTION("""COMPUTED_VALUE"""),"Thomas Dombrowski")</f>
        <v>Thomas Dombrowski</v>
      </c>
      <c r="C337" s="199">
        <f ca="1">IFERROR(__xludf.DUMMYFUNCTION("""COMPUTED_VALUE"""),8)</f>
        <v>8</v>
      </c>
      <c r="D337" s="199" t="str">
        <f ca="1">IFERROR(__xludf.DUMMYFUNCTION("""COMPUTED_VALUE"""),"B")</f>
        <v>B</v>
      </c>
      <c r="E337" s="202" t="str">
        <f ca="1">IFERROR(__xludf.DUMMYFUNCTION("""COMPUTED_VALUE"""),"F")</f>
        <v>F</v>
      </c>
      <c r="F337" s="202" t="str">
        <f ca="1">IFERROR(__xludf.DUMMYFUNCTION("""COMPUTED_VALUE"""),"J")</f>
        <v>J</v>
      </c>
      <c r="G337" s="202">
        <f ca="1">IFERROR(__xludf.DUMMYFUNCTION("""COMPUTED_VALUE"""),4)</f>
        <v>4</v>
      </c>
      <c r="H337" s="206"/>
      <c r="I337" s="206">
        <v>44.9</v>
      </c>
      <c r="J337" s="206"/>
      <c r="K337" s="206" t="s">
        <v>121</v>
      </c>
      <c r="L337" s="206" t="str">
        <v xml:space="preserve"> 44.9</v>
      </c>
      <c r="M337" s="206" t="str">
        <v/>
      </c>
    </row>
    <row r="338" spans="1:13" ht="14.4">
      <c r="A338" s="199" t="str">
        <f ca="1">IFERROR(__xludf.DUMMYFUNCTION("""COMPUTED_VALUE"""),"DH")</f>
        <v>DH</v>
      </c>
      <c r="B338" s="207" t="str">
        <f ca="1">IFERROR(__xludf.DUMMYFUNCTION("""COMPUTED_VALUE"""),"Zach Mathieson")</f>
        <v>Zach Mathieson</v>
      </c>
      <c r="C338" s="199">
        <f ca="1">IFERROR(__xludf.DUMMYFUNCTION("""COMPUTED_VALUE"""),7)</f>
        <v>7</v>
      </c>
      <c r="D338" s="199" t="str">
        <f ca="1">IFERROR(__xludf.DUMMYFUNCTION("""COMPUTED_VALUE"""),"B")</f>
        <v>B</v>
      </c>
      <c r="E338" s="202" t="str">
        <f ca="1">IFERROR(__xludf.DUMMYFUNCTION("""COMPUTED_VALUE"""),"F")</f>
        <v>F</v>
      </c>
      <c r="F338" s="202" t="str">
        <f ca="1">IFERROR(__xludf.DUMMYFUNCTION("""COMPUTED_VALUE"""),"J")</f>
        <v>J</v>
      </c>
      <c r="G338" s="202">
        <f ca="1">IFERROR(__xludf.DUMMYFUNCTION("""COMPUTED_VALUE"""),4)</f>
        <v>4</v>
      </c>
      <c r="H338" s="206"/>
      <c r="I338" s="206"/>
      <c r="J338" s="206"/>
      <c r="K338" s="206"/>
      <c r="L338" s="206" t="str">
        <v/>
      </c>
      <c r="M338" s="206" t="str">
        <v/>
      </c>
    </row>
    <row r="339" spans="1:13" ht="14.4">
      <c r="A339" s="199" t="str">
        <f ca="1">IFERROR(__xludf.DUMMYFUNCTION("""COMPUTED_VALUE"""),"DH")</f>
        <v>DH</v>
      </c>
      <c r="B339" s="207" t="str">
        <f ca="1">IFERROR(__xludf.DUMMYFUNCTION("""COMPUTED_VALUE"""),"Zane Neckel")</f>
        <v>Zane Neckel</v>
      </c>
      <c r="C339" s="199">
        <f ca="1">IFERROR(__xludf.DUMMYFUNCTION("""COMPUTED_VALUE"""),9)</f>
        <v>9</v>
      </c>
      <c r="D339" s="199" t="str">
        <f ca="1">IFERROR(__xludf.DUMMYFUNCTION("""COMPUTED_VALUE"""),"B")</f>
        <v>B</v>
      </c>
      <c r="E339" s="202" t="str">
        <f ca="1">IFERROR(__xludf.DUMMYFUNCTION("""COMPUTED_VALUE"""),"F")</f>
        <v>F</v>
      </c>
      <c r="F339" s="202" t="str">
        <f ca="1">IFERROR(__xludf.DUMMYFUNCTION("""COMPUTED_VALUE"""),"J")</f>
        <v>J</v>
      </c>
      <c r="G339" s="202">
        <f ca="1">IFERROR(__xludf.DUMMYFUNCTION("""COMPUTED_VALUE"""),4)</f>
        <v>4</v>
      </c>
      <c r="H339" s="206"/>
      <c r="I339" s="206"/>
      <c r="J339" s="206"/>
      <c r="K339" s="206"/>
      <c r="L339" s="206" t="str">
        <v/>
      </c>
      <c r="M339" s="206" t="str">
        <v/>
      </c>
    </row>
    <row r="340" spans="1:13" ht="14.4">
      <c r="A340" s="199" t="str">
        <f ca="1">IFERROR(__xludf.DUMMYFUNCTION("""COMPUTED_VALUE"""),"DH")</f>
        <v>DH</v>
      </c>
      <c r="B340" s="207" t="str">
        <f ca="1">IFERROR(__xludf.DUMMYFUNCTION("""COMPUTED_VALUE"""),"Alexis Locke")</f>
        <v>Alexis Locke</v>
      </c>
      <c r="C340" s="199">
        <f ca="1">IFERROR(__xludf.DUMMYFUNCTION("""COMPUTED_VALUE"""),9)</f>
        <v>9</v>
      </c>
      <c r="D340" s="199" t="str">
        <f ca="1">IFERROR(__xludf.DUMMYFUNCTION("""COMPUTED_VALUE"""),"G")</f>
        <v>G</v>
      </c>
      <c r="E340" s="202" t="str">
        <f ca="1">IFERROR(__xludf.DUMMYFUNCTION("""COMPUTED_VALUE"""),"F")</f>
        <v>F</v>
      </c>
      <c r="F340" s="202" t="str">
        <f ca="1">IFERROR(__xludf.DUMMYFUNCTION("""COMPUTED_VALUE"""),"J")</f>
        <v>J</v>
      </c>
      <c r="G340" s="202">
        <f ca="1">IFERROR(__xludf.DUMMYFUNCTION("""COMPUTED_VALUE"""),4)</f>
        <v>4</v>
      </c>
      <c r="H340" s="208"/>
      <c r="I340" s="208"/>
      <c r="J340" s="208"/>
      <c r="K340" s="208"/>
      <c r="L340" s="208" t="str">
        <v/>
      </c>
      <c r="M340" s="208" t="str">
        <v/>
      </c>
    </row>
    <row r="341" spans="1:13" ht="14.4">
      <c r="A341" s="199" t="str">
        <f ca="1">IFERROR(__xludf.DUMMYFUNCTION("""COMPUTED_VALUE"""),"DH")</f>
        <v>DH</v>
      </c>
      <c r="B341" s="207" t="str">
        <f ca="1">IFERROR(__xludf.DUMMYFUNCTION("""COMPUTED_VALUE"""),"Audrey Wheeler")</f>
        <v>Audrey Wheeler</v>
      </c>
      <c r="C341" s="199">
        <f ca="1">IFERROR(__xludf.DUMMYFUNCTION("""COMPUTED_VALUE"""),10)</f>
        <v>10</v>
      </c>
      <c r="D341" s="199" t="str">
        <f ca="1">IFERROR(__xludf.DUMMYFUNCTION("""COMPUTED_VALUE"""),"G")</f>
        <v>G</v>
      </c>
      <c r="E341" s="202" t="str">
        <f ca="1">IFERROR(__xludf.DUMMYFUNCTION("""COMPUTED_VALUE"""),"F")</f>
        <v>F</v>
      </c>
      <c r="F341" s="202" t="str">
        <f ca="1">IFERROR(__xludf.DUMMYFUNCTION("""COMPUTED_VALUE"""),"J")</f>
        <v>J</v>
      </c>
      <c r="G341" s="202">
        <f ca="1">IFERROR(__xludf.DUMMYFUNCTION("""COMPUTED_VALUE"""),4)</f>
        <v>4</v>
      </c>
      <c r="H341" s="206">
        <v>47.55</v>
      </c>
      <c r="I341" s="206"/>
      <c r="J341" s="206" t="s">
        <v>121</v>
      </c>
      <c r="K341" s="206"/>
      <c r="L341" s="206" t="str">
        <v xml:space="preserve"> 47.55</v>
      </c>
      <c r="M341" s="206" t="str">
        <v/>
      </c>
    </row>
    <row r="342" spans="1:13" ht="14.4">
      <c r="A342" s="199" t="str">
        <f ca="1">IFERROR(__xludf.DUMMYFUNCTION("""COMPUTED_VALUE"""),"DH")</f>
        <v>DH</v>
      </c>
      <c r="B342" s="207" t="str">
        <f ca="1">IFERROR(__xludf.DUMMYFUNCTION("""COMPUTED_VALUE"""),"Eleanor Goehring")</f>
        <v>Eleanor Goehring</v>
      </c>
      <c r="C342" s="199">
        <f ca="1">IFERROR(__xludf.DUMMYFUNCTION("""COMPUTED_VALUE"""),9)</f>
        <v>9</v>
      </c>
      <c r="D342" s="199" t="str">
        <f ca="1">IFERROR(__xludf.DUMMYFUNCTION("""COMPUTED_VALUE"""),"G")</f>
        <v>G</v>
      </c>
      <c r="E342" s="202" t="str">
        <f ca="1">IFERROR(__xludf.DUMMYFUNCTION("""COMPUTED_VALUE"""),"F")</f>
        <v>F</v>
      </c>
      <c r="F342" s="202" t="str">
        <f ca="1">IFERROR(__xludf.DUMMYFUNCTION("""COMPUTED_VALUE"""),"J")</f>
        <v>J</v>
      </c>
      <c r="G342" s="202">
        <f ca="1">IFERROR(__xludf.DUMMYFUNCTION("""COMPUTED_VALUE"""),4)</f>
        <v>4</v>
      </c>
      <c r="H342" s="206"/>
      <c r="I342" s="206"/>
      <c r="J342" s="206"/>
      <c r="K342" s="206"/>
      <c r="L342" s="206" t="str">
        <v/>
      </c>
      <c r="M342" s="206" t="str">
        <v/>
      </c>
    </row>
    <row r="343" spans="1:13" ht="14.4">
      <c r="A343" s="199" t="str">
        <f ca="1">IFERROR(__xludf.DUMMYFUNCTION("""COMPUTED_VALUE"""),"DH")</f>
        <v>DH</v>
      </c>
      <c r="B343" s="207" t="str">
        <f ca="1">IFERROR(__xludf.DUMMYFUNCTION("""COMPUTED_VALUE"""),"Helen Butler")</f>
        <v>Helen Butler</v>
      </c>
      <c r="C343" s="199">
        <f ca="1">IFERROR(__xludf.DUMMYFUNCTION("""COMPUTED_VALUE"""),9)</f>
        <v>9</v>
      </c>
      <c r="D343" s="199" t="str">
        <f ca="1">IFERROR(__xludf.DUMMYFUNCTION("""COMPUTED_VALUE"""),"G")</f>
        <v>G</v>
      </c>
      <c r="E343" s="202" t="str">
        <f ca="1">IFERROR(__xludf.DUMMYFUNCTION("""COMPUTED_VALUE"""),"F")</f>
        <v>F</v>
      </c>
      <c r="F343" s="202" t="str">
        <f ca="1">IFERROR(__xludf.DUMMYFUNCTION("""COMPUTED_VALUE"""),"J")</f>
        <v>J</v>
      </c>
      <c r="G343" s="202">
        <f ca="1">IFERROR(__xludf.DUMMYFUNCTION("""COMPUTED_VALUE"""),4)</f>
        <v>4</v>
      </c>
      <c r="H343" s="206">
        <v>49.8</v>
      </c>
      <c r="I343" s="206"/>
      <c r="J343" s="206" t="s">
        <v>121</v>
      </c>
      <c r="K343" s="206"/>
      <c r="L343" s="206" t="str">
        <v xml:space="preserve"> 49.8</v>
      </c>
      <c r="M343" s="206" t="str">
        <v/>
      </c>
    </row>
    <row r="344" spans="1:13" ht="14.4">
      <c r="A344" s="199" t="str">
        <f ca="1">IFERROR(__xludf.DUMMYFUNCTION("""COMPUTED_VALUE"""),"DH")</f>
        <v>DH</v>
      </c>
      <c r="B344" s="207" t="str">
        <f ca="1">IFERROR(__xludf.DUMMYFUNCTION("""COMPUTED_VALUE"""),"Jane Perry")</f>
        <v>Jane Perry</v>
      </c>
      <c r="C344" s="199">
        <f ca="1">IFERROR(__xludf.DUMMYFUNCTION("""COMPUTED_VALUE"""),10)</f>
        <v>10</v>
      </c>
      <c r="D344" s="199" t="str">
        <f ca="1">IFERROR(__xludf.DUMMYFUNCTION("""COMPUTED_VALUE"""),"G")</f>
        <v>G</v>
      </c>
      <c r="E344" s="202" t="str">
        <f ca="1">IFERROR(__xludf.DUMMYFUNCTION("""COMPUTED_VALUE"""),"F")</f>
        <v>F</v>
      </c>
      <c r="F344" s="202" t="str">
        <f ca="1">IFERROR(__xludf.DUMMYFUNCTION("""COMPUTED_VALUE"""),"J")</f>
        <v>J</v>
      </c>
      <c r="G344" s="202">
        <f ca="1">IFERROR(__xludf.DUMMYFUNCTION("""COMPUTED_VALUE"""),4)</f>
        <v>4</v>
      </c>
      <c r="H344" s="206"/>
      <c r="I344" s="206"/>
      <c r="J344" s="206"/>
      <c r="K344" s="206"/>
      <c r="L344" s="206" t="str">
        <v/>
      </c>
      <c r="M344" s="206" t="str">
        <v/>
      </c>
    </row>
    <row r="345" spans="1:13" ht="14.4">
      <c r="A345" s="199" t="str">
        <f ca="1">IFERROR(__xludf.DUMMYFUNCTION("""COMPUTED_VALUE"""),"DH")</f>
        <v>DH</v>
      </c>
      <c r="B345" s="207" t="str">
        <f ca="1">IFERROR(__xludf.DUMMYFUNCTION("""COMPUTED_VALUE"""),"Kat Pickett")</f>
        <v>Kat Pickett</v>
      </c>
      <c r="C345" s="199">
        <f ca="1">IFERROR(__xludf.DUMMYFUNCTION("""COMPUTED_VALUE"""),10)</f>
        <v>10</v>
      </c>
      <c r="D345" s="199" t="str">
        <f ca="1">IFERROR(__xludf.DUMMYFUNCTION("""COMPUTED_VALUE"""),"G")</f>
        <v>G</v>
      </c>
      <c r="E345" s="202" t="str">
        <f ca="1">IFERROR(__xludf.DUMMYFUNCTION("""COMPUTED_VALUE"""),"F")</f>
        <v>F</v>
      </c>
      <c r="F345" s="202" t="str">
        <f ca="1">IFERROR(__xludf.DUMMYFUNCTION("""COMPUTED_VALUE"""),"J")</f>
        <v>J</v>
      </c>
      <c r="G345" s="202">
        <f ca="1">IFERROR(__xludf.DUMMYFUNCTION("""COMPUTED_VALUE"""),4)</f>
        <v>4</v>
      </c>
      <c r="H345" s="206"/>
      <c r="I345" s="206"/>
      <c r="J345" s="206"/>
      <c r="K345" s="206"/>
      <c r="L345" s="206" t="str">
        <v/>
      </c>
      <c r="M345" s="206" t="str">
        <v/>
      </c>
    </row>
    <row r="346" spans="1:13" ht="14.4">
      <c r="A346" s="199" t="str">
        <f ca="1">IFERROR(__xludf.DUMMYFUNCTION("""COMPUTED_VALUE"""),"DH")</f>
        <v>DH</v>
      </c>
      <c r="B346" s="207" t="str">
        <f ca="1">IFERROR(__xludf.DUMMYFUNCTION("""COMPUTED_VALUE"""),"Lark Pickett")</f>
        <v>Lark Pickett</v>
      </c>
      <c r="C346" s="199">
        <f ca="1">IFERROR(__xludf.DUMMYFUNCTION("""COMPUTED_VALUE"""),8)</f>
        <v>8</v>
      </c>
      <c r="D346" s="199" t="str">
        <f ca="1">IFERROR(__xludf.DUMMYFUNCTION("""COMPUTED_VALUE"""),"G")</f>
        <v>G</v>
      </c>
      <c r="E346" s="202" t="str">
        <f ca="1">IFERROR(__xludf.DUMMYFUNCTION("""COMPUTED_VALUE"""),"F")</f>
        <v>F</v>
      </c>
      <c r="F346" s="202" t="str">
        <f ca="1">IFERROR(__xludf.DUMMYFUNCTION("""COMPUTED_VALUE"""),"J")</f>
        <v>J</v>
      </c>
      <c r="G346" s="202">
        <f ca="1">IFERROR(__xludf.DUMMYFUNCTION("""COMPUTED_VALUE"""),4)</f>
        <v>4</v>
      </c>
      <c r="H346" s="206"/>
      <c r="I346" s="206"/>
      <c r="J346" s="206"/>
      <c r="K346" s="206"/>
      <c r="L346" s="206" t="str">
        <v/>
      </c>
      <c r="M346" s="206" t="str">
        <v/>
      </c>
    </row>
    <row r="347" spans="1:13" ht="14.4">
      <c r="A347" s="199" t="str">
        <f ca="1">IFERROR(__xludf.DUMMYFUNCTION("""COMPUTED_VALUE"""),"DH")</f>
        <v>DH</v>
      </c>
      <c r="B347" s="207" t="str">
        <f ca="1">IFERROR(__xludf.DUMMYFUNCTION("""COMPUTED_VALUE"""),"Madeleine Dombrowski")</f>
        <v>Madeleine Dombrowski</v>
      </c>
      <c r="C347" s="199">
        <f ca="1">IFERROR(__xludf.DUMMYFUNCTION("""COMPUTED_VALUE"""),10)</f>
        <v>10</v>
      </c>
      <c r="D347" s="199" t="str">
        <f ca="1">IFERROR(__xludf.DUMMYFUNCTION("""COMPUTED_VALUE"""),"G")</f>
        <v>G</v>
      </c>
      <c r="E347" s="202" t="str">
        <f ca="1">IFERROR(__xludf.DUMMYFUNCTION("""COMPUTED_VALUE"""),"F")</f>
        <v>F</v>
      </c>
      <c r="F347" s="202" t="str">
        <f ca="1">IFERROR(__xludf.DUMMYFUNCTION("""COMPUTED_VALUE"""),"J")</f>
        <v>J</v>
      </c>
      <c r="G347" s="202">
        <f ca="1">IFERROR(__xludf.DUMMYFUNCTION("""COMPUTED_VALUE"""),4)</f>
        <v>4</v>
      </c>
      <c r="H347" s="206">
        <v>39.4</v>
      </c>
      <c r="I347" s="206"/>
      <c r="J347" s="206" t="s">
        <v>121</v>
      </c>
      <c r="K347" s="206"/>
      <c r="L347" s="206" t="str">
        <v xml:space="preserve"> 39.4</v>
      </c>
      <c r="M347" s="206" t="str">
        <v/>
      </c>
    </row>
    <row r="348" spans="1:13" ht="14.4">
      <c r="A348" s="199" t="str">
        <f ca="1">IFERROR(__xludf.DUMMYFUNCTION("""COMPUTED_VALUE"""),"DH")</f>
        <v>DH</v>
      </c>
      <c r="B348" s="207" t="str">
        <f ca="1">IFERROR(__xludf.DUMMYFUNCTION("""COMPUTED_VALUE"""),"Maia Shattuck")</f>
        <v>Maia Shattuck</v>
      </c>
      <c r="C348" s="199">
        <f ca="1">IFERROR(__xludf.DUMMYFUNCTION("""COMPUTED_VALUE"""),10)</f>
        <v>10</v>
      </c>
      <c r="D348" s="199" t="str">
        <f ca="1">IFERROR(__xludf.DUMMYFUNCTION("""COMPUTED_VALUE"""),"G")</f>
        <v>G</v>
      </c>
      <c r="E348" s="202" t="str">
        <f ca="1">IFERROR(__xludf.DUMMYFUNCTION("""COMPUTED_VALUE"""),"F")</f>
        <v>F</v>
      </c>
      <c r="F348" s="202" t="str">
        <f ca="1">IFERROR(__xludf.DUMMYFUNCTION("""COMPUTED_VALUE"""),"J")</f>
        <v>J</v>
      </c>
      <c r="G348" s="202">
        <f ca="1">IFERROR(__xludf.DUMMYFUNCTION("""COMPUTED_VALUE"""),4)</f>
        <v>4</v>
      </c>
      <c r="H348" s="206"/>
      <c r="I348" s="206"/>
      <c r="J348" s="206"/>
      <c r="K348" s="206"/>
      <c r="L348" s="206" t="str">
        <v/>
      </c>
      <c r="M348" s="206" t="str">
        <v/>
      </c>
    </row>
    <row r="349" spans="1:13" ht="14.4">
      <c r="A349" s="199" t="str">
        <f ca="1">IFERROR(__xludf.DUMMYFUNCTION("""COMPUTED_VALUE"""),"DH")</f>
        <v>DH</v>
      </c>
      <c r="B349" s="207" t="str">
        <f ca="1">IFERROR(__xludf.DUMMYFUNCTION("""COMPUTED_VALUE"""),"Olivia Maco")</f>
        <v>Olivia Maco</v>
      </c>
      <c r="C349" s="199">
        <f ca="1">IFERROR(__xludf.DUMMYFUNCTION("""COMPUTED_VALUE"""),10)</f>
        <v>10</v>
      </c>
      <c r="D349" s="199" t="str">
        <f ca="1">IFERROR(__xludf.DUMMYFUNCTION("""COMPUTED_VALUE"""),"G")</f>
        <v>G</v>
      </c>
      <c r="E349" s="202" t="str">
        <f ca="1">IFERROR(__xludf.DUMMYFUNCTION("""COMPUTED_VALUE"""),"F")</f>
        <v>F</v>
      </c>
      <c r="F349" s="202" t="str">
        <f ca="1">IFERROR(__xludf.DUMMYFUNCTION("""COMPUTED_VALUE"""),"J")</f>
        <v>J</v>
      </c>
      <c r="G349" s="202">
        <f ca="1">IFERROR(__xludf.DUMMYFUNCTION("""COMPUTED_VALUE"""),4)</f>
        <v>4</v>
      </c>
      <c r="H349" s="206">
        <v>67.8</v>
      </c>
      <c r="I349" s="206"/>
      <c r="J349" s="206" t="s">
        <v>123</v>
      </c>
      <c r="K349" s="206"/>
      <c r="L349" s="206" t="str">
        <v xml:space="preserve"> -67.8</v>
      </c>
      <c r="M349" s="206" t="str">
        <v>^</v>
      </c>
    </row>
    <row r="350" spans="1:13" ht="14.4">
      <c r="A350" s="199" t="str">
        <f ca="1">IFERROR(__xludf.DUMMYFUNCTION("""COMPUTED_VALUE"""),"DH")</f>
        <v>DH</v>
      </c>
      <c r="B350" s="207" t="str">
        <f ca="1">IFERROR(__xludf.DUMMYFUNCTION("""COMPUTED_VALUE"""),"Sophia Teisl")</f>
        <v>Sophia Teisl</v>
      </c>
      <c r="C350" s="199">
        <f ca="1">IFERROR(__xludf.DUMMYFUNCTION("""COMPUTED_VALUE"""),10)</f>
        <v>10</v>
      </c>
      <c r="D350" s="199" t="str">
        <f ca="1">IFERROR(__xludf.DUMMYFUNCTION("""COMPUTED_VALUE"""),"G")</f>
        <v>G</v>
      </c>
      <c r="E350" s="202" t="str">
        <f ca="1">IFERROR(__xludf.DUMMYFUNCTION("""COMPUTED_VALUE"""),"F")</f>
        <v>F</v>
      </c>
      <c r="F350" s="202" t="str">
        <f ca="1">IFERROR(__xludf.DUMMYFUNCTION("""COMPUTED_VALUE"""),"J")</f>
        <v>J</v>
      </c>
      <c r="G350" s="202">
        <f ca="1">IFERROR(__xludf.DUMMYFUNCTION("""COMPUTED_VALUE"""),4)</f>
        <v>4</v>
      </c>
      <c r="H350" s="206"/>
      <c r="I350" s="206"/>
      <c r="J350" s="206"/>
      <c r="K350" s="206"/>
      <c r="L350" s="206" t="str">
        <v/>
      </c>
      <c r="M350" s="206" t="str">
        <v/>
      </c>
    </row>
    <row r="351" spans="1:13" ht="14.4">
      <c r="A351" s="199" t="str">
        <f ca="1">IFERROR(__xludf.DUMMYFUNCTION("""COMPUTED_VALUE"""),"DH")</f>
        <v>DH</v>
      </c>
      <c r="B351" s="207" t="str">
        <f ca="1">IFERROR(__xludf.DUMMYFUNCTION("""COMPUTED_VALUE"""),"Charlie Gent")</f>
        <v>Charlie Gent</v>
      </c>
      <c r="C351" s="199">
        <f ca="1">IFERROR(__xludf.DUMMYFUNCTION("""COMPUTED_VALUE"""),13)</f>
        <v>13</v>
      </c>
      <c r="D351" s="199" t="str">
        <f ca="1">IFERROR(__xludf.DUMMYFUNCTION("""COMPUTED_VALUE"""),"B")</f>
        <v>B</v>
      </c>
      <c r="E351" s="202" t="str">
        <f ca="1">IFERROR(__xludf.DUMMYFUNCTION("""COMPUTED_VALUE"""),"I")</f>
        <v>I</v>
      </c>
      <c r="F351" s="202" t="str">
        <f ca="1">IFERROR(__xludf.DUMMYFUNCTION("""COMPUTED_VALUE"""),"S")</f>
        <v>S</v>
      </c>
      <c r="G351" s="202">
        <f ca="1">IFERROR(__xludf.DUMMYFUNCTION("""COMPUTED_VALUE"""),4)</f>
        <v>4</v>
      </c>
      <c r="H351" s="208"/>
      <c r="I351" s="208"/>
      <c r="J351" s="208"/>
      <c r="K351" s="208"/>
      <c r="L351" s="208" t="str">
        <v/>
      </c>
      <c r="M351" s="208" t="str">
        <v/>
      </c>
    </row>
    <row r="352" spans="1:13" ht="14.4">
      <c r="A352" s="199" t="str">
        <f ca="1">IFERROR(__xludf.DUMMYFUNCTION("""COMPUTED_VALUE"""),"DH")</f>
        <v>DH</v>
      </c>
      <c r="B352" s="207" t="str">
        <f ca="1">IFERROR(__xludf.DUMMYFUNCTION("""COMPUTED_VALUE"""),"Gavin Simpson")</f>
        <v>Gavin Simpson</v>
      </c>
      <c r="C352" s="199">
        <f ca="1">IFERROR(__xludf.DUMMYFUNCTION("""COMPUTED_VALUE"""),14)</f>
        <v>14</v>
      </c>
      <c r="D352" s="199" t="str">
        <f ca="1">IFERROR(__xludf.DUMMYFUNCTION("""COMPUTED_VALUE"""),"B")</f>
        <v>B</v>
      </c>
      <c r="E352" s="202" t="str">
        <f ca="1">IFERROR(__xludf.DUMMYFUNCTION("""COMPUTED_VALUE"""),"I")</f>
        <v>I</v>
      </c>
      <c r="F352" s="202" t="str">
        <f ca="1">IFERROR(__xludf.DUMMYFUNCTION("""COMPUTED_VALUE"""),"S")</f>
        <v>S</v>
      </c>
      <c r="G352" s="202">
        <f ca="1">IFERROR(__xludf.DUMMYFUNCTION("""COMPUTED_VALUE"""),4)</f>
        <v>4</v>
      </c>
      <c r="H352" s="206"/>
      <c r="I352" s="206">
        <v>124.6</v>
      </c>
      <c r="J352" s="206"/>
      <c r="K352" s="206" t="s">
        <v>121</v>
      </c>
      <c r="L352" s="206" t="str">
        <v xml:space="preserve"> 124.6</v>
      </c>
      <c r="M352" s="206" t="str">
        <v/>
      </c>
    </row>
    <row r="353" spans="1:13" ht="14.4">
      <c r="A353" s="199" t="str">
        <f ca="1">IFERROR(__xludf.DUMMYFUNCTION("""COMPUTED_VALUE"""),"DH")</f>
        <v>DH</v>
      </c>
      <c r="B353" s="207" t="str">
        <f ca="1">IFERROR(__xludf.DUMMYFUNCTION("""COMPUTED_VALUE"""),"Kian McMahon")</f>
        <v>Kian McMahon</v>
      </c>
      <c r="C353" s="199">
        <f ca="1">IFERROR(__xludf.DUMMYFUNCTION("""COMPUTED_VALUE"""),14)</f>
        <v>14</v>
      </c>
      <c r="D353" s="199" t="str">
        <f ca="1">IFERROR(__xludf.DUMMYFUNCTION("""COMPUTED_VALUE"""),"B")</f>
        <v>B</v>
      </c>
      <c r="E353" s="202" t="str">
        <f ca="1">IFERROR(__xludf.DUMMYFUNCTION("""COMPUTED_VALUE"""),"I")</f>
        <v>I</v>
      </c>
      <c r="F353" s="202" t="str">
        <f ca="1">IFERROR(__xludf.DUMMYFUNCTION("""COMPUTED_VALUE"""),"S")</f>
        <v>S</v>
      </c>
      <c r="G353" s="202">
        <f ca="1">IFERROR(__xludf.DUMMYFUNCTION("""COMPUTED_VALUE"""),4)</f>
        <v>4</v>
      </c>
      <c r="H353" s="206"/>
      <c r="I353" s="206"/>
      <c r="J353" s="206"/>
      <c r="K353" s="206"/>
      <c r="L353" s="206" t="str">
        <v/>
      </c>
      <c r="M353" s="206" t="str">
        <v/>
      </c>
    </row>
    <row r="354" spans="1:13" ht="14.4">
      <c r="A354" s="199" t="str">
        <f ca="1">IFERROR(__xludf.DUMMYFUNCTION("""COMPUTED_VALUE"""),"DH")</f>
        <v>DH</v>
      </c>
      <c r="B354" s="207" t="str">
        <f ca="1">IFERROR(__xludf.DUMMYFUNCTION("""COMPUTED_VALUE"""),"Sandis Walker")</f>
        <v>Sandis Walker</v>
      </c>
      <c r="C354" s="199">
        <f ca="1">IFERROR(__xludf.DUMMYFUNCTION("""COMPUTED_VALUE"""),13)</f>
        <v>13</v>
      </c>
      <c r="D354" s="199" t="str">
        <f ca="1">IFERROR(__xludf.DUMMYFUNCTION("""COMPUTED_VALUE"""),"B")</f>
        <v>B</v>
      </c>
      <c r="E354" s="202" t="str">
        <f ca="1">IFERROR(__xludf.DUMMYFUNCTION("""COMPUTED_VALUE"""),"I")</f>
        <v>I</v>
      </c>
      <c r="F354" s="202" t="str">
        <f ca="1">IFERROR(__xludf.DUMMYFUNCTION("""COMPUTED_VALUE"""),"S")</f>
        <v>S</v>
      </c>
      <c r="G354" s="202">
        <f ca="1">IFERROR(__xludf.DUMMYFUNCTION("""COMPUTED_VALUE"""),4)</f>
        <v>4</v>
      </c>
      <c r="H354" s="206"/>
      <c r="I354" s="206">
        <v>74.2</v>
      </c>
      <c r="J354" s="206"/>
      <c r="K354" s="206" t="s">
        <v>121</v>
      </c>
      <c r="L354" s="206" t="str">
        <v xml:space="preserve"> 74.2</v>
      </c>
      <c r="M354" s="206" t="str">
        <v/>
      </c>
    </row>
    <row r="355" spans="1:13" ht="14.4">
      <c r="A355" s="199" t="str">
        <f ca="1">IFERROR(__xludf.DUMMYFUNCTION("""COMPUTED_VALUE"""),"DH")</f>
        <v>DH</v>
      </c>
      <c r="B355" s="207" t="str">
        <f ca="1">IFERROR(__xludf.DUMMYFUNCTION("""COMPUTED_VALUE"""),"Abby Putnam")</f>
        <v>Abby Putnam</v>
      </c>
      <c r="C355" s="199">
        <f ca="1">IFERROR(__xludf.DUMMYFUNCTION("""COMPUTED_VALUE"""),14)</f>
        <v>14</v>
      </c>
      <c r="D355" s="199" t="str">
        <f ca="1">IFERROR(__xludf.DUMMYFUNCTION("""COMPUTED_VALUE"""),"G")</f>
        <v>G</v>
      </c>
      <c r="E355" s="202" t="str">
        <f ca="1">IFERROR(__xludf.DUMMYFUNCTION("""COMPUTED_VALUE"""),"I")</f>
        <v>I</v>
      </c>
      <c r="F355" s="202" t="str">
        <f ca="1">IFERROR(__xludf.DUMMYFUNCTION("""COMPUTED_VALUE"""),"S")</f>
        <v>S</v>
      </c>
      <c r="G355" s="202">
        <f ca="1">IFERROR(__xludf.DUMMYFUNCTION("""COMPUTED_VALUE"""),4)</f>
        <v>4</v>
      </c>
      <c r="H355" s="206">
        <v>66.2</v>
      </c>
      <c r="I355" s="206"/>
      <c r="J355" s="206" t="s">
        <v>121</v>
      </c>
      <c r="K355" s="206"/>
      <c r="L355" s="206" t="str">
        <v xml:space="preserve"> 66.2</v>
      </c>
      <c r="M355" s="206" t="str">
        <v/>
      </c>
    </row>
    <row r="356" spans="1:13" ht="14.4">
      <c r="A356" s="199" t="str">
        <f ca="1">IFERROR(__xludf.DUMMYFUNCTION("""COMPUTED_VALUE"""),"DH")</f>
        <v>DH</v>
      </c>
      <c r="B356" s="207" t="str">
        <f ca="1">IFERROR(__xludf.DUMMYFUNCTION("""COMPUTED_VALUE"""),"Bella DeFilippi")</f>
        <v>Bella DeFilippi</v>
      </c>
      <c r="C356" s="199">
        <f ca="1">IFERROR(__xludf.DUMMYFUNCTION("""COMPUTED_VALUE"""),13)</f>
        <v>13</v>
      </c>
      <c r="D356" s="199" t="str">
        <f ca="1">IFERROR(__xludf.DUMMYFUNCTION("""COMPUTED_VALUE"""),"G")</f>
        <v>G</v>
      </c>
      <c r="E356" s="202" t="str">
        <f ca="1">IFERROR(__xludf.DUMMYFUNCTION("""COMPUTED_VALUE"""),"I")</f>
        <v>I</v>
      </c>
      <c r="F356" s="202" t="str">
        <f ca="1">IFERROR(__xludf.DUMMYFUNCTION("""COMPUTED_VALUE"""),"S")</f>
        <v>S</v>
      </c>
      <c r="G356" s="202">
        <f ca="1">IFERROR(__xludf.DUMMYFUNCTION("""COMPUTED_VALUE"""),4)</f>
        <v>4</v>
      </c>
      <c r="H356" s="206"/>
      <c r="I356" s="206"/>
      <c r="J356" s="206"/>
      <c r="K356" s="206"/>
      <c r="L356" s="206" t="str">
        <v/>
      </c>
      <c r="M356" s="206" t="str">
        <v/>
      </c>
    </row>
    <row r="357" spans="1:13" ht="14.4">
      <c r="A357" s="199" t="str">
        <f ca="1">IFERROR(__xludf.DUMMYFUNCTION("""COMPUTED_VALUE"""),"DH")</f>
        <v>DH</v>
      </c>
      <c r="B357" s="207" t="str">
        <f ca="1">IFERROR(__xludf.DUMMYFUNCTION("""COMPUTED_VALUE"""),"Chloe Schwartz")</f>
        <v>Chloe Schwartz</v>
      </c>
      <c r="C357" s="199">
        <f ca="1">IFERROR(__xludf.DUMMYFUNCTION("""COMPUTED_VALUE"""),14)</f>
        <v>14</v>
      </c>
      <c r="D357" s="199" t="str">
        <f ca="1">IFERROR(__xludf.DUMMYFUNCTION("""COMPUTED_VALUE"""),"G")</f>
        <v>G</v>
      </c>
      <c r="E357" s="202" t="str">
        <f ca="1">IFERROR(__xludf.DUMMYFUNCTION("""COMPUTED_VALUE"""),"I")</f>
        <v>I</v>
      </c>
      <c r="F357" s="202" t="str">
        <f ca="1">IFERROR(__xludf.DUMMYFUNCTION("""COMPUTED_VALUE"""),"S")</f>
        <v>S</v>
      </c>
      <c r="G357" s="202">
        <f ca="1">IFERROR(__xludf.DUMMYFUNCTION("""COMPUTED_VALUE"""),4)</f>
        <v>4</v>
      </c>
      <c r="H357" s="208">
        <v>83.05</v>
      </c>
      <c r="I357" s="208"/>
      <c r="J357" s="208" t="s">
        <v>121</v>
      </c>
      <c r="K357" s="208"/>
      <c r="L357" s="208" t="str">
        <v xml:space="preserve"> 83.05</v>
      </c>
      <c r="M357" s="208" t="str">
        <v/>
      </c>
    </row>
    <row r="358" spans="1:13" ht="14.4">
      <c r="A358" s="199" t="str">
        <f ca="1">IFERROR(__xludf.DUMMYFUNCTION("""COMPUTED_VALUE"""),"DH")</f>
        <v>DH</v>
      </c>
      <c r="B358" s="207" t="str">
        <f ca="1">IFERROR(__xludf.DUMMYFUNCTION("""COMPUTED_VALUE"""),"Greta Kirchoff-Johnson")</f>
        <v>Greta Kirchoff-Johnson</v>
      </c>
      <c r="C358" s="199">
        <f ca="1">IFERROR(__xludf.DUMMYFUNCTION("""COMPUTED_VALUE"""),14)</f>
        <v>14</v>
      </c>
      <c r="D358" s="199" t="str">
        <f ca="1">IFERROR(__xludf.DUMMYFUNCTION("""COMPUTED_VALUE"""),"G")</f>
        <v>G</v>
      </c>
      <c r="E358" s="202" t="str">
        <f ca="1">IFERROR(__xludf.DUMMYFUNCTION("""COMPUTED_VALUE"""),"I")</f>
        <v>I</v>
      </c>
      <c r="F358" s="202" t="str">
        <f ca="1">IFERROR(__xludf.DUMMYFUNCTION("""COMPUTED_VALUE"""),"S")</f>
        <v>S</v>
      </c>
      <c r="G358" s="202">
        <f ca="1">IFERROR(__xludf.DUMMYFUNCTION("""COMPUTED_VALUE"""),4)</f>
        <v>4</v>
      </c>
      <c r="H358" s="206"/>
      <c r="I358" s="206"/>
      <c r="J358" s="206"/>
      <c r="K358" s="206"/>
      <c r="L358" s="206" t="str">
        <v/>
      </c>
      <c r="M358" s="206" t="str">
        <v/>
      </c>
    </row>
    <row r="359" spans="1:13" ht="14.4">
      <c r="A359" s="199" t="str">
        <f ca="1">IFERROR(__xludf.DUMMYFUNCTION("""COMPUTED_VALUE"""),"DH")</f>
        <v>DH</v>
      </c>
      <c r="B359" s="207" t="str">
        <f ca="1">IFERROR(__xludf.DUMMYFUNCTION("""COMPUTED_VALUE"""),"Mia Carbone")</f>
        <v>Mia Carbone</v>
      </c>
      <c r="C359" s="199">
        <f ca="1">IFERROR(__xludf.DUMMYFUNCTION("""COMPUTED_VALUE"""),13)</f>
        <v>13</v>
      </c>
      <c r="D359" s="199" t="str">
        <f ca="1">IFERROR(__xludf.DUMMYFUNCTION("""COMPUTED_VALUE"""),"G")</f>
        <v>G</v>
      </c>
      <c r="E359" s="202" t="str">
        <f ca="1">IFERROR(__xludf.DUMMYFUNCTION("""COMPUTED_VALUE"""),"I")</f>
        <v>I</v>
      </c>
      <c r="F359" s="202" t="str">
        <f ca="1">IFERROR(__xludf.DUMMYFUNCTION("""COMPUTED_VALUE"""),"S")</f>
        <v>S</v>
      </c>
      <c r="G359" s="202">
        <f ca="1">IFERROR(__xludf.DUMMYFUNCTION("""COMPUTED_VALUE"""),4)</f>
        <v>4</v>
      </c>
      <c r="H359" s="208"/>
      <c r="I359" s="208"/>
      <c r="J359" s="208"/>
      <c r="K359" s="208"/>
      <c r="L359" s="208" t="str">
        <v/>
      </c>
      <c r="M359" s="208" t="str">
        <v/>
      </c>
    </row>
    <row r="360" spans="1:13" ht="14.4">
      <c r="A360" s="199" t="str">
        <f ca="1">IFERROR(__xludf.DUMMYFUNCTION("""COMPUTED_VALUE"""),"DH")</f>
        <v>DH</v>
      </c>
      <c r="B360" s="207" t="str">
        <f ca="1">IFERROR(__xludf.DUMMYFUNCTION("""COMPUTED_VALUE"""),"Morgan Shelton")</f>
        <v>Morgan Shelton</v>
      </c>
      <c r="C360" s="199">
        <f ca="1">IFERROR(__xludf.DUMMYFUNCTION("""COMPUTED_VALUE"""),13)</f>
        <v>13</v>
      </c>
      <c r="D360" s="199" t="str">
        <f ca="1">IFERROR(__xludf.DUMMYFUNCTION("""COMPUTED_VALUE"""),"G")</f>
        <v>G</v>
      </c>
      <c r="E360" s="202" t="str">
        <f ca="1">IFERROR(__xludf.DUMMYFUNCTION("""COMPUTED_VALUE"""),"I")</f>
        <v>I</v>
      </c>
      <c r="F360" s="202" t="str">
        <f ca="1">IFERROR(__xludf.DUMMYFUNCTION("""COMPUTED_VALUE"""),"S")</f>
        <v>S</v>
      </c>
      <c r="G360" s="202">
        <f ca="1">IFERROR(__xludf.DUMMYFUNCTION("""COMPUTED_VALUE"""),4)</f>
        <v>4</v>
      </c>
      <c r="H360" s="206">
        <v>80.05</v>
      </c>
      <c r="I360" s="206"/>
      <c r="J360" s="206" t="s">
        <v>121</v>
      </c>
      <c r="K360" s="206"/>
      <c r="L360" s="206" t="str">
        <v xml:space="preserve"> 80.05</v>
      </c>
      <c r="M360" s="206" t="str">
        <v/>
      </c>
    </row>
    <row r="361" spans="1:13" ht="14.4">
      <c r="A361" s="199" t="str">
        <f ca="1">IFERROR(__xludf.DUMMYFUNCTION("""COMPUTED_VALUE"""),"DH")</f>
        <v>DH</v>
      </c>
      <c r="B361" s="207" t="str">
        <f ca="1">IFERROR(__xludf.DUMMYFUNCTION("""COMPUTED_VALUE"""),"Paige Shelton")</f>
        <v>Paige Shelton</v>
      </c>
      <c r="C361" s="199">
        <f ca="1">IFERROR(__xludf.DUMMYFUNCTION("""COMPUTED_VALUE"""),14)</f>
        <v>14</v>
      </c>
      <c r="D361" s="199" t="str">
        <f ca="1">IFERROR(__xludf.DUMMYFUNCTION("""COMPUTED_VALUE"""),"G")</f>
        <v>G</v>
      </c>
      <c r="E361" s="202" t="str">
        <f ca="1">IFERROR(__xludf.DUMMYFUNCTION("""COMPUTED_VALUE"""),"I")</f>
        <v>I</v>
      </c>
      <c r="F361" s="202" t="str">
        <f ca="1">IFERROR(__xludf.DUMMYFUNCTION("""COMPUTED_VALUE"""),"S")</f>
        <v>S</v>
      </c>
      <c r="G361" s="202">
        <f ca="1">IFERROR(__xludf.DUMMYFUNCTION("""COMPUTED_VALUE"""),4)</f>
        <v>4</v>
      </c>
      <c r="H361" s="206">
        <v>73.650000000000006</v>
      </c>
      <c r="I361" s="206"/>
      <c r="J361" s="206" t="s">
        <v>121</v>
      </c>
      <c r="K361" s="206"/>
      <c r="L361" s="206" t="str">
        <v xml:space="preserve"> 73.65</v>
      </c>
      <c r="M361" s="206" t="str">
        <v/>
      </c>
    </row>
    <row r="362" spans="1:13" ht="14.4">
      <c r="A362" s="199" t="str">
        <f ca="1">IFERROR(__xludf.DUMMYFUNCTION("""COMPUTED_VALUE"""),"DH")</f>
        <v>DH</v>
      </c>
      <c r="B362" s="207" t="str">
        <f ca="1">IFERROR(__xludf.DUMMYFUNCTION("""COMPUTED_VALUE"""),"Caleb Havert")</f>
        <v>Caleb Havert</v>
      </c>
      <c r="C362" s="199">
        <f ca="1">IFERROR(__xludf.DUMMYFUNCTION("""COMPUTED_VALUE"""),11)</f>
        <v>11</v>
      </c>
      <c r="D362" s="199" t="str">
        <f ca="1">IFERROR(__xludf.DUMMYFUNCTION("""COMPUTED_VALUE"""),"B")</f>
        <v>B</v>
      </c>
      <c r="E362" s="202" t="str">
        <f ca="1">IFERROR(__xludf.DUMMYFUNCTION("""COMPUTED_VALUE"""),"J")</f>
        <v>J</v>
      </c>
      <c r="F362" s="202" t="str">
        <f ca="1">IFERROR(__xludf.DUMMYFUNCTION("""COMPUTED_VALUE"""),"I")</f>
        <v>I</v>
      </c>
      <c r="G362" s="202">
        <f ca="1">IFERROR(__xludf.DUMMYFUNCTION("""COMPUTED_VALUE"""),4)</f>
        <v>4</v>
      </c>
      <c r="H362" s="206"/>
      <c r="I362" s="206"/>
      <c r="J362" s="206"/>
      <c r="K362" s="206"/>
      <c r="L362" s="206" t="str">
        <v/>
      </c>
      <c r="M362" s="206" t="str">
        <v/>
      </c>
    </row>
    <row r="363" spans="1:13" ht="14.4">
      <c r="A363" s="199" t="str">
        <f ca="1">IFERROR(__xludf.DUMMYFUNCTION("""COMPUTED_VALUE"""),"DH")</f>
        <v>DH</v>
      </c>
      <c r="B363" s="207" t="str">
        <f ca="1">IFERROR(__xludf.DUMMYFUNCTION("""COMPUTED_VALUE"""),"Charlie Morrison")</f>
        <v>Charlie Morrison</v>
      </c>
      <c r="C363" s="199">
        <f ca="1">IFERROR(__xludf.DUMMYFUNCTION("""COMPUTED_VALUE"""),11)</f>
        <v>11</v>
      </c>
      <c r="D363" s="199" t="str">
        <f ca="1">IFERROR(__xludf.DUMMYFUNCTION("""COMPUTED_VALUE"""),"B")</f>
        <v>B</v>
      </c>
      <c r="E363" s="202" t="str">
        <f ca="1">IFERROR(__xludf.DUMMYFUNCTION("""COMPUTED_VALUE"""),"J")</f>
        <v>J</v>
      </c>
      <c r="F363" s="202" t="str">
        <f ca="1">IFERROR(__xludf.DUMMYFUNCTION("""COMPUTED_VALUE"""),"I")</f>
        <v>I</v>
      </c>
      <c r="G363" s="202">
        <f ca="1">IFERROR(__xludf.DUMMYFUNCTION("""COMPUTED_VALUE"""),4)</f>
        <v>4</v>
      </c>
      <c r="H363" s="208"/>
      <c r="I363" s="208"/>
      <c r="J363" s="208"/>
      <c r="K363" s="208"/>
      <c r="L363" s="208" t="str">
        <v/>
      </c>
      <c r="M363" s="208" t="str">
        <v/>
      </c>
    </row>
    <row r="364" spans="1:13" ht="14.4">
      <c r="A364" s="199" t="str">
        <f ca="1">IFERROR(__xludf.DUMMYFUNCTION("""COMPUTED_VALUE"""),"DH")</f>
        <v>DH</v>
      </c>
      <c r="B364" s="207" t="str">
        <f ca="1">IFERROR(__xludf.DUMMYFUNCTION("""COMPUTED_VALUE"""),"Declan Neckel")</f>
        <v>Declan Neckel</v>
      </c>
      <c r="C364" s="199">
        <f ca="1">IFERROR(__xludf.DUMMYFUNCTION("""COMPUTED_VALUE"""),11)</f>
        <v>11</v>
      </c>
      <c r="D364" s="199" t="str">
        <f ca="1">IFERROR(__xludf.DUMMYFUNCTION("""COMPUTED_VALUE"""),"B")</f>
        <v>B</v>
      </c>
      <c r="E364" s="202" t="str">
        <f ca="1">IFERROR(__xludf.DUMMYFUNCTION("""COMPUTED_VALUE"""),"J")</f>
        <v>J</v>
      </c>
      <c r="F364" s="202" t="str">
        <f ca="1">IFERROR(__xludf.DUMMYFUNCTION("""COMPUTED_VALUE"""),"I")</f>
        <v>I</v>
      </c>
      <c r="G364" s="202">
        <f ca="1">IFERROR(__xludf.DUMMYFUNCTION("""COMPUTED_VALUE"""),4)</f>
        <v>4</v>
      </c>
      <c r="H364" s="208"/>
      <c r="I364" s="208"/>
      <c r="J364" s="208"/>
      <c r="K364" s="208"/>
      <c r="L364" s="208" t="str">
        <v/>
      </c>
      <c r="M364" s="208" t="str">
        <v/>
      </c>
    </row>
    <row r="365" spans="1:13" ht="14.4">
      <c r="A365" s="199" t="str">
        <f ca="1">IFERROR(__xludf.DUMMYFUNCTION("""COMPUTED_VALUE"""),"DH")</f>
        <v>DH</v>
      </c>
      <c r="B365" s="207" t="str">
        <f ca="1">IFERROR(__xludf.DUMMYFUNCTION("""COMPUTED_VALUE"""),"Henry Gould")</f>
        <v>Henry Gould</v>
      </c>
      <c r="C365" s="199">
        <f ca="1">IFERROR(__xludf.DUMMYFUNCTION("""COMPUTED_VALUE"""),12)</f>
        <v>12</v>
      </c>
      <c r="D365" s="199" t="str">
        <f ca="1">IFERROR(__xludf.DUMMYFUNCTION("""COMPUTED_VALUE"""),"B")</f>
        <v>B</v>
      </c>
      <c r="E365" s="202" t="str">
        <f ca="1">IFERROR(__xludf.DUMMYFUNCTION("""COMPUTED_VALUE"""),"J")</f>
        <v>J</v>
      </c>
      <c r="F365" s="202" t="str">
        <f ca="1">IFERROR(__xludf.DUMMYFUNCTION("""COMPUTED_VALUE"""),"I")</f>
        <v>I</v>
      </c>
      <c r="G365" s="202">
        <f ca="1">IFERROR(__xludf.DUMMYFUNCTION("""COMPUTED_VALUE"""),4)</f>
        <v>4</v>
      </c>
      <c r="H365" s="208"/>
      <c r="I365" s="208"/>
      <c r="J365" s="208"/>
      <c r="K365" s="208"/>
      <c r="L365" s="208" t="str">
        <v/>
      </c>
      <c r="M365" s="208" t="str">
        <v/>
      </c>
    </row>
    <row r="366" spans="1:13" ht="14.4">
      <c r="A366" s="199" t="str">
        <f ca="1">IFERROR(__xludf.DUMMYFUNCTION("""COMPUTED_VALUE"""),"DH")</f>
        <v>DH</v>
      </c>
      <c r="B366" s="207" t="str">
        <f ca="1">IFERROR(__xludf.DUMMYFUNCTION("""COMPUTED_VALUE"""),"Reid Schwartz")</f>
        <v>Reid Schwartz</v>
      </c>
      <c r="C366" s="199">
        <f ca="1">IFERROR(__xludf.DUMMYFUNCTION("""COMPUTED_VALUE"""),12)</f>
        <v>12</v>
      </c>
      <c r="D366" s="199" t="str">
        <f ca="1">IFERROR(__xludf.DUMMYFUNCTION("""COMPUTED_VALUE"""),"B")</f>
        <v>B</v>
      </c>
      <c r="E366" s="202" t="str">
        <f ca="1">IFERROR(__xludf.DUMMYFUNCTION("""COMPUTED_VALUE"""),"J")</f>
        <v>J</v>
      </c>
      <c r="F366" s="202" t="str">
        <f ca="1">IFERROR(__xludf.DUMMYFUNCTION("""COMPUTED_VALUE"""),"I")</f>
        <v>I</v>
      </c>
      <c r="G366" s="202">
        <f ca="1">IFERROR(__xludf.DUMMYFUNCTION("""COMPUTED_VALUE"""),4)</f>
        <v>4</v>
      </c>
      <c r="H366" s="206"/>
      <c r="I366" s="206">
        <v>94.55</v>
      </c>
      <c r="J366" s="206"/>
      <c r="K366" s="206" t="s">
        <v>121</v>
      </c>
      <c r="L366" s="206" t="str">
        <v xml:space="preserve"> 94.55</v>
      </c>
      <c r="M366" s="206" t="str">
        <v/>
      </c>
    </row>
    <row r="367" spans="1:13" ht="14.4">
      <c r="A367" s="199" t="str">
        <f ca="1">IFERROR(__xludf.DUMMYFUNCTION("""COMPUTED_VALUE"""),"DH")</f>
        <v>DH</v>
      </c>
      <c r="B367" s="207" t="str">
        <f ca="1">IFERROR(__xludf.DUMMYFUNCTION("""COMPUTED_VALUE"""),"Elena Rizzo")</f>
        <v>Elena Rizzo</v>
      </c>
      <c r="C367" s="199">
        <f ca="1">IFERROR(__xludf.DUMMYFUNCTION("""COMPUTED_VALUE"""),12)</f>
        <v>12</v>
      </c>
      <c r="D367" s="199" t="str">
        <f ca="1">IFERROR(__xludf.DUMMYFUNCTION("""COMPUTED_VALUE"""),"G")</f>
        <v>G</v>
      </c>
      <c r="E367" s="202" t="str">
        <f ca="1">IFERROR(__xludf.DUMMYFUNCTION("""COMPUTED_VALUE"""),"J")</f>
        <v>J</v>
      </c>
      <c r="F367" s="202" t="str">
        <f ca="1">IFERROR(__xludf.DUMMYFUNCTION("""COMPUTED_VALUE"""),"I")</f>
        <v>I</v>
      </c>
      <c r="G367" s="202">
        <f ca="1">IFERROR(__xludf.DUMMYFUNCTION("""COMPUTED_VALUE"""),4)</f>
        <v>4</v>
      </c>
      <c r="H367" s="206"/>
      <c r="I367" s="206"/>
      <c r="J367" s="206"/>
      <c r="K367" s="206"/>
      <c r="L367" s="206" t="str">
        <v/>
      </c>
      <c r="M367" s="206" t="str">
        <v/>
      </c>
    </row>
    <row r="368" spans="1:13" ht="14.4">
      <c r="A368" s="199" t="str">
        <f ca="1">IFERROR(__xludf.DUMMYFUNCTION("""COMPUTED_VALUE"""),"DH")</f>
        <v>DH</v>
      </c>
      <c r="B368" s="207" t="str">
        <f ca="1">IFERROR(__xludf.DUMMYFUNCTION("""COMPUTED_VALUE"""),"Hannah Ax")</f>
        <v>Hannah Ax</v>
      </c>
      <c r="C368" s="199">
        <f ca="1">IFERROR(__xludf.DUMMYFUNCTION("""COMPUTED_VALUE"""),11)</f>
        <v>11</v>
      </c>
      <c r="D368" s="199" t="str">
        <f ca="1">IFERROR(__xludf.DUMMYFUNCTION("""COMPUTED_VALUE"""),"G")</f>
        <v>G</v>
      </c>
      <c r="E368" s="202" t="str">
        <f ca="1">IFERROR(__xludf.DUMMYFUNCTION("""COMPUTED_VALUE"""),"J")</f>
        <v>J</v>
      </c>
      <c r="F368" s="202" t="str">
        <f ca="1">IFERROR(__xludf.DUMMYFUNCTION("""COMPUTED_VALUE"""),"I")</f>
        <v>I</v>
      </c>
      <c r="G368" s="202">
        <f ca="1">IFERROR(__xludf.DUMMYFUNCTION("""COMPUTED_VALUE"""),4)</f>
        <v>4</v>
      </c>
      <c r="H368" s="206">
        <v>53.05</v>
      </c>
      <c r="I368" s="206"/>
      <c r="J368" s="206" t="s">
        <v>121</v>
      </c>
      <c r="K368" s="206"/>
      <c r="L368" s="206" t="str">
        <v xml:space="preserve"> 53.05</v>
      </c>
      <c r="M368" s="206" t="str">
        <v/>
      </c>
    </row>
    <row r="369" spans="1:13" ht="14.4">
      <c r="A369" s="199" t="str">
        <f ca="1">IFERROR(__xludf.DUMMYFUNCTION("""COMPUTED_VALUE"""),"DH")</f>
        <v>DH</v>
      </c>
      <c r="B369" s="207" t="str">
        <f ca="1">IFERROR(__xludf.DUMMYFUNCTION("""COMPUTED_VALUE"""),"Hayden Shelton")</f>
        <v>Hayden Shelton</v>
      </c>
      <c r="C369" s="199">
        <f ca="1">IFERROR(__xludf.DUMMYFUNCTION("""COMPUTED_VALUE"""),11)</f>
        <v>11</v>
      </c>
      <c r="D369" s="199" t="str">
        <f ca="1">IFERROR(__xludf.DUMMYFUNCTION("""COMPUTED_VALUE"""),"G")</f>
        <v>G</v>
      </c>
      <c r="E369" s="202" t="str">
        <f ca="1">IFERROR(__xludf.DUMMYFUNCTION("""COMPUTED_VALUE"""),"J")</f>
        <v>J</v>
      </c>
      <c r="F369" s="202" t="str">
        <f ca="1">IFERROR(__xludf.DUMMYFUNCTION("""COMPUTED_VALUE"""),"I")</f>
        <v>I</v>
      </c>
      <c r="G369" s="202">
        <f ca="1">IFERROR(__xludf.DUMMYFUNCTION("""COMPUTED_VALUE"""),4)</f>
        <v>4</v>
      </c>
      <c r="H369" s="206">
        <v>48.1</v>
      </c>
      <c r="I369" s="206"/>
      <c r="J369" s="206" t="s">
        <v>121</v>
      </c>
      <c r="K369" s="206"/>
      <c r="L369" s="206" t="str">
        <v xml:space="preserve"> 48.1</v>
      </c>
      <c r="M369" s="206" t="str">
        <v/>
      </c>
    </row>
    <row r="370" spans="1:13" ht="14.4">
      <c r="A370" s="199" t="str">
        <f ca="1">IFERROR(__xludf.DUMMYFUNCTION("""COMPUTED_VALUE"""),"DH")</f>
        <v>DH</v>
      </c>
      <c r="B370" s="207" t="str">
        <f ca="1">IFERROR(__xludf.DUMMYFUNCTION("""COMPUTED_VALUE"""),"Heili Shattuck")</f>
        <v>Heili Shattuck</v>
      </c>
      <c r="C370" s="199">
        <f ca="1">IFERROR(__xludf.DUMMYFUNCTION("""COMPUTED_VALUE"""),12)</f>
        <v>12</v>
      </c>
      <c r="D370" s="199" t="str">
        <f ca="1">IFERROR(__xludf.DUMMYFUNCTION("""COMPUTED_VALUE"""),"G")</f>
        <v>G</v>
      </c>
      <c r="E370" s="202" t="str">
        <f ca="1">IFERROR(__xludf.DUMMYFUNCTION("""COMPUTED_VALUE"""),"J")</f>
        <v>J</v>
      </c>
      <c r="F370" s="202" t="str">
        <f ca="1">IFERROR(__xludf.DUMMYFUNCTION("""COMPUTED_VALUE"""),"I")</f>
        <v>I</v>
      </c>
      <c r="G370" s="202">
        <f ca="1">IFERROR(__xludf.DUMMYFUNCTION("""COMPUTED_VALUE"""),4)</f>
        <v>4</v>
      </c>
      <c r="H370" s="206"/>
      <c r="I370" s="206"/>
      <c r="J370" s="206"/>
      <c r="K370" s="206"/>
      <c r="L370" s="206" t="str">
        <v/>
      </c>
      <c r="M370" s="206" t="str">
        <v/>
      </c>
    </row>
    <row r="371" spans="1:13" ht="14.4">
      <c r="A371" s="199" t="str">
        <f ca="1">IFERROR(__xludf.DUMMYFUNCTION("""COMPUTED_VALUE"""),"DH")</f>
        <v>DH</v>
      </c>
      <c r="B371" s="207" t="str">
        <f ca="1">IFERROR(__xludf.DUMMYFUNCTION("""COMPUTED_VALUE"""),"Leah Kinder")</f>
        <v>Leah Kinder</v>
      </c>
      <c r="C371" s="199">
        <f ca="1">IFERROR(__xludf.DUMMYFUNCTION("""COMPUTED_VALUE"""),11)</f>
        <v>11</v>
      </c>
      <c r="D371" s="199" t="str">
        <f ca="1">IFERROR(__xludf.DUMMYFUNCTION("""COMPUTED_VALUE"""),"G")</f>
        <v>G</v>
      </c>
      <c r="E371" s="202" t="str">
        <f ca="1">IFERROR(__xludf.DUMMYFUNCTION("""COMPUTED_VALUE"""),"J")</f>
        <v>J</v>
      </c>
      <c r="F371" s="202" t="str">
        <f ca="1">IFERROR(__xludf.DUMMYFUNCTION("""COMPUTED_VALUE"""),"I")</f>
        <v>I</v>
      </c>
      <c r="G371" s="202">
        <f ca="1">IFERROR(__xludf.DUMMYFUNCTION("""COMPUTED_VALUE"""),4)</f>
        <v>4</v>
      </c>
      <c r="H371" s="208"/>
      <c r="I371" s="208"/>
      <c r="J371" s="208"/>
      <c r="K371" s="208"/>
      <c r="L371" s="208" t="str">
        <v/>
      </c>
      <c r="M371" s="208" t="str">
        <v/>
      </c>
    </row>
    <row r="372" spans="1:13" ht="14.4">
      <c r="A372" s="199" t="str">
        <f ca="1">IFERROR(__xludf.DUMMYFUNCTION("""COMPUTED_VALUE"""),"DH")</f>
        <v>DH</v>
      </c>
      <c r="B372" s="207" t="str">
        <f ca="1">IFERROR(__xludf.DUMMYFUNCTION("""COMPUTED_VALUE"""),"Natalie Maco")</f>
        <v>Natalie Maco</v>
      </c>
      <c r="C372" s="199">
        <f ca="1">IFERROR(__xludf.DUMMYFUNCTION("""COMPUTED_VALUE"""),11)</f>
        <v>11</v>
      </c>
      <c r="D372" s="199" t="str">
        <f ca="1">IFERROR(__xludf.DUMMYFUNCTION("""COMPUTED_VALUE"""),"G")</f>
        <v>G</v>
      </c>
      <c r="E372" s="202" t="str">
        <f ca="1">IFERROR(__xludf.DUMMYFUNCTION("""COMPUTED_VALUE"""),"J")</f>
        <v>J</v>
      </c>
      <c r="F372" s="202" t="str">
        <f ca="1">IFERROR(__xludf.DUMMYFUNCTION("""COMPUTED_VALUE"""),"I")</f>
        <v>I</v>
      </c>
      <c r="G372" s="202">
        <f ca="1">IFERROR(__xludf.DUMMYFUNCTION("""COMPUTED_VALUE"""),4)</f>
        <v>4</v>
      </c>
      <c r="H372" s="206"/>
      <c r="I372" s="206"/>
      <c r="J372" s="206"/>
      <c r="K372" s="206"/>
      <c r="L372" s="206" t="str">
        <v/>
      </c>
      <c r="M372" s="206" t="str">
        <v/>
      </c>
    </row>
    <row r="373" spans="1:13" ht="14.4">
      <c r="A373" s="199" t="str">
        <f ca="1">IFERROR(__xludf.DUMMYFUNCTION("""COMPUTED_VALUE"""),"DH")</f>
        <v>DH</v>
      </c>
      <c r="B373" s="207" t="str">
        <f ca="1">IFERROR(__xludf.DUMMYFUNCTION("""COMPUTED_VALUE"""),"Olivia Tighe")</f>
        <v>Olivia Tighe</v>
      </c>
      <c r="C373" s="199">
        <f ca="1">IFERROR(__xludf.DUMMYFUNCTION("""COMPUTED_VALUE"""),12)</f>
        <v>12</v>
      </c>
      <c r="D373" s="199" t="str">
        <f ca="1">IFERROR(__xludf.DUMMYFUNCTION("""COMPUTED_VALUE"""),"G")</f>
        <v>G</v>
      </c>
      <c r="E373" s="202" t="str">
        <f ca="1">IFERROR(__xludf.DUMMYFUNCTION("""COMPUTED_VALUE"""),"J")</f>
        <v>J</v>
      </c>
      <c r="F373" s="202" t="str">
        <f ca="1">IFERROR(__xludf.DUMMYFUNCTION("""COMPUTED_VALUE"""),"I")</f>
        <v>I</v>
      </c>
      <c r="G373" s="202">
        <f ca="1">IFERROR(__xludf.DUMMYFUNCTION("""COMPUTED_VALUE"""),4)</f>
        <v>4</v>
      </c>
      <c r="H373" s="206"/>
      <c r="I373" s="206"/>
      <c r="J373" s="206"/>
      <c r="K373" s="206"/>
      <c r="L373" s="206" t="str">
        <v/>
      </c>
      <c r="M373" s="206" t="str">
        <v/>
      </c>
    </row>
    <row r="374" spans="1:13" ht="14.4">
      <c r="A374" s="199" t="str">
        <f ca="1">IFERROR(__xludf.DUMMYFUNCTION("""COMPUTED_VALUE"""),"DH")</f>
        <v>DH</v>
      </c>
      <c r="B374" s="207" t="str">
        <f ca="1">IFERROR(__xludf.DUMMYFUNCTION("""COMPUTED_VALUE"""),"Joseph Nixon")</f>
        <v>Joseph Nixon</v>
      </c>
      <c r="C374" s="199">
        <f ca="1">IFERROR(__xludf.DUMMYFUNCTION("""COMPUTED_VALUE"""),15)</f>
        <v>15</v>
      </c>
      <c r="D374" s="199" t="str">
        <f ca="1">IFERROR(__xludf.DUMMYFUNCTION("""COMPUTED_VALUE"""),"B")</f>
        <v>B</v>
      </c>
      <c r="E374" s="202" t="str">
        <f ca="1">IFERROR(__xludf.DUMMYFUNCTION("""COMPUTED_VALUE"""),"S")</f>
        <v>S</v>
      </c>
      <c r="F374" s="202" t="str">
        <f ca="1">IFERROR(__xludf.DUMMYFUNCTION("""COMPUTED_VALUE"""),"S")</f>
        <v>S</v>
      </c>
      <c r="G374" s="202">
        <f ca="1">IFERROR(__xludf.DUMMYFUNCTION("""COMPUTED_VALUE"""),4)</f>
        <v>4</v>
      </c>
      <c r="H374" s="206"/>
      <c r="I374" s="206">
        <v>102.7</v>
      </c>
      <c r="J374" s="206"/>
      <c r="K374" s="206" t="s">
        <v>121</v>
      </c>
      <c r="L374" s="206" t="str">
        <v xml:space="preserve"> 102.7</v>
      </c>
      <c r="M374" s="206" t="str">
        <v/>
      </c>
    </row>
    <row r="375" spans="1:13" ht="14.4">
      <c r="A375" s="199" t="str">
        <f ca="1">IFERROR(__xludf.DUMMYFUNCTION("""COMPUTED_VALUE"""),"DH")</f>
        <v>DH</v>
      </c>
      <c r="B375" s="207" t="str">
        <f ca="1">IFERROR(__xludf.DUMMYFUNCTION("""COMPUTED_VALUE"""),"Luke Dangel")</f>
        <v>Luke Dangel</v>
      </c>
      <c r="C375" s="199">
        <f ca="1">IFERROR(__xludf.DUMMYFUNCTION("""COMPUTED_VALUE"""),18)</f>
        <v>18</v>
      </c>
      <c r="D375" s="199" t="str">
        <f ca="1">IFERROR(__xludf.DUMMYFUNCTION("""COMPUTED_VALUE"""),"B")</f>
        <v>B</v>
      </c>
      <c r="E375" s="202" t="str">
        <f ca="1">IFERROR(__xludf.DUMMYFUNCTION("""COMPUTED_VALUE"""),"S")</f>
        <v>S</v>
      </c>
      <c r="F375" s="202" t="str">
        <f ca="1">IFERROR(__xludf.DUMMYFUNCTION("""COMPUTED_VALUE"""),"S")</f>
        <v>S</v>
      </c>
      <c r="G375" s="202">
        <f ca="1">IFERROR(__xludf.DUMMYFUNCTION("""COMPUTED_VALUE"""),4)</f>
        <v>4</v>
      </c>
      <c r="H375" s="208"/>
      <c r="I375" s="208">
        <v>138.94999999999999</v>
      </c>
      <c r="J375" s="208"/>
      <c r="K375" s="208" t="s">
        <v>121</v>
      </c>
      <c r="L375" s="208" t="str">
        <v xml:space="preserve"> 138.95</v>
      </c>
      <c r="M375" s="208" t="str">
        <v/>
      </c>
    </row>
    <row r="376" spans="1:13" ht="14.4">
      <c r="A376" s="199" t="str">
        <f ca="1">IFERROR(__xludf.DUMMYFUNCTION("""COMPUTED_VALUE"""),"DH")</f>
        <v>DH</v>
      </c>
      <c r="B376" s="207" t="str">
        <f ca="1">IFERROR(__xludf.DUMMYFUNCTION("""COMPUTED_VALUE"""),"Luke DiBenigno")</f>
        <v>Luke DiBenigno</v>
      </c>
      <c r="C376" s="199">
        <f ca="1">IFERROR(__xludf.DUMMYFUNCTION("""COMPUTED_VALUE"""),16)</f>
        <v>16</v>
      </c>
      <c r="D376" s="199" t="str">
        <f ca="1">IFERROR(__xludf.DUMMYFUNCTION("""COMPUTED_VALUE"""),"B")</f>
        <v>B</v>
      </c>
      <c r="E376" s="202" t="str">
        <f ca="1">IFERROR(__xludf.DUMMYFUNCTION("""COMPUTED_VALUE"""),"S")</f>
        <v>S</v>
      </c>
      <c r="F376" s="202" t="str">
        <f ca="1">IFERROR(__xludf.DUMMYFUNCTION("""COMPUTED_VALUE"""),"S")</f>
        <v>S</v>
      </c>
      <c r="G376" s="202">
        <f ca="1">IFERROR(__xludf.DUMMYFUNCTION("""COMPUTED_VALUE"""),4)</f>
        <v>4</v>
      </c>
      <c r="H376" s="206"/>
      <c r="I376" s="206">
        <v>145.25</v>
      </c>
      <c r="J376" s="206"/>
      <c r="K376" s="206" t="s">
        <v>121</v>
      </c>
      <c r="L376" s="206" t="str">
        <v xml:space="preserve"> 145.25</v>
      </c>
      <c r="M376" s="206" t="str">
        <v/>
      </c>
    </row>
    <row r="377" spans="1:13" ht="14.4">
      <c r="A377" s="199" t="str">
        <f ca="1">IFERROR(__xludf.DUMMYFUNCTION("""COMPUTED_VALUE"""),"DH")</f>
        <v>DH</v>
      </c>
      <c r="B377" s="207" t="str">
        <f ca="1">IFERROR(__xludf.DUMMYFUNCTION("""COMPUTED_VALUE"""),"Amelia Rizzo")</f>
        <v>Amelia Rizzo</v>
      </c>
      <c r="C377" s="199">
        <f ca="1">IFERROR(__xludf.DUMMYFUNCTION("""COMPUTED_VALUE"""),15)</f>
        <v>15</v>
      </c>
      <c r="D377" s="199" t="str">
        <f ca="1">IFERROR(__xludf.DUMMYFUNCTION("""COMPUTED_VALUE"""),"G")</f>
        <v>G</v>
      </c>
      <c r="E377" s="202" t="str">
        <f ca="1">IFERROR(__xludf.DUMMYFUNCTION("""COMPUTED_VALUE"""),"S")</f>
        <v>S</v>
      </c>
      <c r="F377" s="202" t="str">
        <f ca="1">IFERROR(__xludf.DUMMYFUNCTION("""COMPUTED_VALUE"""),"S")</f>
        <v>S</v>
      </c>
      <c r="G377" s="202">
        <f ca="1">IFERROR(__xludf.DUMMYFUNCTION("""COMPUTED_VALUE"""),4)</f>
        <v>4</v>
      </c>
      <c r="H377" s="206"/>
      <c r="I377" s="206"/>
      <c r="J377" s="206"/>
      <c r="K377" s="206"/>
      <c r="L377" s="206" t="str">
        <v/>
      </c>
      <c r="M377" s="206" t="str">
        <v/>
      </c>
    </row>
    <row r="378" spans="1:13" ht="14.4">
      <c r="A378" s="199" t="str">
        <f ca="1">IFERROR(__xludf.DUMMYFUNCTION("""COMPUTED_VALUE"""),"DH")</f>
        <v>DH</v>
      </c>
      <c r="B378" s="207" t="str">
        <f ca="1">IFERROR(__xludf.DUMMYFUNCTION("""COMPUTED_VALUE"""),"Dakota Bannach")</f>
        <v>Dakota Bannach</v>
      </c>
      <c r="C378" s="199">
        <f ca="1">IFERROR(__xludf.DUMMYFUNCTION("""COMPUTED_VALUE"""),15)</f>
        <v>15</v>
      </c>
      <c r="D378" s="199" t="str">
        <f ca="1">IFERROR(__xludf.DUMMYFUNCTION("""COMPUTED_VALUE"""),"G")</f>
        <v>G</v>
      </c>
      <c r="E378" s="202" t="str">
        <f ca="1">IFERROR(__xludf.DUMMYFUNCTION("""COMPUTED_VALUE"""),"S")</f>
        <v>S</v>
      </c>
      <c r="F378" s="202" t="str">
        <f ca="1">IFERROR(__xludf.DUMMYFUNCTION("""COMPUTED_VALUE"""),"S")</f>
        <v>S</v>
      </c>
      <c r="G378" s="202">
        <f ca="1">IFERROR(__xludf.DUMMYFUNCTION("""COMPUTED_VALUE"""),4)</f>
        <v>4</v>
      </c>
      <c r="H378" s="206">
        <v>111.35</v>
      </c>
      <c r="I378" s="206"/>
      <c r="J378" s="206" t="s">
        <v>121</v>
      </c>
      <c r="K378" s="206"/>
      <c r="L378" s="206" t="str">
        <v xml:space="preserve"> 111.35</v>
      </c>
      <c r="M378" s="206" t="str">
        <v/>
      </c>
    </row>
    <row r="379" spans="1:13" ht="14.4">
      <c r="A379" s="199" t="str">
        <f ca="1">IFERROR(__xludf.DUMMYFUNCTION("""COMPUTED_VALUE"""),"DH")</f>
        <v>DH</v>
      </c>
      <c r="B379" s="207" t="str">
        <f ca="1">IFERROR(__xludf.DUMMYFUNCTION("""COMPUTED_VALUE"""),"Ellie Joyce")</f>
        <v>Ellie Joyce</v>
      </c>
      <c r="C379" s="199">
        <f ca="1">IFERROR(__xludf.DUMMYFUNCTION("""COMPUTED_VALUE"""),15)</f>
        <v>15</v>
      </c>
      <c r="D379" s="199" t="str">
        <f ca="1">IFERROR(__xludf.DUMMYFUNCTION("""COMPUTED_VALUE"""),"G")</f>
        <v>G</v>
      </c>
      <c r="E379" s="202" t="str">
        <f ca="1">IFERROR(__xludf.DUMMYFUNCTION("""COMPUTED_VALUE"""),"S")</f>
        <v>S</v>
      </c>
      <c r="F379" s="202" t="str">
        <f ca="1">IFERROR(__xludf.DUMMYFUNCTION("""COMPUTED_VALUE"""),"S")</f>
        <v>S</v>
      </c>
      <c r="G379" s="202">
        <f ca="1">IFERROR(__xludf.DUMMYFUNCTION("""COMPUTED_VALUE"""),4)</f>
        <v>4</v>
      </c>
      <c r="H379" s="206">
        <v>235.3</v>
      </c>
      <c r="I379" s="206"/>
      <c r="J379" s="206" t="s">
        <v>121</v>
      </c>
      <c r="K379" s="206"/>
      <c r="L379" s="206" t="str">
        <v xml:space="preserve"> 235.3</v>
      </c>
      <c r="M379" s="206" t="str">
        <v/>
      </c>
    </row>
    <row r="380" spans="1:13" ht="14.4">
      <c r="A380" s="199" t="str">
        <f ca="1">IFERROR(__xludf.DUMMYFUNCTION("""COMPUTED_VALUE"""),"DH")</f>
        <v>DH</v>
      </c>
      <c r="B380" s="207" t="str">
        <f ca="1">IFERROR(__xludf.DUMMYFUNCTION("""COMPUTED_VALUE"""),"Ellie Potts")</f>
        <v>Ellie Potts</v>
      </c>
      <c r="C380" s="199">
        <f ca="1">IFERROR(__xludf.DUMMYFUNCTION("""COMPUTED_VALUE"""),16)</f>
        <v>16</v>
      </c>
      <c r="D380" s="199" t="str">
        <f ca="1">IFERROR(__xludf.DUMMYFUNCTION("""COMPUTED_VALUE"""),"G")</f>
        <v>G</v>
      </c>
      <c r="E380" s="202" t="str">
        <f ca="1">IFERROR(__xludf.DUMMYFUNCTION("""COMPUTED_VALUE"""),"S")</f>
        <v>S</v>
      </c>
      <c r="F380" s="202" t="str">
        <f ca="1">IFERROR(__xludf.DUMMYFUNCTION("""COMPUTED_VALUE"""),"S")</f>
        <v>S</v>
      </c>
      <c r="G380" s="202">
        <f ca="1">IFERROR(__xludf.DUMMYFUNCTION("""COMPUTED_VALUE"""),4)</f>
        <v>4</v>
      </c>
      <c r="H380" s="206">
        <v>115.8</v>
      </c>
      <c r="I380" s="206"/>
      <c r="J380" s="206" t="s">
        <v>121</v>
      </c>
      <c r="K380" s="206"/>
      <c r="L380" s="206" t="str">
        <v xml:space="preserve"> 115.8</v>
      </c>
      <c r="M380" s="206" t="str">
        <v/>
      </c>
    </row>
    <row r="381" spans="1:13" ht="14.4">
      <c r="A381" s="199" t="str">
        <f ca="1">IFERROR(__xludf.DUMMYFUNCTION("""COMPUTED_VALUE"""),"DH")</f>
        <v>DH</v>
      </c>
      <c r="B381" s="207" t="str">
        <f ca="1">IFERROR(__xludf.DUMMYFUNCTION("""COMPUTED_VALUE"""),"Grace Dennis")</f>
        <v>Grace Dennis</v>
      </c>
      <c r="C381" s="199">
        <f ca="1">IFERROR(__xludf.DUMMYFUNCTION("""COMPUTED_VALUE"""),17)</f>
        <v>17</v>
      </c>
      <c r="D381" s="199" t="str">
        <f ca="1">IFERROR(__xludf.DUMMYFUNCTION("""COMPUTED_VALUE"""),"G")</f>
        <v>G</v>
      </c>
      <c r="E381" s="202" t="str">
        <f ca="1">IFERROR(__xludf.DUMMYFUNCTION("""COMPUTED_VALUE"""),"S")</f>
        <v>S</v>
      </c>
      <c r="F381" s="202" t="str">
        <f ca="1">IFERROR(__xludf.DUMMYFUNCTION("""COMPUTED_VALUE"""),"S")</f>
        <v>S</v>
      </c>
      <c r="G381" s="202">
        <f ca="1">IFERROR(__xludf.DUMMYFUNCTION("""COMPUTED_VALUE"""),4)</f>
        <v>4</v>
      </c>
      <c r="H381" s="208"/>
      <c r="I381" s="208"/>
      <c r="J381" s="208"/>
      <c r="K381" s="208"/>
      <c r="L381" s="208" t="str">
        <v/>
      </c>
      <c r="M381" s="208" t="str">
        <v/>
      </c>
    </row>
    <row r="382" spans="1:13" ht="14.4">
      <c r="A382" s="199" t="str">
        <f ca="1">IFERROR(__xludf.DUMMYFUNCTION("""COMPUTED_VALUE"""),"DH")</f>
        <v>DH</v>
      </c>
      <c r="B382" s="207" t="str">
        <f ca="1">IFERROR(__xludf.DUMMYFUNCTION("""COMPUTED_VALUE"""),"Morgan Leathwood")</f>
        <v>Morgan Leathwood</v>
      </c>
      <c r="C382" s="199">
        <f ca="1">IFERROR(__xludf.DUMMYFUNCTION("""COMPUTED_VALUE"""),15)</f>
        <v>15</v>
      </c>
      <c r="D382" s="199" t="str">
        <f ca="1">IFERROR(__xludf.DUMMYFUNCTION("""COMPUTED_VALUE"""),"G")</f>
        <v>G</v>
      </c>
      <c r="E382" s="202" t="str">
        <f ca="1">IFERROR(__xludf.DUMMYFUNCTION("""COMPUTED_VALUE"""),"S")</f>
        <v>S</v>
      </c>
      <c r="F382" s="202" t="str">
        <f ca="1">IFERROR(__xludf.DUMMYFUNCTION("""COMPUTED_VALUE"""),"S")</f>
        <v>S</v>
      </c>
      <c r="G382" s="202">
        <f ca="1">IFERROR(__xludf.DUMMYFUNCTION("""COMPUTED_VALUE"""),4)</f>
        <v>4</v>
      </c>
      <c r="H382" s="206"/>
      <c r="I382" s="206"/>
      <c r="J382" s="206"/>
      <c r="K382" s="206"/>
      <c r="L382" s="206" t="str">
        <v/>
      </c>
      <c r="M382" s="206" t="str">
        <v/>
      </c>
    </row>
    <row r="383" spans="1:13" ht="14.4">
      <c r="A383" s="199" t="str">
        <f ca="1">IFERROR(__xludf.DUMMYFUNCTION("""COMPUTED_VALUE"""),"DH")</f>
        <v>DH</v>
      </c>
      <c r="B383" s="207" t="str">
        <f ca="1">IFERROR(__xludf.DUMMYFUNCTION("""COMPUTED_VALUE"""),"Riley Shelton")</f>
        <v>Riley Shelton</v>
      </c>
      <c r="C383" s="199">
        <f ca="1">IFERROR(__xludf.DUMMYFUNCTION("""COMPUTED_VALUE"""),16)</f>
        <v>16</v>
      </c>
      <c r="D383" s="199" t="str">
        <f ca="1">IFERROR(__xludf.DUMMYFUNCTION("""COMPUTED_VALUE"""),"G")</f>
        <v>G</v>
      </c>
      <c r="E383" s="202" t="str">
        <f ca="1">IFERROR(__xludf.DUMMYFUNCTION("""COMPUTED_VALUE"""),"S")</f>
        <v>S</v>
      </c>
      <c r="F383" s="202" t="str">
        <f ca="1">IFERROR(__xludf.DUMMYFUNCTION("""COMPUTED_VALUE"""),"S")</f>
        <v>S</v>
      </c>
      <c r="G383" s="202">
        <f ca="1">IFERROR(__xludf.DUMMYFUNCTION("""COMPUTED_VALUE"""),4)</f>
        <v>4</v>
      </c>
      <c r="H383" s="206">
        <v>125.65</v>
      </c>
      <c r="I383" s="206"/>
      <c r="J383" s="206" t="s">
        <v>121</v>
      </c>
      <c r="K383" s="206"/>
      <c r="L383" s="206" t="str">
        <v xml:space="preserve"> 125.65</v>
      </c>
      <c r="M383" s="206" t="str">
        <v/>
      </c>
    </row>
    <row r="384" spans="1:13" ht="14.4">
      <c r="A384" s="199" t="str">
        <f ca="1">IFERROR(__xludf.DUMMYFUNCTION("""COMPUTED_VALUE"""),"DH")</f>
        <v>DH</v>
      </c>
      <c r="B384" s="207" t="str">
        <f ca="1">IFERROR(__xludf.DUMMYFUNCTION("""COMPUTED_VALUE"""),"Sarah Low")</f>
        <v>Sarah Low</v>
      </c>
      <c r="C384" s="199">
        <f ca="1">IFERROR(__xludf.DUMMYFUNCTION("""COMPUTED_VALUE"""),17)</f>
        <v>17</v>
      </c>
      <c r="D384" s="199" t="str">
        <f ca="1">IFERROR(__xludf.DUMMYFUNCTION("""COMPUTED_VALUE"""),"G")</f>
        <v>G</v>
      </c>
      <c r="E384" s="202" t="str">
        <f ca="1">IFERROR(__xludf.DUMMYFUNCTION("""COMPUTED_VALUE"""),"S")</f>
        <v>S</v>
      </c>
      <c r="F384" s="202" t="str">
        <f ca="1">IFERROR(__xludf.DUMMYFUNCTION("""COMPUTED_VALUE"""),"S")</f>
        <v>S</v>
      </c>
      <c r="G384" s="202">
        <f ca="1">IFERROR(__xludf.DUMMYFUNCTION("""COMPUTED_VALUE"""),4)</f>
        <v>4</v>
      </c>
      <c r="H384" s="208"/>
      <c r="I384" s="208"/>
      <c r="J384" s="208"/>
      <c r="K384" s="208"/>
      <c r="L384" s="208" t="str">
        <v/>
      </c>
      <c r="M384" s="208" t="str">
        <v/>
      </c>
    </row>
    <row r="385" spans="1:13" ht="14.4">
      <c r="A385" s="199" t="str">
        <f ca="1">IFERROR(__xludf.DUMMYFUNCTION("""COMPUTED_VALUE"""),"DL")</f>
        <v>DL</v>
      </c>
      <c r="B385" s="207" t="str">
        <f ca="1">IFERROR(__xludf.DUMMYFUNCTION("""COMPUTED_VALUE"""),"Braeden Epley")</f>
        <v>Braeden Epley</v>
      </c>
      <c r="C385" s="199">
        <f ca="1">IFERROR(__xludf.DUMMYFUNCTION("""COMPUTED_VALUE"""),8)</f>
        <v>8</v>
      </c>
      <c r="D385" s="199" t="str">
        <f ca="1">IFERROR(__xludf.DUMMYFUNCTION("""COMPUTED_VALUE"""),"B")</f>
        <v>B</v>
      </c>
      <c r="E385" s="202" t="str">
        <f ca="1">IFERROR(__xludf.DUMMYFUNCTION("""COMPUTED_VALUE"""),"F")</f>
        <v>F</v>
      </c>
      <c r="F385" s="202" t="str">
        <f ca="1">IFERROR(__xludf.DUMMYFUNCTION("""COMPUTED_VALUE"""),"J")</f>
        <v>J</v>
      </c>
      <c r="G385" s="202">
        <f ca="1">IFERROR(__xludf.DUMMYFUNCTION("""COMPUTED_VALUE"""),1)</f>
        <v>1</v>
      </c>
      <c r="H385" s="206"/>
      <c r="I385" s="206"/>
      <c r="J385" s="206"/>
      <c r="K385" s="206"/>
      <c r="L385" s="206" t="str">
        <v/>
      </c>
      <c r="M385" s="206" t="str">
        <v/>
      </c>
    </row>
    <row r="386" spans="1:13" ht="14.4">
      <c r="A386" s="199" t="str">
        <f ca="1">IFERROR(__xludf.DUMMYFUNCTION("""COMPUTED_VALUE"""),"DL")</f>
        <v>DL</v>
      </c>
      <c r="B386" s="207" t="str">
        <f ca="1">IFERROR(__xludf.DUMMYFUNCTION("""COMPUTED_VALUE"""),"Demir Ross")</f>
        <v>Demir Ross</v>
      </c>
      <c r="C386" s="199">
        <f ca="1">IFERROR(__xludf.DUMMYFUNCTION("""COMPUTED_VALUE"""),10)</f>
        <v>10</v>
      </c>
      <c r="D386" s="199" t="str">
        <f ca="1">IFERROR(__xludf.DUMMYFUNCTION("""COMPUTED_VALUE"""),"B")</f>
        <v>B</v>
      </c>
      <c r="E386" s="202" t="str">
        <f ca="1">IFERROR(__xludf.DUMMYFUNCTION("""COMPUTED_VALUE"""),"F")</f>
        <v>F</v>
      </c>
      <c r="F386" s="202" t="str">
        <f ca="1">IFERROR(__xludf.DUMMYFUNCTION("""COMPUTED_VALUE"""),"J")</f>
        <v>J</v>
      </c>
      <c r="G386" s="202">
        <f ca="1">IFERROR(__xludf.DUMMYFUNCTION("""COMPUTED_VALUE"""),1)</f>
        <v>1</v>
      </c>
      <c r="H386" s="208"/>
      <c r="I386" s="208"/>
      <c r="J386" s="208"/>
      <c r="K386" s="208"/>
      <c r="L386" s="208" t="str">
        <v/>
      </c>
      <c r="M386" s="208" t="str">
        <v/>
      </c>
    </row>
    <row r="387" spans="1:13" ht="14.4">
      <c r="A387" s="199" t="str">
        <f ca="1">IFERROR(__xludf.DUMMYFUNCTION("""COMPUTED_VALUE"""),"DL")</f>
        <v>DL</v>
      </c>
      <c r="B387" s="207" t="str">
        <f ca="1">IFERROR(__xludf.DUMMYFUNCTION("""COMPUTED_VALUE"""),"Ethan Ahasan")</f>
        <v>Ethan Ahasan</v>
      </c>
      <c r="C387" s="199">
        <f ca="1">IFERROR(__xludf.DUMMYFUNCTION("""COMPUTED_VALUE"""),7)</f>
        <v>7</v>
      </c>
      <c r="D387" s="199" t="str">
        <f ca="1">IFERROR(__xludf.DUMMYFUNCTION("""COMPUTED_VALUE"""),"B")</f>
        <v>B</v>
      </c>
      <c r="E387" s="202" t="str">
        <f ca="1">IFERROR(__xludf.DUMMYFUNCTION("""COMPUTED_VALUE"""),"F")</f>
        <v>F</v>
      </c>
      <c r="F387" s="202" t="str">
        <f ca="1">IFERROR(__xludf.DUMMYFUNCTION("""COMPUTED_VALUE"""),"J")</f>
        <v>J</v>
      </c>
      <c r="G387" s="202">
        <f ca="1">IFERROR(__xludf.DUMMYFUNCTION("""COMPUTED_VALUE"""),1)</f>
        <v>1</v>
      </c>
      <c r="H387" s="206"/>
      <c r="I387" s="206"/>
      <c r="J387" s="206"/>
      <c r="K387" s="206"/>
      <c r="L387" s="206" t="str">
        <v/>
      </c>
      <c r="M387" s="206" t="str">
        <v/>
      </c>
    </row>
    <row r="388" spans="1:13" ht="14.4">
      <c r="A388" s="199" t="str">
        <f ca="1">IFERROR(__xludf.DUMMYFUNCTION("""COMPUTED_VALUE"""),"DL")</f>
        <v>DL</v>
      </c>
      <c r="B388" s="207" t="str">
        <f ca="1">IFERROR(__xludf.DUMMYFUNCTION("""COMPUTED_VALUE"""),"George Miller")</f>
        <v>George Miller</v>
      </c>
      <c r="C388" s="199">
        <f ca="1">IFERROR(__xludf.DUMMYFUNCTION("""COMPUTED_VALUE"""),10)</f>
        <v>10</v>
      </c>
      <c r="D388" s="199" t="str">
        <f ca="1">IFERROR(__xludf.DUMMYFUNCTION("""COMPUTED_VALUE"""),"B")</f>
        <v>B</v>
      </c>
      <c r="E388" s="202" t="str">
        <f ca="1">IFERROR(__xludf.DUMMYFUNCTION("""COMPUTED_VALUE"""),"F")</f>
        <v>F</v>
      </c>
      <c r="F388" s="202" t="str">
        <f ca="1">IFERROR(__xludf.DUMMYFUNCTION("""COMPUTED_VALUE"""),"J")</f>
        <v>J</v>
      </c>
      <c r="G388" s="202">
        <f ca="1">IFERROR(__xludf.DUMMYFUNCTION("""COMPUTED_VALUE"""),1)</f>
        <v>1</v>
      </c>
      <c r="H388" s="208"/>
      <c r="I388" s="208">
        <v>81.150000000000006</v>
      </c>
      <c r="J388" s="208"/>
      <c r="K388" s="208" t="s">
        <v>121</v>
      </c>
      <c r="L388" s="208" t="str">
        <v xml:space="preserve"> 81.15</v>
      </c>
      <c r="M388" s="208" t="str">
        <v/>
      </c>
    </row>
    <row r="389" spans="1:13" ht="14.4">
      <c r="A389" s="199" t="str">
        <f ca="1">IFERROR(__xludf.DUMMYFUNCTION("""COMPUTED_VALUE"""),"DL")</f>
        <v>DL</v>
      </c>
      <c r="B389" s="207" t="str">
        <f ca="1">IFERROR(__xludf.DUMMYFUNCTION("""COMPUTED_VALUE"""),"Jacob Yang")</f>
        <v>Jacob Yang</v>
      </c>
      <c r="C389" s="199">
        <f ca="1">IFERROR(__xludf.DUMMYFUNCTION("""COMPUTED_VALUE"""),9)</f>
        <v>9</v>
      </c>
      <c r="D389" s="199" t="str">
        <f ca="1">IFERROR(__xludf.DUMMYFUNCTION("""COMPUTED_VALUE"""),"B")</f>
        <v>B</v>
      </c>
      <c r="E389" s="202" t="str">
        <f ca="1">IFERROR(__xludf.DUMMYFUNCTION("""COMPUTED_VALUE"""),"F")</f>
        <v>F</v>
      </c>
      <c r="F389" s="202" t="str">
        <f ca="1">IFERROR(__xludf.DUMMYFUNCTION("""COMPUTED_VALUE"""),"J")</f>
        <v>J</v>
      </c>
      <c r="G389" s="202">
        <f ca="1">IFERROR(__xludf.DUMMYFUNCTION("""COMPUTED_VALUE"""),1)</f>
        <v>1</v>
      </c>
      <c r="H389" s="208"/>
      <c r="I389" s="208">
        <v>34</v>
      </c>
      <c r="J389" s="208"/>
      <c r="K389" s="208" t="s">
        <v>121</v>
      </c>
      <c r="L389" s="208" t="str">
        <v xml:space="preserve"> 34</v>
      </c>
      <c r="M389" s="208" t="str">
        <v/>
      </c>
    </row>
    <row r="390" spans="1:13" ht="14.4">
      <c r="A390" s="199" t="str">
        <f ca="1">IFERROR(__xludf.DUMMYFUNCTION("""COMPUTED_VALUE"""),"DL")</f>
        <v>DL</v>
      </c>
      <c r="B390" s="207" t="str">
        <f ca="1">IFERROR(__xludf.DUMMYFUNCTION("""COMPUTED_VALUE"""),"Jeremy Yang")</f>
        <v>Jeremy Yang</v>
      </c>
      <c r="C390" s="199">
        <f ca="1">IFERROR(__xludf.DUMMYFUNCTION("""COMPUTED_VALUE"""),7)</f>
        <v>7</v>
      </c>
      <c r="D390" s="199" t="str">
        <f ca="1">IFERROR(__xludf.DUMMYFUNCTION("""COMPUTED_VALUE"""),"B")</f>
        <v>B</v>
      </c>
      <c r="E390" s="202" t="str">
        <f ca="1">IFERROR(__xludf.DUMMYFUNCTION("""COMPUTED_VALUE"""),"F")</f>
        <v>F</v>
      </c>
      <c r="F390" s="202" t="str">
        <f ca="1">IFERROR(__xludf.DUMMYFUNCTION("""COMPUTED_VALUE"""),"J")</f>
        <v>J</v>
      </c>
      <c r="G390" s="202">
        <f ca="1">IFERROR(__xludf.DUMMYFUNCTION("""COMPUTED_VALUE"""),1)</f>
        <v>1</v>
      </c>
      <c r="H390" s="206"/>
      <c r="I390" s="206">
        <v>33.450000000000003</v>
      </c>
      <c r="J390" s="206"/>
      <c r="K390" s="206" t="s">
        <v>121</v>
      </c>
      <c r="L390" s="206" t="str">
        <v xml:space="preserve"> 33.45</v>
      </c>
      <c r="M390" s="206" t="str">
        <v/>
      </c>
    </row>
    <row r="391" spans="1:13" ht="14.4">
      <c r="A391" s="199" t="str">
        <f ca="1">IFERROR(__xludf.DUMMYFUNCTION("""COMPUTED_VALUE"""),"DL")</f>
        <v>DL</v>
      </c>
      <c r="B391" s="207" t="str">
        <f ca="1">IFERROR(__xludf.DUMMYFUNCTION("""COMPUTED_VALUE"""),"Kai Jones")</f>
        <v>Kai Jones</v>
      </c>
      <c r="C391" s="199">
        <f ca="1">IFERROR(__xludf.DUMMYFUNCTION("""COMPUTED_VALUE"""),8)</f>
        <v>8</v>
      </c>
      <c r="D391" s="199" t="str">
        <f ca="1">IFERROR(__xludf.DUMMYFUNCTION("""COMPUTED_VALUE"""),"B")</f>
        <v>B</v>
      </c>
      <c r="E391" s="202" t="str">
        <f ca="1">IFERROR(__xludf.DUMMYFUNCTION("""COMPUTED_VALUE"""),"F")</f>
        <v>F</v>
      </c>
      <c r="F391" s="202" t="str">
        <f ca="1">IFERROR(__xludf.DUMMYFUNCTION("""COMPUTED_VALUE"""),"J")</f>
        <v>J</v>
      </c>
      <c r="G391" s="202">
        <f ca="1">IFERROR(__xludf.DUMMYFUNCTION("""COMPUTED_VALUE"""),1)</f>
        <v>1</v>
      </c>
      <c r="H391" s="206"/>
      <c r="I391" s="206"/>
      <c r="J391" s="206"/>
      <c r="K391" s="206"/>
      <c r="L391" s="206" t="str">
        <v/>
      </c>
      <c r="M391" s="206" t="str">
        <v/>
      </c>
    </row>
    <row r="392" spans="1:13" ht="14.4">
      <c r="A392" s="199" t="str">
        <f ca="1">IFERROR(__xludf.DUMMYFUNCTION("""COMPUTED_VALUE"""),"DL")</f>
        <v>DL</v>
      </c>
      <c r="B392" s="207" t="str">
        <f ca="1">IFERROR(__xludf.DUMMYFUNCTION("""COMPUTED_VALUE"""),"Kalyan Choksi")</f>
        <v>Kalyan Choksi</v>
      </c>
      <c r="C392" s="199">
        <f ca="1">IFERROR(__xludf.DUMMYFUNCTION("""COMPUTED_VALUE"""),10)</f>
        <v>10</v>
      </c>
      <c r="D392" s="199" t="str">
        <f ca="1">IFERROR(__xludf.DUMMYFUNCTION("""COMPUTED_VALUE"""),"B")</f>
        <v>B</v>
      </c>
      <c r="E392" s="202" t="str">
        <f ca="1">IFERROR(__xludf.DUMMYFUNCTION("""COMPUTED_VALUE"""),"F")</f>
        <v>F</v>
      </c>
      <c r="F392" s="202" t="str">
        <f ca="1">IFERROR(__xludf.DUMMYFUNCTION("""COMPUTED_VALUE"""),"J")</f>
        <v>J</v>
      </c>
      <c r="G392" s="202">
        <f ca="1">IFERROR(__xludf.DUMMYFUNCTION("""COMPUTED_VALUE"""),1)</f>
        <v>1</v>
      </c>
      <c r="H392" s="206"/>
      <c r="I392" s="206"/>
      <c r="J392" s="206"/>
      <c r="K392" s="206"/>
      <c r="L392" s="206" t="str">
        <v/>
      </c>
      <c r="M392" s="206" t="str">
        <v/>
      </c>
    </row>
    <row r="393" spans="1:13" ht="14.4">
      <c r="A393" s="199" t="str">
        <f ca="1">IFERROR(__xludf.DUMMYFUNCTION("""COMPUTED_VALUE"""),"DL")</f>
        <v>DL</v>
      </c>
      <c r="B393" s="207" t="str">
        <f ca="1">IFERROR(__xludf.DUMMYFUNCTION("""COMPUTED_VALUE"""),"Laszlo Matias")</f>
        <v>Laszlo Matias</v>
      </c>
      <c r="C393" s="199">
        <f ca="1">IFERROR(__xludf.DUMMYFUNCTION("""COMPUTED_VALUE"""),8)</f>
        <v>8</v>
      </c>
      <c r="D393" s="199" t="str">
        <f ca="1">IFERROR(__xludf.DUMMYFUNCTION("""COMPUTED_VALUE"""),"B")</f>
        <v>B</v>
      </c>
      <c r="E393" s="202" t="str">
        <f ca="1">IFERROR(__xludf.DUMMYFUNCTION("""COMPUTED_VALUE"""),"F")</f>
        <v>F</v>
      </c>
      <c r="F393" s="202" t="str">
        <f ca="1">IFERROR(__xludf.DUMMYFUNCTION("""COMPUTED_VALUE"""),"J")</f>
        <v>J</v>
      </c>
      <c r="G393" s="202">
        <f ca="1">IFERROR(__xludf.DUMMYFUNCTION("""COMPUTED_VALUE"""),1)</f>
        <v>1</v>
      </c>
      <c r="H393" s="206"/>
      <c r="I393" s="206"/>
      <c r="J393" s="206"/>
      <c r="K393" s="206"/>
      <c r="L393" s="206" t="str">
        <v/>
      </c>
      <c r="M393" s="206" t="str">
        <v/>
      </c>
    </row>
    <row r="394" spans="1:13" ht="14.4">
      <c r="A394" s="199" t="str">
        <f ca="1">IFERROR(__xludf.DUMMYFUNCTION("""COMPUTED_VALUE"""),"DL")</f>
        <v>DL</v>
      </c>
      <c r="B394" s="207" t="str">
        <f ca="1">IFERROR(__xludf.DUMMYFUNCTION("""COMPUTED_VALUE"""),"Owen Eastep")</f>
        <v>Owen Eastep</v>
      </c>
      <c r="C394" s="199">
        <f ca="1">IFERROR(__xludf.DUMMYFUNCTION("""COMPUTED_VALUE"""),9)</f>
        <v>9</v>
      </c>
      <c r="D394" s="199" t="str">
        <f ca="1">IFERROR(__xludf.DUMMYFUNCTION("""COMPUTED_VALUE"""),"B")</f>
        <v>B</v>
      </c>
      <c r="E394" s="202" t="str">
        <f ca="1">IFERROR(__xludf.DUMMYFUNCTION("""COMPUTED_VALUE"""),"F")</f>
        <v>F</v>
      </c>
      <c r="F394" s="202" t="str">
        <f ca="1">IFERROR(__xludf.DUMMYFUNCTION("""COMPUTED_VALUE"""),"J")</f>
        <v>J</v>
      </c>
      <c r="G394" s="202">
        <f ca="1">IFERROR(__xludf.DUMMYFUNCTION("""COMPUTED_VALUE"""),1)</f>
        <v>1</v>
      </c>
      <c r="H394" s="208"/>
      <c r="I394" s="208"/>
      <c r="J394" s="208"/>
      <c r="K394" s="208"/>
      <c r="L394" s="208" t="str">
        <v/>
      </c>
      <c r="M394" s="208" t="str">
        <v/>
      </c>
    </row>
    <row r="395" spans="1:13" ht="14.4">
      <c r="A395" s="199" t="str">
        <f ca="1">IFERROR(__xludf.DUMMYFUNCTION("""COMPUTED_VALUE"""),"DL")</f>
        <v>DL</v>
      </c>
      <c r="B395" s="207" t="str">
        <f ca="1">IFERROR(__xludf.DUMMYFUNCTION("""COMPUTED_VALUE"""),"Ryan Linegang")</f>
        <v>Ryan Linegang</v>
      </c>
      <c r="C395" s="199">
        <f ca="1">IFERROR(__xludf.DUMMYFUNCTION("""COMPUTED_VALUE"""),7)</f>
        <v>7</v>
      </c>
      <c r="D395" s="199" t="str">
        <f ca="1">IFERROR(__xludf.DUMMYFUNCTION("""COMPUTED_VALUE"""),"B")</f>
        <v>B</v>
      </c>
      <c r="E395" s="202" t="str">
        <f ca="1">IFERROR(__xludf.DUMMYFUNCTION("""COMPUTED_VALUE"""),"F")</f>
        <v>F</v>
      </c>
      <c r="F395" s="202" t="str">
        <f ca="1">IFERROR(__xludf.DUMMYFUNCTION("""COMPUTED_VALUE"""),"J")</f>
        <v>J</v>
      </c>
      <c r="G395" s="202">
        <f ca="1">IFERROR(__xludf.DUMMYFUNCTION("""COMPUTED_VALUE"""),1)</f>
        <v>1</v>
      </c>
      <c r="H395" s="206"/>
      <c r="I395" s="206"/>
      <c r="J395" s="206"/>
      <c r="K395" s="206"/>
      <c r="L395" s="206" t="str">
        <v/>
      </c>
      <c r="M395" s="206" t="str">
        <v/>
      </c>
    </row>
    <row r="396" spans="1:13" ht="14.4">
      <c r="A396" s="199" t="str">
        <f ca="1">IFERROR(__xludf.DUMMYFUNCTION("""COMPUTED_VALUE"""),"DL")</f>
        <v>DL</v>
      </c>
      <c r="B396" s="207" t="str">
        <f ca="1">IFERROR(__xludf.DUMMYFUNCTION("""COMPUTED_VALUE"""),"Ryan Martonik")</f>
        <v>Ryan Martonik</v>
      </c>
      <c r="C396" s="199">
        <f ca="1">IFERROR(__xludf.DUMMYFUNCTION("""COMPUTED_VALUE"""),7)</f>
        <v>7</v>
      </c>
      <c r="D396" s="199" t="str">
        <f ca="1">IFERROR(__xludf.DUMMYFUNCTION("""COMPUTED_VALUE"""),"B")</f>
        <v>B</v>
      </c>
      <c r="E396" s="202" t="str">
        <f ca="1">IFERROR(__xludf.DUMMYFUNCTION("""COMPUTED_VALUE"""),"F")</f>
        <v>F</v>
      </c>
      <c r="F396" s="202" t="str">
        <f ca="1">IFERROR(__xludf.DUMMYFUNCTION("""COMPUTED_VALUE"""),"J")</f>
        <v>J</v>
      </c>
      <c r="G396" s="202">
        <f ca="1">IFERROR(__xludf.DUMMYFUNCTION("""COMPUTED_VALUE"""),1)</f>
        <v>1</v>
      </c>
      <c r="H396" s="208"/>
      <c r="I396" s="208"/>
      <c r="J396" s="208"/>
      <c r="K396" s="208"/>
      <c r="L396" s="208" t="str">
        <v/>
      </c>
      <c r="M396" s="208" t="str">
        <v/>
      </c>
    </row>
    <row r="397" spans="1:13" ht="14.4">
      <c r="A397" s="199" t="str">
        <f ca="1">IFERROR(__xludf.DUMMYFUNCTION("""COMPUTED_VALUE"""),"DL")</f>
        <v>DL</v>
      </c>
      <c r="B397" s="207" t="str">
        <f ca="1">IFERROR(__xludf.DUMMYFUNCTION("""COMPUTED_VALUE"""),"Salvatore Matias")</f>
        <v>Salvatore Matias</v>
      </c>
      <c r="C397" s="199">
        <f ca="1">IFERROR(__xludf.DUMMYFUNCTION("""COMPUTED_VALUE"""),7)</f>
        <v>7</v>
      </c>
      <c r="D397" s="199" t="str">
        <f ca="1">IFERROR(__xludf.DUMMYFUNCTION("""COMPUTED_VALUE"""),"B")</f>
        <v>B</v>
      </c>
      <c r="E397" s="202" t="str">
        <f ca="1">IFERROR(__xludf.DUMMYFUNCTION("""COMPUTED_VALUE"""),"F")</f>
        <v>F</v>
      </c>
      <c r="F397" s="202" t="str">
        <f ca="1">IFERROR(__xludf.DUMMYFUNCTION("""COMPUTED_VALUE"""),"J")</f>
        <v>J</v>
      </c>
      <c r="G397" s="202">
        <f ca="1">IFERROR(__xludf.DUMMYFUNCTION("""COMPUTED_VALUE"""),1)</f>
        <v>1</v>
      </c>
      <c r="H397" s="206"/>
      <c r="I397" s="206"/>
      <c r="J397" s="206"/>
      <c r="K397" s="206"/>
      <c r="L397" s="206" t="str">
        <v/>
      </c>
      <c r="M397" s="206" t="str">
        <v/>
      </c>
    </row>
    <row r="398" spans="1:13" ht="14.4">
      <c r="A398" s="199" t="str">
        <f ca="1">IFERROR(__xludf.DUMMYFUNCTION("""COMPUTED_VALUE"""),"DL")</f>
        <v>DL</v>
      </c>
      <c r="B398" s="207" t="str">
        <f ca="1">IFERROR(__xludf.DUMMYFUNCTION("""COMPUTED_VALUE"""),"Shaan Krishnan")</f>
        <v>Shaan Krishnan</v>
      </c>
      <c r="C398" s="199">
        <f ca="1">IFERROR(__xludf.DUMMYFUNCTION("""COMPUTED_VALUE"""),8)</f>
        <v>8</v>
      </c>
      <c r="D398" s="199" t="str">
        <f ca="1">IFERROR(__xludf.DUMMYFUNCTION("""COMPUTED_VALUE"""),"B")</f>
        <v>B</v>
      </c>
      <c r="E398" s="202" t="str">
        <f ca="1">IFERROR(__xludf.DUMMYFUNCTION("""COMPUTED_VALUE"""),"F")</f>
        <v>F</v>
      </c>
      <c r="F398" s="202" t="str">
        <f ca="1">IFERROR(__xludf.DUMMYFUNCTION("""COMPUTED_VALUE"""),"J")</f>
        <v>J</v>
      </c>
      <c r="G398" s="202">
        <f ca="1">IFERROR(__xludf.DUMMYFUNCTION("""COMPUTED_VALUE"""),1)</f>
        <v>1</v>
      </c>
      <c r="H398" s="206"/>
      <c r="I398" s="206"/>
      <c r="J398" s="206"/>
      <c r="K398" s="206"/>
      <c r="L398" s="206" t="str">
        <v/>
      </c>
      <c r="M398" s="206" t="str">
        <v/>
      </c>
    </row>
    <row r="399" spans="1:13" ht="14.4">
      <c r="A399" s="199" t="str">
        <f ca="1">IFERROR(__xludf.DUMMYFUNCTION("""COMPUTED_VALUE"""),"DL")</f>
        <v>DL</v>
      </c>
      <c r="B399" s="207" t="str">
        <f ca="1">IFERROR(__xludf.DUMMYFUNCTION("""COMPUTED_VALUE"""),"Teagan Lavin")</f>
        <v>Teagan Lavin</v>
      </c>
      <c r="C399" s="199">
        <f ca="1">IFERROR(__xludf.DUMMYFUNCTION("""COMPUTED_VALUE"""),8)</f>
        <v>8</v>
      </c>
      <c r="D399" s="199" t="str">
        <f ca="1">IFERROR(__xludf.DUMMYFUNCTION("""COMPUTED_VALUE"""),"B")</f>
        <v>B</v>
      </c>
      <c r="E399" s="202" t="str">
        <f ca="1">IFERROR(__xludf.DUMMYFUNCTION("""COMPUTED_VALUE"""),"F")</f>
        <v>F</v>
      </c>
      <c r="F399" s="202" t="str">
        <f ca="1">IFERROR(__xludf.DUMMYFUNCTION("""COMPUTED_VALUE"""),"J")</f>
        <v>J</v>
      </c>
      <c r="G399" s="202">
        <f ca="1">IFERROR(__xludf.DUMMYFUNCTION("""COMPUTED_VALUE"""),1)</f>
        <v>1</v>
      </c>
      <c r="H399" s="206"/>
      <c r="I399" s="206"/>
      <c r="J399" s="206"/>
      <c r="K399" s="206"/>
      <c r="L399" s="206" t="str">
        <v/>
      </c>
      <c r="M399" s="206" t="str">
        <v/>
      </c>
    </row>
    <row r="400" spans="1:13" ht="14.4">
      <c r="A400" s="199" t="str">
        <f ca="1">IFERROR(__xludf.DUMMYFUNCTION("""COMPUTED_VALUE"""),"DL")</f>
        <v>DL</v>
      </c>
      <c r="B400" s="207" t="str">
        <f ca="1">IFERROR(__xludf.DUMMYFUNCTION("""COMPUTED_VALUE"""),"TJ DeSando")</f>
        <v>TJ DeSando</v>
      </c>
      <c r="C400" s="199">
        <f ca="1">IFERROR(__xludf.DUMMYFUNCTION("""COMPUTED_VALUE"""),8)</f>
        <v>8</v>
      </c>
      <c r="D400" s="199" t="str">
        <f ca="1">IFERROR(__xludf.DUMMYFUNCTION("""COMPUTED_VALUE"""),"B")</f>
        <v>B</v>
      </c>
      <c r="E400" s="202" t="str">
        <f ca="1">IFERROR(__xludf.DUMMYFUNCTION("""COMPUTED_VALUE"""),"F")</f>
        <v>F</v>
      </c>
      <c r="F400" s="202" t="str">
        <f ca="1">IFERROR(__xludf.DUMMYFUNCTION("""COMPUTED_VALUE"""),"J")</f>
        <v>J</v>
      </c>
      <c r="G400" s="202">
        <f ca="1">IFERROR(__xludf.DUMMYFUNCTION("""COMPUTED_VALUE"""),1)</f>
        <v>1</v>
      </c>
      <c r="H400" s="206"/>
      <c r="I400" s="206"/>
      <c r="J400" s="206"/>
      <c r="K400" s="206"/>
      <c r="L400" s="206" t="str">
        <v/>
      </c>
      <c r="M400" s="206" t="str">
        <v/>
      </c>
    </row>
    <row r="401" spans="1:13" ht="14.4">
      <c r="A401" s="199" t="str">
        <f ca="1">IFERROR(__xludf.DUMMYFUNCTION("""COMPUTED_VALUE"""),"DL")</f>
        <v>DL</v>
      </c>
      <c r="B401" s="207" t="str">
        <f ca="1">IFERROR(__xludf.DUMMYFUNCTION("""COMPUTED_VALUE"""),"Webb Stewart")</f>
        <v>Webb Stewart</v>
      </c>
      <c r="C401" s="199">
        <f ca="1">IFERROR(__xludf.DUMMYFUNCTION("""COMPUTED_VALUE"""),10)</f>
        <v>10</v>
      </c>
      <c r="D401" s="199" t="str">
        <f ca="1">IFERROR(__xludf.DUMMYFUNCTION("""COMPUTED_VALUE"""),"B")</f>
        <v>B</v>
      </c>
      <c r="E401" s="202" t="str">
        <f ca="1">IFERROR(__xludf.DUMMYFUNCTION("""COMPUTED_VALUE"""),"F")</f>
        <v>F</v>
      </c>
      <c r="F401" s="202" t="str">
        <f ca="1">IFERROR(__xludf.DUMMYFUNCTION("""COMPUTED_VALUE"""),"J")</f>
        <v>J</v>
      </c>
      <c r="G401" s="202">
        <f ca="1">IFERROR(__xludf.DUMMYFUNCTION("""COMPUTED_VALUE"""),1)</f>
        <v>1</v>
      </c>
      <c r="H401" s="208"/>
      <c r="I401" s="208"/>
      <c r="J401" s="208"/>
      <c r="K401" s="208"/>
      <c r="L401" s="208" t="str">
        <v/>
      </c>
      <c r="M401" s="208" t="str">
        <v/>
      </c>
    </row>
    <row r="402" spans="1:13" ht="14.4">
      <c r="A402" s="199" t="str">
        <f ca="1">IFERROR(__xludf.DUMMYFUNCTION("""COMPUTED_VALUE"""),"DL")</f>
        <v>DL</v>
      </c>
      <c r="B402" s="207" t="str">
        <f ca="1">IFERROR(__xludf.DUMMYFUNCTION("""COMPUTED_VALUE"""),"Xander Miner")</f>
        <v>Xander Miner</v>
      </c>
      <c r="C402" s="199">
        <f ca="1">IFERROR(__xludf.DUMMYFUNCTION("""COMPUTED_VALUE"""),10)</f>
        <v>10</v>
      </c>
      <c r="D402" s="199" t="str">
        <f ca="1">IFERROR(__xludf.DUMMYFUNCTION("""COMPUTED_VALUE"""),"B")</f>
        <v>B</v>
      </c>
      <c r="E402" s="202" t="str">
        <f ca="1">IFERROR(__xludf.DUMMYFUNCTION("""COMPUTED_VALUE"""),"F")</f>
        <v>F</v>
      </c>
      <c r="F402" s="202" t="str">
        <f ca="1">IFERROR(__xludf.DUMMYFUNCTION("""COMPUTED_VALUE"""),"J")</f>
        <v>J</v>
      </c>
      <c r="G402" s="202">
        <f ca="1">IFERROR(__xludf.DUMMYFUNCTION("""COMPUTED_VALUE"""),1)</f>
        <v>1</v>
      </c>
      <c r="H402" s="206"/>
      <c r="I402" s="206"/>
      <c r="J402" s="206"/>
      <c r="K402" s="206"/>
      <c r="L402" s="206" t="str">
        <v/>
      </c>
      <c r="M402" s="206" t="str">
        <v/>
      </c>
    </row>
    <row r="403" spans="1:13" ht="14.4">
      <c r="A403" s="199" t="str">
        <f ca="1">IFERROR(__xludf.DUMMYFUNCTION("""COMPUTED_VALUE"""),"DL")</f>
        <v>DL</v>
      </c>
      <c r="B403" s="207" t="str">
        <f ca="1">IFERROR(__xludf.DUMMYFUNCTION("""COMPUTED_VALUE"""),"Zouli Alexandratos")</f>
        <v>Zouli Alexandratos</v>
      </c>
      <c r="C403" s="199">
        <f ca="1">IFERROR(__xludf.DUMMYFUNCTION("""COMPUTED_VALUE"""),10)</f>
        <v>10</v>
      </c>
      <c r="D403" s="199" t="str">
        <f ca="1">IFERROR(__xludf.DUMMYFUNCTION("""COMPUTED_VALUE"""),"B")</f>
        <v>B</v>
      </c>
      <c r="E403" s="202" t="str">
        <f ca="1">IFERROR(__xludf.DUMMYFUNCTION("""COMPUTED_VALUE"""),"F")</f>
        <v>F</v>
      </c>
      <c r="F403" s="202" t="str">
        <f ca="1">IFERROR(__xludf.DUMMYFUNCTION("""COMPUTED_VALUE"""),"J")</f>
        <v>J</v>
      </c>
      <c r="G403" s="202">
        <f ca="1">IFERROR(__xludf.DUMMYFUNCTION("""COMPUTED_VALUE"""),1)</f>
        <v>1</v>
      </c>
      <c r="H403" s="208"/>
      <c r="I403" s="208">
        <v>33.049999999999997</v>
      </c>
      <c r="J403" s="208"/>
      <c r="K403" s="208" t="s">
        <v>121</v>
      </c>
      <c r="L403" s="208" t="str">
        <v xml:space="preserve"> 33.05</v>
      </c>
      <c r="M403" s="208" t="str">
        <v/>
      </c>
    </row>
    <row r="404" spans="1:13" ht="14.4">
      <c r="A404" s="199" t="str">
        <f ca="1">IFERROR(__xludf.DUMMYFUNCTION("""COMPUTED_VALUE"""),"DL")</f>
        <v>DL</v>
      </c>
      <c r="B404" s="207" t="str">
        <f ca="1">IFERROR(__xludf.DUMMYFUNCTION("""COMPUTED_VALUE"""),"Addison Morgan")</f>
        <v>Addison Morgan</v>
      </c>
      <c r="C404" s="199">
        <f ca="1">IFERROR(__xludf.DUMMYFUNCTION("""COMPUTED_VALUE"""),8)</f>
        <v>8</v>
      </c>
      <c r="D404" s="199" t="str">
        <f ca="1">IFERROR(__xludf.DUMMYFUNCTION("""COMPUTED_VALUE"""),"G")</f>
        <v>G</v>
      </c>
      <c r="E404" s="202" t="str">
        <f ca="1">IFERROR(__xludf.DUMMYFUNCTION("""COMPUTED_VALUE"""),"F")</f>
        <v>F</v>
      </c>
      <c r="F404" s="202" t="str">
        <f ca="1">IFERROR(__xludf.DUMMYFUNCTION("""COMPUTED_VALUE"""),"J")</f>
        <v>J</v>
      </c>
      <c r="G404" s="202">
        <f ca="1">IFERROR(__xludf.DUMMYFUNCTION("""COMPUTED_VALUE"""),1)</f>
        <v>1</v>
      </c>
      <c r="H404" s="206"/>
      <c r="I404" s="206"/>
      <c r="J404" s="206"/>
      <c r="K404" s="206"/>
      <c r="L404" s="206" t="str">
        <v/>
      </c>
      <c r="M404" s="206" t="str">
        <v/>
      </c>
    </row>
    <row r="405" spans="1:13" ht="14.4">
      <c r="A405" s="199" t="str">
        <f ca="1">IFERROR(__xludf.DUMMYFUNCTION("""COMPUTED_VALUE"""),"DL")</f>
        <v>DL</v>
      </c>
      <c r="B405" s="207" t="str">
        <f ca="1">IFERROR(__xludf.DUMMYFUNCTION("""COMPUTED_VALUE"""),"Alaina Ramella")</f>
        <v>Alaina Ramella</v>
      </c>
      <c r="C405" s="199">
        <f ca="1">IFERROR(__xludf.DUMMYFUNCTION("""COMPUTED_VALUE"""),8)</f>
        <v>8</v>
      </c>
      <c r="D405" s="199" t="str">
        <f ca="1">IFERROR(__xludf.DUMMYFUNCTION("""COMPUTED_VALUE"""),"G")</f>
        <v>G</v>
      </c>
      <c r="E405" s="202" t="str">
        <f ca="1">IFERROR(__xludf.DUMMYFUNCTION("""COMPUTED_VALUE"""),"F")</f>
        <v>F</v>
      </c>
      <c r="F405" s="202" t="str">
        <f ca="1">IFERROR(__xludf.DUMMYFUNCTION("""COMPUTED_VALUE"""),"J")</f>
        <v>J</v>
      </c>
      <c r="G405" s="202">
        <f ca="1">IFERROR(__xludf.DUMMYFUNCTION("""COMPUTED_VALUE"""),1)</f>
        <v>1</v>
      </c>
      <c r="H405" s="206">
        <v>33.549999999999997</v>
      </c>
      <c r="I405" s="206"/>
      <c r="J405" s="206" t="s">
        <v>121</v>
      </c>
      <c r="K405" s="206"/>
      <c r="L405" s="206" t="str">
        <v xml:space="preserve"> 33.55</v>
      </c>
      <c r="M405" s="206" t="str">
        <v/>
      </c>
    </row>
    <row r="406" spans="1:13" ht="14.4">
      <c r="A406" s="199" t="str">
        <f ca="1">IFERROR(__xludf.DUMMYFUNCTION("""COMPUTED_VALUE"""),"DL")</f>
        <v>DL</v>
      </c>
      <c r="B406" s="207" t="str">
        <f ca="1">IFERROR(__xludf.DUMMYFUNCTION("""COMPUTED_VALUE"""),"Amelia Koch")</f>
        <v>Amelia Koch</v>
      </c>
      <c r="C406" s="199">
        <f ca="1">IFERROR(__xludf.DUMMYFUNCTION("""COMPUTED_VALUE"""),9)</f>
        <v>9</v>
      </c>
      <c r="D406" s="199" t="str">
        <f ca="1">IFERROR(__xludf.DUMMYFUNCTION("""COMPUTED_VALUE"""),"G")</f>
        <v>G</v>
      </c>
      <c r="E406" s="202" t="str">
        <f ca="1">IFERROR(__xludf.DUMMYFUNCTION("""COMPUTED_VALUE"""),"F")</f>
        <v>F</v>
      </c>
      <c r="F406" s="202" t="str">
        <f ca="1">IFERROR(__xludf.DUMMYFUNCTION("""COMPUTED_VALUE"""),"J")</f>
        <v>J</v>
      </c>
      <c r="G406" s="202">
        <f ca="1">IFERROR(__xludf.DUMMYFUNCTION("""COMPUTED_VALUE"""),1)</f>
        <v>1</v>
      </c>
      <c r="H406" s="208"/>
      <c r="I406" s="208"/>
      <c r="J406" s="208"/>
      <c r="K406" s="208"/>
      <c r="L406" s="208" t="str">
        <v/>
      </c>
      <c r="M406" s="208" t="str">
        <v/>
      </c>
    </row>
    <row r="407" spans="1:13" ht="14.4">
      <c r="A407" s="199" t="str">
        <f ca="1">IFERROR(__xludf.DUMMYFUNCTION("""COMPUTED_VALUE"""),"DL")</f>
        <v>DL</v>
      </c>
      <c r="B407" s="207" t="str">
        <f ca="1">IFERROR(__xludf.DUMMYFUNCTION("""COMPUTED_VALUE"""),"Ava Ramella")</f>
        <v>Ava Ramella</v>
      </c>
      <c r="C407" s="199">
        <f ca="1">IFERROR(__xludf.DUMMYFUNCTION("""COMPUTED_VALUE"""),8)</f>
        <v>8</v>
      </c>
      <c r="D407" s="199" t="str">
        <f ca="1">IFERROR(__xludf.DUMMYFUNCTION("""COMPUTED_VALUE"""),"G")</f>
        <v>G</v>
      </c>
      <c r="E407" s="202" t="str">
        <f ca="1">IFERROR(__xludf.DUMMYFUNCTION("""COMPUTED_VALUE"""),"F")</f>
        <v>F</v>
      </c>
      <c r="F407" s="202" t="str">
        <f ca="1">IFERROR(__xludf.DUMMYFUNCTION("""COMPUTED_VALUE"""),"J")</f>
        <v>J</v>
      </c>
      <c r="G407" s="202">
        <f ca="1">IFERROR(__xludf.DUMMYFUNCTION("""COMPUTED_VALUE"""),1)</f>
        <v>1</v>
      </c>
      <c r="H407" s="208">
        <v>27.25</v>
      </c>
      <c r="I407" s="208"/>
      <c r="J407" s="208" t="s">
        <v>121</v>
      </c>
      <c r="K407" s="208"/>
      <c r="L407" s="208" t="str">
        <v xml:space="preserve"> 27.25</v>
      </c>
      <c r="M407" s="208" t="str">
        <v/>
      </c>
    </row>
    <row r="408" spans="1:13" ht="14.4">
      <c r="A408" s="199" t="str">
        <f ca="1">IFERROR(__xludf.DUMMYFUNCTION("""COMPUTED_VALUE"""),"DL")</f>
        <v>DL</v>
      </c>
      <c r="B408" s="207" t="str">
        <f ca="1">IFERROR(__xludf.DUMMYFUNCTION("""COMPUTED_VALUE"""),"Barbara Santley")</f>
        <v>Barbara Santley</v>
      </c>
      <c r="C408" s="199">
        <f ca="1">IFERROR(__xludf.DUMMYFUNCTION("""COMPUTED_VALUE"""),9)</f>
        <v>9</v>
      </c>
      <c r="D408" s="199" t="str">
        <f ca="1">IFERROR(__xludf.DUMMYFUNCTION("""COMPUTED_VALUE"""),"G")</f>
        <v>G</v>
      </c>
      <c r="E408" s="202" t="str">
        <f ca="1">IFERROR(__xludf.DUMMYFUNCTION("""COMPUTED_VALUE"""),"F")</f>
        <v>F</v>
      </c>
      <c r="F408" s="202" t="str">
        <f ca="1">IFERROR(__xludf.DUMMYFUNCTION("""COMPUTED_VALUE"""),"J")</f>
        <v>J</v>
      </c>
      <c r="G408" s="202">
        <f ca="1">IFERROR(__xludf.DUMMYFUNCTION("""COMPUTED_VALUE"""),1)</f>
        <v>1</v>
      </c>
      <c r="H408" s="206"/>
      <c r="I408" s="206"/>
      <c r="J408" s="206"/>
      <c r="K408" s="206"/>
      <c r="L408" s="206" t="str">
        <v/>
      </c>
      <c r="M408" s="206" t="str">
        <v/>
      </c>
    </row>
    <row r="409" spans="1:13" ht="14.4">
      <c r="A409" s="199" t="str">
        <f ca="1">IFERROR(__xludf.DUMMYFUNCTION("""COMPUTED_VALUE"""),"DL")</f>
        <v>DL</v>
      </c>
      <c r="B409" s="207" t="str">
        <f ca="1">IFERROR(__xludf.DUMMYFUNCTION("""COMPUTED_VALUE"""),"Charlotte Scott")</f>
        <v>Charlotte Scott</v>
      </c>
      <c r="C409" s="199">
        <f ca="1">IFERROR(__xludf.DUMMYFUNCTION("""COMPUTED_VALUE"""),8)</f>
        <v>8</v>
      </c>
      <c r="D409" s="199" t="str">
        <f ca="1">IFERROR(__xludf.DUMMYFUNCTION("""COMPUTED_VALUE"""),"G")</f>
        <v>G</v>
      </c>
      <c r="E409" s="202" t="str">
        <f ca="1">IFERROR(__xludf.DUMMYFUNCTION("""COMPUTED_VALUE"""),"F")</f>
        <v>F</v>
      </c>
      <c r="F409" s="202" t="str">
        <f ca="1">IFERROR(__xludf.DUMMYFUNCTION("""COMPUTED_VALUE"""),"J")</f>
        <v>J</v>
      </c>
      <c r="G409" s="202">
        <f ca="1">IFERROR(__xludf.DUMMYFUNCTION("""COMPUTED_VALUE"""),1)</f>
        <v>1</v>
      </c>
      <c r="H409" s="206"/>
      <c r="I409" s="206"/>
      <c r="J409" s="206"/>
      <c r="K409" s="206"/>
      <c r="L409" s="206" t="str">
        <v/>
      </c>
      <c r="M409" s="206" t="str">
        <v/>
      </c>
    </row>
    <row r="410" spans="1:13" ht="14.4">
      <c r="A410" s="199" t="str">
        <f ca="1">IFERROR(__xludf.DUMMYFUNCTION("""COMPUTED_VALUE"""),"DL")</f>
        <v>DL</v>
      </c>
      <c r="B410" s="207" t="str">
        <f ca="1">IFERROR(__xludf.DUMMYFUNCTION("""COMPUTED_VALUE"""),"Clara Beatty")</f>
        <v>Clara Beatty</v>
      </c>
      <c r="C410" s="199">
        <f ca="1">IFERROR(__xludf.DUMMYFUNCTION("""COMPUTED_VALUE"""),9)</f>
        <v>9</v>
      </c>
      <c r="D410" s="199" t="str">
        <f ca="1">IFERROR(__xludf.DUMMYFUNCTION("""COMPUTED_VALUE"""),"G")</f>
        <v>G</v>
      </c>
      <c r="E410" s="202" t="str">
        <f ca="1">IFERROR(__xludf.DUMMYFUNCTION("""COMPUTED_VALUE"""),"F")</f>
        <v>F</v>
      </c>
      <c r="F410" s="202" t="str">
        <f ca="1">IFERROR(__xludf.DUMMYFUNCTION("""COMPUTED_VALUE"""),"J")</f>
        <v>J</v>
      </c>
      <c r="G410" s="202">
        <f ca="1">IFERROR(__xludf.DUMMYFUNCTION("""COMPUTED_VALUE"""),1)</f>
        <v>1</v>
      </c>
      <c r="H410" s="208"/>
      <c r="I410" s="208"/>
      <c r="J410" s="208"/>
      <c r="K410" s="208"/>
      <c r="L410" s="208" t="str">
        <v/>
      </c>
      <c r="M410" s="208" t="str">
        <v/>
      </c>
    </row>
    <row r="411" spans="1:13" ht="14.4">
      <c r="A411" s="199" t="str">
        <f ca="1">IFERROR(__xludf.DUMMYFUNCTION("""COMPUTED_VALUE"""),"DL")</f>
        <v>DL</v>
      </c>
      <c r="B411" s="207" t="str">
        <f ca="1">IFERROR(__xludf.DUMMYFUNCTION("""COMPUTED_VALUE"""),"Elise Esquivel")</f>
        <v>Elise Esquivel</v>
      </c>
      <c r="C411" s="199">
        <f ca="1">IFERROR(__xludf.DUMMYFUNCTION("""COMPUTED_VALUE"""),7)</f>
        <v>7</v>
      </c>
      <c r="D411" s="199" t="str">
        <f ca="1">IFERROR(__xludf.DUMMYFUNCTION("""COMPUTED_VALUE"""),"G")</f>
        <v>G</v>
      </c>
      <c r="E411" s="202" t="str">
        <f ca="1">IFERROR(__xludf.DUMMYFUNCTION("""COMPUTED_VALUE"""),"F")</f>
        <v>F</v>
      </c>
      <c r="F411" s="202" t="str">
        <f ca="1">IFERROR(__xludf.DUMMYFUNCTION("""COMPUTED_VALUE"""),"J")</f>
        <v>J</v>
      </c>
      <c r="G411" s="202">
        <f ca="1">IFERROR(__xludf.DUMMYFUNCTION("""COMPUTED_VALUE"""),1)</f>
        <v>1</v>
      </c>
      <c r="H411" s="206">
        <v>31.95</v>
      </c>
      <c r="I411" s="206"/>
      <c r="J411" s="206" t="s">
        <v>121</v>
      </c>
      <c r="K411" s="206"/>
      <c r="L411" s="206" t="str">
        <v xml:space="preserve"> 31.95</v>
      </c>
      <c r="M411" s="206" t="str">
        <v/>
      </c>
    </row>
    <row r="412" spans="1:13" ht="14.4">
      <c r="A412" s="199" t="str">
        <f ca="1">IFERROR(__xludf.DUMMYFUNCTION("""COMPUTED_VALUE"""),"DL")</f>
        <v>DL</v>
      </c>
      <c r="B412" s="207" t="str">
        <f ca="1">IFERROR(__xludf.DUMMYFUNCTION("""COMPUTED_VALUE"""),"Elizabeth Rokita")</f>
        <v>Elizabeth Rokita</v>
      </c>
      <c r="C412" s="199">
        <f ca="1">IFERROR(__xludf.DUMMYFUNCTION("""COMPUTED_VALUE"""),10)</f>
        <v>10</v>
      </c>
      <c r="D412" s="199" t="str">
        <f ca="1">IFERROR(__xludf.DUMMYFUNCTION("""COMPUTED_VALUE"""),"G")</f>
        <v>G</v>
      </c>
      <c r="E412" s="202" t="str">
        <f ca="1">IFERROR(__xludf.DUMMYFUNCTION("""COMPUTED_VALUE"""),"F")</f>
        <v>F</v>
      </c>
      <c r="F412" s="202" t="str">
        <f ca="1">IFERROR(__xludf.DUMMYFUNCTION("""COMPUTED_VALUE"""),"J")</f>
        <v>J</v>
      </c>
      <c r="G412" s="202">
        <f ca="1">IFERROR(__xludf.DUMMYFUNCTION("""COMPUTED_VALUE"""),1)</f>
        <v>1</v>
      </c>
      <c r="H412" s="206"/>
      <c r="I412" s="206"/>
      <c r="J412" s="206"/>
      <c r="K412" s="206"/>
      <c r="L412" s="206" t="str">
        <v/>
      </c>
      <c r="M412" s="206" t="str">
        <v/>
      </c>
    </row>
    <row r="413" spans="1:13" ht="14.4">
      <c r="A413" s="199" t="str">
        <f ca="1">IFERROR(__xludf.DUMMYFUNCTION("""COMPUTED_VALUE"""),"DL")</f>
        <v>DL</v>
      </c>
      <c r="B413" s="207" t="str">
        <f ca="1">IFERROR(__xludf.DUMMYFUNCTION("""COMPUTED_VALUE"""),"Emma Ahasan")</f>
        <v>Emma Ahasan</v>
      </c>
      <c r="C413" s="199">
        <f ca="1">IFERROR(__xludf.DUMMYFUNCTION("""COMPUTED_VALUE"""),9)</f>
        <v>9</v>
      </c>
      <c r="D413" s="199" t="str">
        <f ca="1">IFERROR(__xludf.DUMMYFUNCTION("""COMPUTED_VALUE"""),"G")</f>
        <v>G</v>
      </c>
      <c r="E413" s="202" t="str">
        <f ca="1">IFERROR(__xludf.DUMMYFUNCTION("""COMPUTED_VALUE"""),"F")</f>
        <v>F</v>
      </c>
      <c r="F413" s="202" t="str">
        <f ca="1">IFERROR(__xludf.DUMMYFUNCTION("""COMPUTED_VALUE"""),"J")</f>
        <v>J</v>
      </c>
      <c r="G413" s="202">
        <f ca="1">IFERROR(__xludf.DUMMYFUNCTION("""COMPUTED_VALUE"""),1)</f>
        <v>1</v>
      </c>
      <c r="H413" s="208"/>
      <c r="I413" s="208"/>
      <c r="J413" s="208"/>
      <c r="K413" s="208"/>
      <c r="L413" s="208" t="str">
        <v/>
      </c>
      <c r="M413" s="208" t="str">
        <v/>
      </c>
    </row>
    <row r="414" spans="1:13" ht="14.4">
      <c r="A414" s="199" t="str">
        <f ca="1">IFERROR(__xludf.DUMMYFUNCTION("""COMPUTED_VALUE"""),"DL")</f>
        <v>DL</v>
      </c>
      <c r="B414" s="207" t="str">
        <f ca="1">IFERROR(__xludf.DUMMYFUNCTION("""COMPUTED_VALUE"""),"Erin Martonik")</f>
        <v>Erin Martonik</v>
      </c>
      <c r="C414" s="199">
        <f ca="1">IFERROR(__xludf.DUMMYFUNCTION("""COMPUTED_VALUE"""),9)</f>
        <v>9</v>
      </c>
      <c r="D414" s="199" t="str">
        <f ca="1">IFERROR(__xludf.DUMMYFUNCTION("""COMPUTED_VALUE"""),"G")</f>
        <v>G</v>
      </c>
      <c r="E414" s="202" t="str">
        <f ca="1">IFERROR(__xludf.DUMMYFUNCTION("""COMPUTED_VALUE"""),"F")</f>
        <v>F</v>
      </c>
      <c r="F414" s="202" t="str">
        <f ca="1">IFERROR(__xludf.DUMMYFUNCTION("""COMPUTED_VALUE"""),"J")</f>
        <v>J</v>
      </c>
      <c r="G414" s="202">
        <f ca="1">IFERROR(__xludf.DUMMYFUNCTION("""COMPUTED_VALUE"""),1)</f>
        <v>1</v>
      </c>
      <c r="H414" s="206">
        <v>67.05</v>
      </c>
      <c r="I414" s="206"/>
      <c r="J414" s="206" t="s">
        <v>121</v>
      </c>
      <c r="K414" s="206"/>
      <c r="L414" s="206" t="str">
        <v xml:space="preserve"> 67.05</v>
      </c>
      <c r="M414" s="206" t="str">
        <v/>
      </c>
    </row>
    <row r="415" spans="1:13" ht="14.4">
      <c r="A415" s="199" t="str">
        <f ca="1">IFERROR(__xludf.DUMMYFUNCTION("""COMPUTED_VALUE"""),"DL")</f>
        <v>DL</v>
      </c>
      <c r="B415" s="207" t="str">
        <f ca="1">IFERROR(__xludf.DUMMYFUNCTION("""COMPUTED_VALUE"""),"Isabella Falsone")</f>
        <v>Isabella Falsone</v>
      </c>
      <c r="C415" s="199">
        <f ca="1">IFERROR(__xludf.DUMMYFUNCTION("""COMPUTED_VALUE"""),6)</f>
        <v>6</v>
      </c>
      <c r="D415" s="199" t="str">
        <f ca="1">IFERROR(__xludf.DUMMYFUNCTION("""COMPUTED_VALUE"""),"G")</f>
        <v>G</v>
      </c>
      <c r="E415" s="202" t="str">
        <f ca="1">IFERROR(__xludf.DUMMYFUNCTION("""COMPUTED_VALUE"""),"F")</f>
        <v>F</v>
      </c>
      <c r="F415" s="202" t="str">
        <f ca="1">IFERROR(__xludf.DUMMYFUNCTION("""COMPUTED_VALUE"""),"J")</f>
        <v>J</v>
      </c>
      <c r="G415" s="202">
        <f ca="1">IFERROR(__xludf.DUMMYFUNCTION("""COMPUTED_VALUE"""),1)</f>
        <v>1</v>
      </c>
      <c r="H415" s="208">
        <v>30.65</v>
      </c>
      <c r="I415" s="208"/>
      <c r="J415" s="208" t="s">
        <v>121</v>
      </c>
      <c r="K415" s="208"/>
      <c r="L415" s="208" t="str">
        <v xml:space="preserve"> 30.65</v>
      </c>
      <c r="M415" s="208" t="str">
        <v/>
      </c>
    </row>
    <row r="416" spans="1:13" ht="14.4">
      <c r="A416" s="199" t="str">
        <f ca="1">IFERROR(__xludf.DUMMYFUNCTION("""COMPUTED_VALUE"""),"DL")</f>
        <v>DL</v>
      </c>
      <c r="B416" s="207" t="str">
        <f ca="1">IFERROR(__xludf.DUMMYFUNCTION("""COMPUTED_VALUE"""),"Ishti Jain")</f>
        <v>Ishti Jain</v>
      </c>
      <c r="C416" s="199">
        <f ca="1">IFERROR(__xludf.DUMMYFUNCTION("""COMPUTED_VALUE"""),8)</f>
        <v>8</v>
      </c>
      <c r="D416" s="199" t="str">
        <f ca="1">IFERROR(__xludf.DUMMYFUNCTION("""COMPUTED_VALUE"""),"G")</f>
        <v>G</v>
      </c>
      <c r="E416" s="202" t="str">
        <f ca="1">IFERROR(__xludf.DUMMYFUNCTION("""COMPUTED_VALUE"""),"F")</f>
        <v>F</v>
      </c>
      <c r="F416" s="202" t="str">
        <f ca="1">IFERROR(__xludf.DUMMYFUNCTION("""COMPUTED_VALUE"""),"J")</f>
        <v>J</v>
      </c>
      <c r="G416" s="202">
        <f ca="1">IFERROR(__xludf.DUMMYFUNCTION("""COMPUTED_VALUE"""),1)</f>
        <v>1</v>
      </c>
      <c r="H416" s="206"/>
      <c r="I416" s="206"/>
      <c r="J416" s="206"/>
      <c r="K416" s="206"/>
      <c r="L416" s="206" t="str">
        <v/>
      </c>
      <c r="M416" s="206" t="str">
        <v/>
      </c>
    </row>
    <row r="417" spans="1:13" ht="14.4">
      <c r="A417" s="199" t="str">
        <f ca="1">IFERROR(__xludf.DUMMYFUNCTION("""COMPUTED_VALUE"""),"DL")</f>
        <v>DL</v>
      </c>
      <c r="B417" s="207" t="str">
        <f ca="1">IFERROR(__xludf.DUMMYFUNCTION("""COMPUTED_VALUE"""),"Lila Kottmeier")</f>
        <v>Lila Kottmeier</v>
      </c>
      <c r="C417" s="199">
        <f ca="1">IFERROR(__xludf.DUMMYFUNCTION("""COMPUTED_VALUE"""),8)</f>
        <v>8</v>
      </c>
      <c r="D417" s="199" t="str">
        <f ca="1">IFERROR(__xludf.DUMMYFUNCTION("""COMPUTED_VALUE"""),"G")</f>
        <v>G</v>
      </c>
      <c r="E417" s="202" t="str">
        <f ca="1">IFERROR(__xludf.DUMMYFUNCTION("""COMPUTED_VALUE"""),"F")</f>
        <v>F</v>
      </c>
      <c r="F417" s="202" t="str">
        <f ca="1">IFERROR(__xludf.DUMMYFUNCTION("""COMPUTED_VALUE"""),"J")</f>
        <v>J</v>
      </c>
      <c r="G417" s="202">
        <f ca="1">IFERROR(__xludf.DUMMYFUNCTION("""COMPUTED_VALUE"""),1)</f>
        <v>1</v>
      </c>
      <c r="H417" s="206"/>
      <c r="I417" s="206"/>
      <c r="J417" s="206"/>
      <c r="K417" s="206"/>
      <c r="L417" s="206" t="str">
        <v/>
      </c>
      <c r="M417" s="206" t="str">
        <v/>
      </c>
    </row>
    <row r="418" spans="1:13" ht="14.4">
      <c r="A418" s="199" t="str">
        <f ca="1">IFERROR(__xludf.DUMMYFUNCTION("""COMPUTED_VALUE"""),"DL")</f>
        <v>DL</v>
      </c>
      <c r="B418" s="207" t="str">
        <f ca="1">IFERROR(__xludf.DUMMYFUNCTION("""COMPUTED_VALUE"""),"Mara Zulauf")</f>
        <v>Mara Zulauf</v>
      </c>
      <c r="C418" s="199">
        <f ca="1">IFERROR(__xludf.DUMMYFUNCTION("""COMPUTED_VALUE"""),10)</f>
        <v>10</v>
      </c>
      <c r="D418" s="199" t="str">
        <f ca="1">IFERROR(__xludf.DUMMYFUNCTION("""COMPUTED_VALUE"""),"G")</f>
        <v>G</v>
      </c>
      <c r="E418" s="202" t="str">
        <f ca="1">IFERROR(__xludf.DUMMYFUNCTION("""COMPUTED_VALUE"""),"F")</f>
        <v>F</v>
      </c>
      <c r="F418" s="202" t="str">
        <f ca="1">IFERROR(__xludf.DUMMYFUNCTION("""COMPUTED_VALUE"""),"J")</f>
        <v>J</v>
      </c>
      <c r="G418" s="202">
        <f ca="1">IFERROR(__xludf.DUMMYFUNCTION("""COMPUTED_VALUE"""),1)</f>
        <v>1</v>
      </c>
      <c r="H418" s="206"/>
      <c r="I418" s="206"/>
      <c r="J418" s="206"/>
      <c r="K418" s="206"/>
      <c r="L418" s="206" t="str">
        <v/>
      </c>
      <c r="M418" s="206" t="str">
        <v/>
      </c>
    </row>
    <row r="419" spans="1:13" ht="14.4">
      <c r="A419" s="199" t="str">
        <f ca="1">IFERROR(__xludf.DUMMYFUNCTION("""COMPUTED_VALUE"""),"DL")</f>
        <v>DL</v>
      </c>
      <c r="B419" s="207" t="str">
        <f ca="1">IFERROR(__xludf.DUMMYFUNCTION("""COMPUTED_VALUE"""),"marie Eisele")</f>
        <v>marie Eisele</v>
      </c>
      <c r="C419" s="199">
        <f ca="1">IFERROR(__xludf.DUMMYFUNCTION("""COMPUTED_VALUE"""),10)</f>
        <v>10</v>
      </c>
      <c r="D419" s="199" t="str">
        <f ca="1">IFERROR(__xludf.DUMMYFUNCTION("""COMPUTED_VALUE"""),"G")</f>
        <v>G</v>
      </c>
      <c r="E419" s="202" t="str">
        <f ca="1">IFERROR(__xludf.DUMMYFUNCTION("""COMPUTED_VALUE"""),"F")</f>
        <v>F</v>
      </c>
      <c r="F419" s="202" t="str">
        <f ca="1">IFERROR(__xludf.DUMMYFUNCTION("""COMPUTED_VALUE"""),"J")</f>
        <v>J</v>
      </c>
      <c r="G419" s="202">
        <f ca="1">IFERROR(__xludf.DUMMYFUNCTION("""COMPUTED_VALUE"""),1)</f>
        <v>1</v>
      </c>
      <c r="H419" s="206">
        <v>56.5</v>
      </c>
      <c r="I419" s="206"/>
      <c r="J419" s="206" t="s">
        <v>121</v>
      </c>
      <c r="K419" s="206"/>
      <c r="L419" s="206" t="str">
        <v xml:space="preserve"> 56.5</v>
      </c>
      <c r="M419" s="206" t="str">
        <v/>
      </c>
    </row>
    <row r="420" spans="1:13" ht="14.4">
      <c r="A420" s="199" t="str">
        <f ca="1">IFERROR(__xludf.DUMMYFUNCTION("""COMPUTED_VALUE"""),"DL")</f>
        <v>DL</v>
      </c>
      <c r="B420" s="207" t="str">
        <f ca="1">IFERROR(__xludf.DUMMYFUNCTION("""COMPUTED_VALUE"""),"Megan Lam")</f>
        <v>Megan Lam</v>
      </c>
      <c r="C420" s="199">
        <f ca="1">IFERROR(__xludf.DUMMYFUNCTION("""COMPUTED_VALUE"""),9)</f>
        <v>9</v>
      </c>
      <c r="D420" s="199" t="str">
        <f ca="1">IFERROR(__xludf.DUMMYFUNCTION("""COMPUTED_VALUE"""),"G")</f>
        <v>G</v>
      </c>
      <c r="E420" s="202" t="str">
        <f ca="1">IFERROR(__xludf.DUMMYFUNCTION("""COMPUTED_VALUE"""),"F")</f>
        <v>F</v>
      </c>
      <c r="F420" s="202" t="str">
        <f ca="1">IFERROR(__xludf.DUMMYFUNCTION("""COMPUTED_VALUE"""),"J")</f>
        <v>J</v>
      </c>
      <c r="G420" s="202">
        <f ca="1">IFERROR(__xludf.DUMMYFUNCTION("""COMPUTED_VALUE"""),1)</f>
        <v>1</v>
      </c>
      <c r="H420" s="206"/>
      <c r="I420" s="206"/>
      <c r="J420" s="206"/>
      <c r="K420" s="206"/>
      <c r="L420" s="206" t="str">
        <v/>
      </c>
      <c r="M420" s="206" t="str">
        <v/>
      </c>
    </row>
    <row r="421" spans="1:13" ht="14.4">
      <c r="A421" s="199" t="str">
        <f ca="1">IFERROR(__xludf.DUMMYFUNCTION("""COMPUTED_VALUE"""),"DL")</f>
        <v>DL</v>
      </c>
      <c r="B421" s="207" t="str">
        <f ca="1">IFERROR(__xludf.DUMMYFUNCTION("""COMPUTED_VALUE"""),"Oriana Samaniego")</f>
        <v>Oriana Samaniego</v>
      </c>
      <c r="C421" s="199">
        <f ca="1">IFERROR(__xludf.DUMMYFUNCTION("""COMPUTED_VALUE"""),10)</f>
        <v>10</v>
      </c>
      <c r="D421" s="199" t="str">
        <f ca="1">IFERROR(__xludf.DUMMYFUNCTION("""COMPUTED_VALUE"""),"G")</f>
        <v>G</v>
      </c>
      <c r="E421" s="202" t="str">
        <f ca="1">IFERROR(__xludf.DUMMYFUNCTION("""COMPUTED_VALUE"""),"F")</f>
        <v>F</v>
      </c>
      <c r="F421" s="202" t="str">
        <f ca="1">IFERROR(__xludf.DUMMYFUNCTION("""COMPUTED_VALUE"""),"J")</f>
        <v>J</v>
      </c>
      <c r="G421" s="202">
        <f ca="1">IFERROR(__xludf.DUMMYFUNCTION("""COMPUTED_VALUE"""),1)</f>
        <v>1</v>
      </c>
      <c r="H421" s="206"/>
      <c r="I421" s="206"/>
      <c r="J421" s="206"/>
      <c r="K421" s="206"/>
      <c r="L421" s="206" t="str">
        <v/>
      </c>
      <c r="M421" s="206" t="str">
        <v/>
      </c>
    </row>
    <row r="422" spans="1:13" ht="14.4">
      <c r="A422" s="199" t="str">
        <f ca="1">IFERROR(__xludf.DUMMYFUNCTION("""COMPUTED_VALUE"""),"DL")</f>
        <v>DL</v>
      </c>
      <c r="B422" s="207" t="str">
        <f ca="1">IFERROR(__xludf.DUMMYFUNCTION("""COMPUTED_VALUE"""),"Quinn Baskett")</f>
        <v>Quinn Baskett</v>
      </c>
      <c r="C422" s="199">
        <f ca="1">IFERROR(__xludf.DUMMYFUNCTION("""COMPUTED_VALUE"""),10)</f>
        <v>10</v>
      </c>
      <c r="D422" s="199" t="str">
        <f ca="1">IFERROR(__xludf.DUMMYFUNCTION("""COMPUTED_VALUE"""),"G")</f>
        <v>G</v>
      </c>
      <c r="E422" s="202" t="str">
        <f ca="1">IFERROR(__xludf.DUMMYFUNCTION("""COMPUTED_VALUE"""),"F")</f>
        <v>F</v>
      </c>
      <c r="F422" s="202" t="str">
        <f ca="1">IFERROR(__xludf.DUMMYFUNCTION("""COMPUTED_VALUE"""),"J")</f>
        <v>J</v>
      </c>
      <c r="G422" s="202">
        <f ca="1">IFERROR(__xludf.DUMMYFUNCTION("""COMPUTED_VALUE"""),1)</f>
        <v>1</v>
      </c>
      <c r="H422" s="206">
        <v>31.8</v>
      </c>
      <c r="I422" s="206"/>
      <c r="J422" s="206" t="s">
        <v>121</v>
      </c>
      <c r="K422" s="206"/>
      <c r="L422" s="206" t="str">
        <v xml:space="preserve"> 31.8</v>
      </c>
      <c r="M422" s="206" t="str">
        <v/>
      </c>
    </row>
    <row r="423" spans="1:13" ht="14.4">
      <c r="A423" s="199" t="str">
        <f ca="1">IFERROR(__xludf.DUMMYFUNCTION("""COMPUTED_VALUE"""),"DL")</f>
        <v>DL</v>
      </c>
      <c r="B423" s="207" t="str">
        <f ca="1">IFERROR(__xludf.DUMMYFUNCTION("""COMPUTED_VALUE"""),"Rafi Fernandez")</f>
        <v>Rafi Fernandez</v>
      </c>
      <c r="C423" s="199">
        <f ca="1">IFERROR(__xludf.DUMMYFUNCTION("""COMPUTED_VALUE"""),10)</f>
        <v>10</v>
      </c>
      <c r="D423" s="199" t="str">
        <f ca="1">IFERROR(__xludf.DUMMYFUNCTION("""COMPUTED_VALUE"""),"G")</f>
        <v>G</v>
      </c>
      <c r="E423" s="202" t="str">
        <f ca="1">IFERROR(__xludf.DUMMYFUNCTION("""COMPUTED_VALUE"""),"F")</f>
        <v>F</v>
      </c>
      <c r="F423" s="202" t="str">
        <f ca="1">IFERROR(__xludf.DUMMYFUNCTION("""COMPUTED_VALUE"""),"J")</f>
        <v>J</v>
      </c>
      <c r="G423" s="202">
        <f ca="1">IFERROR(__xludf.DUMMYFUNCTION("""COMPUTED_VALUE"""),1)</f>
        <v>1</v>
      </c>
      <c r="H423" s="206"/>
      <c r="I423" s="206"/>
      <c r="J423" s="206"/>
      <c r="K423" s="206"/>
      <c r="L423" s="206" t="str">
        <v/>
      </c>
      <c r="M423" s="206" t="str">
        <v/>
      </c>
    </row>
    <row r="424" spans="1:13" ht="14.4">
      <c r="A424" s="199" t="str">
        <f ca="1">IFERROR(__xludf.DUMMYFUNCTION("""COMPUTED_VALUE"""),"DL")</f>
        <v>DL</v>
      </c>
      <c r="B424" s="207" t="str">
        <f ca="1">IFERROR(__xludf.DUMMYFUNCTION("""COMPUTED_VALUE"""),"Sophie Al-Douri")</f>
        <v>Sophie Al-Douri</v>
      </c>
      <c r="C424" s="199">
        <f ca="1">IFERROR(__xludf.DUMMYFUNCTION("""COMPUTED_VALUE"""),8)</f>
        <v>8</v>
      </c>
      <c r="D424" s="199" t="str">
        <f ca="1">IFERROR(__xludf.DUMMYFUNCTION("""COMPUTED_VALUE"""),"G")</f>
        <v>G</v>
      </c>
      <c r="E424" s="202" t="str">
        <f ca="1">IFERROR(__xludf.DUMMYFUNCTION("""COMPUTED_VALUE"""),"F")</f>
        <v>F</v>
      </c>
      <c r="F424" s="202" t="str">
        <f ca="1">IFERROR(__xludf.DUMMYFUNCTION("""COMPUTED_VALUE"""),"J")</f>
        <v>J</v>
      </c>
      <c r="G424" s="202">
        <f ca="1">IFERROR(__xludf.DUMMYFUNCTION("""COMPUTED_VALUE"""),1)</f>
        <v>1</v>
      </c>
      <c r="H424" s="206"/>
      <c r="I424" s="206"/>
      <c r="J424" s="206"/>
      <c r="K424" s="206"/>
      <c r="L424" s="206" t="str">
        <v/>
      </c>
      <c r="M424" s="206" t="str">
        <v/>
      </c>
    </row>
    <row r="425" spans="1:13" ht="14.4">
      <c r="A425" s="199" t="str">
        <f ca="1">IFERROR(__xludf.DUMMYFUNCTION("""COMPUTED_VALUE"""),"DL")</f>
        <v>DL</v>
      </c>
      <c r="B425" s="207" t="str">
        <f ca="1">IFERROR(__xludf.DUMMYFUNCTION("""COMPUTED_VALUE"""),"Sydney Motyleski")</f>
        <v>Sydney Motyleski</v>
      </c>
      <c r="C425" s="199">
        <f ca="1">IFERROR(__xludf.DUMMYFUNCTION("""COMPUTED_VALUE"""),6)</f>
        <v>6</v>
      </c>
      <c r="D425" s="199" t="str">
        <f ca="1">IFERROR(__xludf.DUMMYFUNCTION("""COMPUTED_VALUE"""),"G")</f>
        <v>G</v>
      </c>
      <c r="E425" s="202" t="str">
        <f ca="1">IFERROR(__xludf.DUMMYFUNCTION("""COMPUTED_VALUE"""),"F")</f>
        <v>F</v>
      </c>
      <c r="F425" s="202" t="str">
        <f ca="1">IFERROR(__xludf.DUMMYFUNCTION("""COMPUTED_VALUE"""),"J")</f>
        <v>J</v>
      </c>
      <c r="G425" s="202">
        <f ca="1">IFERROR(__xludf.DUMMYFUNCTION("""COMPUTED_VALUE"""),1)</f>
        <v>1</v>
      </c>
      <c r="H425" s="206"/>
      <c r="I425" s="206"/>
      <c r="J425" s="206"/>
      <c r="K425" s="206"/>
      <c r="L425" s="206" t="str">
        <v/>
      </c>
      <c r="M425" s="206" t="str">
        <v/>
      </c>
    </row>
    <row r="426" spans="1:13" ht="14.4">
      <c r="A426" s="199" t="str">
        <f ca="1">IFERROR(__xludf.DUMMYFUNCTION("""COMPUTED_VALUE"""),"DL")</f>
        <v>DL</v>
      </c>
      <c r="B426" s="207" t="str">
        <f ca="1">IFERROR(__xludf.DUMMYFUNCTION("""COMPUTED_VALUE"""),"Sylee Gupta")</f>
        <v>Sylee Gupta</v>
      </c>
      <c r="C426" s="199">
        <f ca="1">IFERROR(__xludf.DUMMYFUNCTION("""COMPUTED_VALUE"""),8)</f>
        <v>8</v>
      </c>
      <c r="D426" s="199" t="str">
        <f ca="1">IFERROR(__xludf.DUMMYFUNCTION("""COMPUTED_VALUE"""),"G")</f>
        <v>G</v>
      </c>
      <c r="E426" s="202" t="str">
        <f ca="1">IFERROR(__xludf.DUMMYFUNCTION("""COMPUTED_VALUE"""),"F")</f>
        <v>F</v>
      </c>
      <c r="F426" s="202" t="str">
        <f ca="1">IFERROR(__xludf.DUMMYFUNCTION("""COMPUTED_VALUE"""),"J")</f>
        <v>J</v>
      </c>
      <c r="G426" s="202">
        <f ca="1">IFERROR(__xludf.DUMMYFUNCTION("""COMPUTED_VALUE"""),1)</f>
        <v>1</v>
      </c>
      <c r="H426" s="206"/>
      <c r="I426" s="206"/>
      <c r="J426" s="206"/>
      <c r="K426" s="206"/>
      <c r="L426" s="206" t="str">
        <v/>
      </c>
      <c r="M426" s="206" t="str">
        <v/>
      </c>
    </row>
    <row r="427" spans="1:13" ht="14.4">
      <c r="A427" s="199" t="str">
        <f ca="1">IFERROR(__xludf.DUMMYFUNCTION("""COMPUTED_VALUE"""),"DL")</f>
        <v>DL</v>
      </c>
      <c r="B427" s="207" t="str">
        <f ca="1">IFERROR(__xludf.DUMMYFUNCTION("""COMPUTED_VALUE"""),"Joey Loethen")</f>
        <v>Joey Loethen</v>
      </c>
      <c r="C427" s="199">
        <f ca="1">IFERROR(__xludf.DUMMYFUNCTION("""COMPUTED_VALUE"""),14)</f>
        <v>14</v>
      </c>
      <c r="D427" s="199" t="str">
        <f ca="1">IFERROR(__xludf.DUMMYFUNCTION("""COMPUTED_VALUE"""),"B")</f>
        <v>B</v>
      </c>
      <c r="E427" s="202" t="str">
        <f ca="1">IFERROR(__xludf.DUMMYFUNCTION("""COMPUTED_VALUE"""),"I")</f>
        <v>I</v>
      </c>
      <c r="F427" s="202" t="str">
        <f ca="1">IFERROR(__xludf.DUMMYFUNCTION("""COMPUTED_VALUE"""),"S")</f>
        <v>S</v>
      </c>
      <c r="G427" s="202">
        <f ca="1">IFERROR(__xludf.DUMMYFUNCTION("""COMPUTED_VALUE"""),1)</f>
        <v>1</v>
      </c>
      <c r="H427" s="206"/>
      <c r="I427" s="206"/>
      <c r="J427" s="206"/>
      <c r="K427" s="206"/>
      <c r="L427" s="206" t="str">
        <v/>
      </c>
      <c r="M427" s="206" t="str">
        <v/>
      </c>
    </row>
    <row r="428" spans="1:13" ht="14.4">
      <c r="A428" s="199" t="str">
        <f ca="1">IFERROR(__xludf.DUMMYFUNCTION("""COMPUTED_VALUE"""),"DL")</f>
        <v>DL</v>
      </c>
      <c r="B428" s="207" t="str">
        <f ca="1">IFERROR(__xludf.DUMMYFUNCTION("""COMPUTED_VALUE"""),"John Hatchl")</f>
        <v>John Hatchl</v>
      </c>
      <c r="C428" s="199">
        <f ca="1">IFERROR(__xludf.DUMMYFUNCTION("""COMPUTED_VALUE"""),14)</f>
        <v>14</v>
      </c>
      <c r="D428" s="199" t="str">
        <f ca="1">IFERROR(__xludf.DUMMYFUNCTION("""COMPUTED_VALUE"""),"B")</f>
        <v>B</v>
      </c>
      <c r="E428" s="202" t="str">
        <f ca="1">IFERROR(__xludf.DUMMYFUNCTION("""COMPUTED_VALUE"""),"I")</f>
        <v>I</v>
      </c>
      <c r="F428" s="202" t="str">
        <f ca="1">IFERROR(__xludf.DUMMYFUNCTION("""COMPUTED_VALUE"""),"S")</f>
        <v>S</v>
      </c>
      <c r="G428" s="202">
        <f ca="1">IFERROR(__xludf.DUMMYFUNCTION("""COMPUTED_VALUE"""),1)</f>
        <v>1</v>
      </c>
      <c r="H428" s="206"/>
      <c r="I428" s="206">
        <v>111.55</v>
      </c>
      <c r="J428" s="206"/>
      <c r="K428" s="206" t="s">
        <v>121</v>
      </c>
      <c r="L428" s="206" t="str">
        <v xml:space="preserve"> 111.55</v>
      </c>
      <c r="M428" s="206" t="str">
        <v/>
      </c>
    </row>
    <row r="429" spans="1:13" ht="14.4">
      <c r="A429" s="199" t="str">
        <f ca="1">IFERROR(__xludf.DUMMYFUNCTION("""COMPUTED_VALUE"""),"DL")</f>
        <v>DL</v>
      </c>
      <c r="B429" s="207" t="str">
        <f ca="1">IFERROR(__xludf.DUMMYFUNCTION("""COMPUTED_VALUE"""),"Kyle Ratner")</f>
        <v>Kyle Ratner</v>
      </c>
      <c r="C429" s="199">
        <f ca="1">IFERROR(__xludf.DUMMYFUNCTION("""COMPUTED_VALUE"""),13)</f>
        <v>13</v>
      </c>
      <c r="D429" s="199" t="str">
        <f ca="1">IFERROR(__xludf.DUMMYFUNCTION("""COMPUTED_VALUE"""),"B")</f>
        <v>B</v>
      </c>
      <c r="E429" s="202" t="str">
        <f ca="1">IFERROR(__xludf.DUMMYFUNCTION("""COMPUTED_VALUE"""),"I")</f>
        <v>I</v>
      </c>
      <c r="F429" s="202" t="str">
        <f ca="1">IFERROR(__xludf.DUMMYFUNCTION("""COMPUTED_VALUE"""),"S")</f>
        <v>S</v>
      </c>
      <c r="G429" s="202">
        <f ca="1">IFERROR(__xludf.DUMMYFUNCTION("""COMPUTED_VALUE"""),1)</f>
        <v>1</v>
      </c>
      <c r="H429" s="206"/>
      <c r="I429" s="206"/>
      <c r="J429" s="206"/>
      <c r="K429" s="206"/>
      <c r="L429" s="206" t="str">
        <v/>
      </c>
      <c r="M429" s="206" t="str">
        <v/>
      </c>
    </row>
    <row r="430" spans="1:13" ht="14.4">
      <c r="A430" s="199" t="str">
        <f ca="1">IFERROR(__xludf.DUMMYFUNCTION("""COMPUTED_VALUE"""),"DL")</f>
        <v>DL</v>
      </c>
      <c r="B430" s="207" t="str">
        <f ca="1">IFERROR(__xludf.DUMMYFUNCTION("""COMPUTED_VALUE"""),"Mike DeSando")</f>
        <v>Mike DeSando</v>
      </c>
      <c r="C430" s="199">
        <f ca="1">IFERROR(__xludf.DUMMYFUNCTION("""COMPUTED_VALUE"""),13)</f>
        <v>13</v>
      </c>
      <c r="D430" s="199" t="str">
        <f ca="1">IFERROR(__xludf.DUMMYFUNCTION("""COMPUTED_VALUE"""),"B")</f>
        <v>B</v>
      </c>
      <c r="E430" s="202" t="str">
        <f ca="1">IFERROR(__xludf.DUMMYFUNCTION("""COMPUTED_VALUE"""),"I")</f>
        <v>I</v>
      </c>
      <c r="F430" s="202" t="str">
        <f ca="1">IFERROR(__xludf.DUMMYFUNCTION("""COMPUTED_VALUE"""),"S")</f>
        <v>S</v>
      </c>
      <c r="G430" s="202">
        <f ca="1">IFERROR(__xludf.DUMMYFUNCTION("""COMPUTED_VALUE"""),1)</f>
        <v>1</v>
      </c>
      <c r="H430" s="206"/>
      <c r="I430" s="206">
        <v>114.9</v>
      </c>
      <c r="J430" s="206"/>
      <c r="K430" s="206" t="s">
        <v>121</v>
      </c>
      <c r="L430" s="206" t="str">
        <v xml:space="preserve"> 114.9</v>
      </c>
      <c r="M430" s="206" t="str">
        <v/>
      </c>
    </row>
    <row r="431" spans="1:13" ht="14.4">
      <c r="A431" s="199" t="str">
        <f ca="1">IFERROR(__xludf.DUMMYFUNCTION("""COMPUTED_VALUE"""),"DL")</f>
        <v>DL</v>
      </c>
      <c r="B431" s="207" t="str">
        <f ca="1">IFERROR(__xludf.DUMMYFUNCTION("""COMPUTED_VALUE"""),"Ashley Scinto")</f>
        <v>Ashley Scinto</v>
      </c>
      <c r="C431" s="199">
        <f ca="1">IFERROR(__xludf.DUMMYFUNCTION("""COMPUTED_VALUE"""),14)</f>
        <v>14</v>
      </c>
      <c r="D431" s="199" t="str">
        <f ca="1">IFERROR(__xludf.DUMMYFUNCTION("""COMPUTED_VALUE"""),"G")</f>
        <v>G</v>
      </c>
      <c r="E431" s="202" t="str">
        <f ca="1">IFERROR(__xludf.DUMMYFUNCTION("""COMPUTED_VALUE"""),"I")</f>
        <v>I</v>
      </c>
      <c r="F431" s="202" t="str">
        <f ca="1">IFERROR(__xludf.DUMMYFUNCTION("""COMPUTED_VALUE"""),"S")</f>
        <v>S</v>
      </c>
      <c r="G431" s="202">
        <f ca="1">IFERROR(__xludf.DUMMYFUNCTION("""COMPUTED_VALUE"""),1)</f>
        <v>1</v>
      </c>
      <c r="H431" s="206">
        <v>100.6</v>
      </c>
      <c r="I431" s="206"/>
      <c r="J431" s="206" t="s">
        <v>121</v>
      </c>
      <c r="K431" s="206"/>
      <c r="L431" s="206" t="str">
        <v xml:space="preserve"> 100.6</v>
      </c>
      <c r="M431" s="206" t="str">
        <v/>
      </c>
    </row>
    <row r="432" spans="1:13" ht="14.4">
      <c r="A432" s="199" t="str">
        <f ca="1">IFERROR(__xludf.DUMMYFUNCTION("""COMPUTED_VALUE"""),"DL")</f>
        <v>DL</v>
      </c>
      <c r="B432" s="207" t="str">
        <f ca="1">IFERROR(__xludf.DUMMYFUNCTION("""COMPUTED_VALUE"""),"Audrey Burns")</f>
        <v>Audrey Burns</v>
      </c>
      <c r="C432" s="199">
        <f ca="1">IFERROR(__xludf.DUMMYFUNCTION("""COMPUTED_VALUE"""),13)</f>
        <v>13</v>
      </c>
      <c r="D432" s="199" t="str">
        <f ca="1">IFERROR(__xludf.DUMMYFUNCTION("""COMPUTED_VALUE"""),"G")</f>
        <v>G</v>
      </c>
      <c r="E432" s="202" t="str">
        <f ca="1">IFERROR(__xludf.DUMMYFUNCTION("""COMPUTED_VALUE"""),"I")</f>
        <v>I</v>
      </c>
      <c r="F432" s="202" t="str">
        <f ca="1">IFERROR(__xludf.DUMMYFUNCTION("""COMPUTED_VALUE"""),"S")</f>
        <v>S</v>
      </c>
      <c r="G432" s="202">
        <f ca="1">IFERROR(__xludf.DUMMYFUNCTION("""COMPUTED_VALUE"""),1)</f>
        <v>1</v>
      </c>
      <c r="H432" s="206">
        <v>100.4</v>
      </c>
      <c r="I432" s="206"/>
      <c r="J432" s="206" t="s">
        <v>121</v>
      </c>
      <c r="K432" s="206"/>
      <c r="L432" s="206" t="str">
        <v xml:space="preserve"> 100.4</v>
      </c>
      <c r="M432" s="206" t="str">
        <v/>
      </c>
    </row>
    <row r="433" spans="1:13" ht="14.4">
      <c r="A433" s="199" t="str">
        <f ca="1">IFERROR(__xludf.DUMMYFUNCTION("""COMPUTED_VALUE"""),"DL")</f>
        <v>DL</v>
      </c>
      <c r="B433" s="207" t="str">
        <f ca="1">IFERROR(__xludf.DUMMYFUNCTION("""COMPUTED_VALUE"""),"Lennon Brucker")</f>
        <v>Lennon Brucker</v>
      </c>
      <c r="C433" s="199">
        <f ca="1">IFERROR(__xludf.DUMMYFUNCTION("""COMPUTED_VALUE"""),13)</f>
        <v>13</v>
      </c>
      <c r="D433" s="199" t="str">
        <f ca="1">IFERROR(__xludf.DUMMYFUNCTION("""COMPUTED_VALUE"""),"G")</f>
        <v>G</v>
      </c>
      <c r="E433" s="202" t="str">
        <f ca="1">IFERROR(__xludf.DUMMYFUNCTION("""COMPUTED_VALUE"""),"I")</f>
        <v>I</v>
      </c>
      <c r="F433" s="202" t="str">
        <f ca="1">IFERROR(__xludf.DUMMYFUNCTION("""COMPUTED_VALUE"""),"S")</f>
        <v>S</v>
      </c>
      <c r="G433" s="202">
        <f ca="1">IFERROR(__xludf.DUMMYFUNCTION("""COMPUTED_VALUE"""),1)</f>
        <v>1</v>
      </c>
      <c r="H433" s="208"/>
      <c r="I433" s="208"/>
      <c r="J433" s="208"/>
      <c r="K433" s="208"/>
      <c r="L433" s="208" t="str">
        <v/>
      </c>
      <c r="M433" s="208" t="str">
        <v/>
      </c>
    </row>
    <row r="434" spans="1:13" ht="14.4">
      <c r="A434" s="199" t="str">
        <f ca="1">IFERROR(__xludf.DUMMYFUNCTION("""COMPUTED_VALUE"""),"DL")</f>
        <v>DL</v>
      </c>
      <c r="B434" s="207" t="str">
        <f ca="1">IFERROR(__xludf.DUMMYFUNCTION("""COMPUTED_VALUE"""),"Millie Vanstory")</f>
        <v>Millie Vanstory</v>
      </c>
      <c r="C434" s="199">
        <f ca="1">IFERROR(__xludf.DUMMYFUNCTION("""COMPUTED_VALUE"""),13)</f>
        <v>13</v>
      </c>
      <c r="D434" s="199" t="str">
        <f ca="1">IFERROR(__xludf.DUMMYFUNCTION("""COMPUTED_VALUE"""),"G")</f>
        <v>G</v>
      </c>
      <c r="E434" s="202" t="str">
        <f ca="1">IFERROR(__xludf.DUMMYFUNCTION("""COMPUTED_VALUE"""),"I")</f>
        <v>I</v>
      </c>
      <c r="F434" s="202" t="str">
        <f ca="1">IFERROR(__xludf.DUMMYFUNCTION("""COMPUTED_VALUE"""),"S")</f>
        <v>S</v>
      </c>
      <c r="G434" s="202">
        <f ca="1">IFERROR(__xludf.DUMMYFUNCTION("""COMPUTED_VALUE"""),1)</f>
        <v>1</v>
      </c>
      <c r="H434" s="206"/>
      <c r="I434" s="206"/>
      <c r="J434" s="206"/>
      <c r="K434" s="206"/>
      <c r="L434" s="206" t="str">
        <v/>
      </c>
      <c r="M434" s="206" t="str">
        <v/>
      </c>
    </row>
    <row r="435" spans="1:13" ht="14.4">
      <c r="A435" s="199" t="str">
        <f ca="1">IFERROR(__xludf.DUMMYFUNCTION("""COMPUTED_VALUE"""),"DL")</f>
        <v>DL</v>
      </c>
      <c r="B435" s="207" t="str">
        <f ca="1">IFERROR(__xludf.DUMMYFUNCTION("""COMPUTED_VALUE"""),"Ronica Krishnan")</f>
        <v>Ronica Krishnan</v>
      </c>
      <c r="C435" s="199">
        <f ca="1">IFERROR(__xludf.DUMMYFUNCTION("""COMPUTED_VALUE"""),13)</f>
        <v>13</v>
      </c>
      <c r="D435" s="199" t="str">
        <f ca="1">IFERROR(__xludf.DUMMYFUNCTION("""COMPUTED_VALUE"""),"G")</f>
        <v>G</v>
      </c>
      <c r="E435" s="202" t="str">
        <f ca="1">IFERROR(__xludf.DUMMYFUNCTION("""COMPUTED_VALUE"""),"I")</f>
        <v>I</v>
      </c>
      <c r="F435" s="202" t="str">
        <f ca="1">IFERROR(__xludf.DUMMYFUNCTION("""COMPUTED_VALUE"""),"S")</f>
        <v>S</v>
      </c>
      <c r="G435" s="202">
        <f ca="1">IFERROR(__xludf.DUMMYFUNCTION("""COMPUTED_VALUE"""),1)</f>
        <v>1</v>
      </c>
      <c r="H435" s="206"/>
      <c r="I435" s="206"/>
      <c r="J435" s="206"/>
      <c r="K435" s="206"/>
      <c r="L435" s="206" t="str">
        <v/>
      </c>
      <c r="M435" s="206" t="str">
        <v/>
      </c>
    </row>
    <row r="436" spans="1:13" ht="14.4">
      <c r="A436" s="199" t="str">
        <f ca="1">IFERROR(__xludf.DUMMYFUNCTION("""COMPUTED_VALUE"""),"DL")</f>
        <v>DL</v>
      </c>
      <c r="B436" s="207" t="str">
        <f ca="1">IFERROR(__xludf.DUMMYFUNCTION("""COMPUTED_VALUE"""),"Sophia Khan")</f>
        <v>Sophia Khan</v>
      </c>
      <c r="C436" s="199">
        <f ca="1">IFERROR(__xludf.DUMMYFUNCTION("""COMPUTED_VALUE"""),13)</f>
        <v>13</v>
      </c>
      <c r="D436" s="199" t="str">
        <f ca="1">IFERROR(__xludf.DUMMYFUNCTION("""COMPUTED_VALUE"""),"G")</f>
        <v>G</v>
      </c>
      <c r="E436" s="202" t="str">
        <f ca="1">IFERROR(__xludf.DUMMYFUNCTION("""COMPUTED_VALUE"""),"I")</f>
        <v>I</v>
      </c>
      <c r="F436" s="202" t="str">
        <f ca="1">IFERROR(__xludf.DUMMYFUNCTION("""COMPUTED_VALUE"""),"S")</f>
        <v>S</v>
      </c>
      <c r="G436" s="202">
        <f ca="1">IFERROR(__xludf.DUMMYFUNCTION("""COMPUTED_VALUE"""),1)</f>
        <v>1</v>
      </c>
      <c r="H436" s="208"/>
      <c r="I436" s="208"/>
      <c r="J436" s="208"/>
      <c r="K436" s="208"/>
      <c r="L436" s="208" t="str">
        <v/>
      </c>
      <c r="M436" s="208" t="str">
        <v/>
      </c>
    </row>
    <row r="437" spans="1:13" ht="14.4">
      <c r="A437" s="199" t="str">
        <f ca="1">IFERROR(__xludf.DUMMYFUNCTION("""COMPUTED_VALUE"""),"DL")</f>
        <v>DL</v>
      </c>
      <c r="B437" s="207" t="str">
        <f ca="1">IFERROR(__xludf.DUMMYFUNCTION("""COMPUTED_VALUE"""),"andre Smallcorn")</f>
        <v>andre Smallcorn</v>
      </c>
      <c r="C437" s="199">
        <f ca="1">IFERROR(__xludf.DUMMYFUNCTION("""COMPUTED_VALUE"""),12)</f>
        <v>12</v>
      </c>
      <c r="D437" s="199" t="str">
        <f ca="1">IFERROR(__xludf.DUMMYFUNCTION("""COMPUTED_VALUE"""),"B")</f>
        <v>B</v>
      </c>
      <c r="E437" s="202" t="str">
        <f ca="1">IFERROR(__xludf.DUMMYFUNCTION("""COMPUTED_VALUE"""),"J")</f>
        <v>J</v>
      </c>
      <c r="F437" s="202" t="str">
        <f ca="1">IFERROR(__xludf.DUMMYFUNCTION("""COMPUTED_VALUE"""),"I")</f>
        <v>I</v>
      </c>
      <c r="G437" s="202">
        <f ca="1">IFERROR(__xludf.DUMMYFUNCTION("""COMPUTED_VALUE"""),1)</f>
        <v>1</v>
      </c>
      <c r="H437" s="206"/>
      <c r="I437" s="206"/>
      <c r="J437" s="206"/>
      <c r="K437" s="206"/>
      <c r="L437" s="206" t="str">
        <v/>
      </c>
      <c r="M437" s="206" t="str">
        <v/>
      </c>
    </row>
    <row r="438" spans="1:13" ht="14.4">
      <c r="A438" s="199" t="str">
        <f ca="1">IFERROR(__xludf.DUMMYFUNCTION("""COMPUTED_VALUE"""),"DL")</f>
        <v>DL</v>
      </c>
      <c r="B438" s="207" t="str">
        <f ca="1">IFERROR(__xludf.DUMMYFUNCTION("""COMPUTED_VALUE"""),"Elliott Lam")</f>
        <v>Elliott Lam</v>
      </c>
      <c r="C438" s="199">
        <f ca="1">IFERROR(__xludf.DUMMYFUNCTION("""COMPUTED_VALUE"""),12)</f>
        <v>12</v>
      </c>
      <c r="D438" s="199" t="str">
        <f ca="1">IFERROR(__xludf.DUMMYFUNCTION("""COMPUTED_VALUE"""),"B")</f>
        <v>B</v>
      </c>
      <c r="E438" s="202" t="str">
        <f ca="1">IFERROR(__xludf.DUMMYFUNCTION("""COMPUTED_VALUE"""),"J")</f>
        <v>J</v>
      </c>
      <c r="F438" s="202" t="str">
        <f ca="1">IFERROR(__xludf.DUMMYFUNCTION("""COMPUTED_VALUE"""),"I")</f>
        <v>I</v>
      </c>
      <c r="G438" s="202">
        <f ca="1">IFERROR(__xludf.DUMMYFUNCTION("""COMPUTED_VALUE"""),1)</f>
        <v>1</v>
      </c>
      <c r="H438" s="206"/>
      <c r="I438" s="206">
        <v>75.8</v>
      </c>
      <c r="J438" s="206"/>
      <c r="K438" s="206" t="s">
        <v>121</v>
      </c>
      <c r="L438" s="206" t="str">
        <v xml:space="preserve"> 75.8</v>
      </c>
      <c r="M438" s="206" t="str">
        <v/>
      </c>
    </row>
    <row r="439" spans="1:13" ht="14.4">
      <c r="A439" s="199" t="str">
        <f ca="1">IFERROR(__xludf.DUMMYFUNCTION("""COMPUTED_VALUE"""),"DL")</f>
        <v>DL</v>
      </c>
      <c r="B439" s="207" t="str">
        <f ca="1">IFERROR(__xludf.DUMMYFUNCTION("""COMPUTED_VALUE"""),"Joshua Taliaferro")</f>
        <v>Joshua Taliaferro</v>
      </c>
      <c r="C439" s="199">
        <f ca="1">IFERROR(__xludf.DUMMYFUNCTION("""COMPUTED_VALUE"""),12)</f>
        <v>12</v>
      </c>
      <c r="D439" s="199" t="str">
        <f ca="1">IFERROR(__xludf.DUMMYFUNCTION("""COMPUTED_VALUE"""),"B")</f>
        <v>B</v>
      </c>
      <c r="E439" s="202" t="str">
        <f ca="1">IFERROR(__xludf.DUMMYFUNCTION("""COMPUTED_VALUE"""),"J")</f>
        <v>J</v>
      </c>
      <c r="F439" s="202" t="str">
        <f ca="1">IFERROR(__xludf.DUMMYFUNCTION("""COMPUTED_VALUE"""),"I")</f>
        <v>I</v>
      </c>
      <c r="G439" s="202">
        <f ca="1">IFERROR(__xludf.DUMMYFUNCTION("""COMPUTED_VALUE"""),1)</f>
        <v>1</v>
      </c>
      <c r="H439" s="208"/>
      <c r="I439" s="208">
        <v>88.3</v>
      </c>
      <c r="J439" s="208"/>
      <c r="K439" s="208" t="s">
        <v>121</v>
      </c>
      <c r="L439" s="208" t="str">
        <v xml:space="preserve"> 88.3</v>
      </c>
      <c r="M439" s="208" t="str">
        <v/>
      </c>
    </row>
    <row r="440" spans="1:13" ht="14.4">
      <c r="A440" s="199" t="str">
        <f ca="1">IFERROR(__xludf.DUMMYFUNCTION("""COMPUTED_VALUE"""),"DL")</f>
        <v>DL</v>
      </c>
      <c r="B440" s="207" t="str">
        <f ca="1">IFERROR(__xludf.DUMMYFUNCTION("""COMPUTED_VALUE"""),"Lee Vanstory")</f>
        <v>Lee Vanstory</v>
      </c>
      <c r="C440" s="199">
        <f ca="1">IFERROR(__xludf.DUMMYFUNCTION("""COMPUTED_VALUE"""),12)</f>
        <v>12</v>
      </c>
      <c r="D440" s="199" t="str">
        <f ca="1">IFERROR(__xludf.DUMMYFUNCTION("""COMPUTED_VALUE"""),"B")</f>
        <v>B</v>
      </c>
      <c r="E440" s="202" t="str">
        <f ca="1">IFERROR(__xludf.DUMMYFUNCTION("""COMPUTED_VALUE"""),"J")</f>
        <v>J</v>
      </c>
      <c r="F440" s="202" t="str">
        <f ca="1">IFERROR(__xludf.DUMMYFUNCTION("""COMPUTED_VALUE"""),"I")</f>
        <v>I</v>
      </c>
      <c r="G440" s="202">
        <f ca="1">IFERROR(__xludf.DUMMYFUNCTION("""COMPUTED_VALUE"""),1)</f>
        <v>1</v>
      </c>
      <c r="H440" s="208"/>
      <c r="I440" s="208"/>
      <c r="J440" s="208"/>
      <c r="K440" s="208"/>
      <c r="L440" s="208" t="str">
        <v/>
      </c>
      <c r="M440" s="208" t="str">
        <v/>
      </c>
    </row>
    <row r="441" spans="1:13" ht="14.4">
      <c r="A441" s="199" t="str">
        <f ca="1">IFERROR(__xludf.DUMMYFUNCTION("""COMPUTED_VALUE"""),"DL")</f>
        <v>DL</v>
      </c>
      <c r="B441" s="207" t="str">
        <f ca="1">IFERROR(__xludf.DUMMYFUNCTION("""COMPUTED_VALUE"""),"Lex Brucker")</f>
        <v>Lex Brucker</v>
      </c>
      <c r="C441" s="199">
        <f ca="1">IFERROR(__xludf.DUMMYFUNCTION("""COMPUTED_VALUE"""),11)</f>
        <v>11</v>
      </c>
      <c r="D441" s="199" t="str">
        <f ca="1">IFERROR(__xludf.DUMMYFUNCTION("""COMPUTED_VALUE"""),"B")</f>
        <v>B</v>
      </c>
      <c r="E441" s="202" t="str">
        <f ca="1">IFERROR(__xludf.DUMMYFUNCTION("""COMPUTED_VALUE"""),"J")</f>
        <v>J</v>
      </c>
      <c r="F441" s="202" t="str">
        <f ca="1">IFERROR(__xludf.DUMMYFUNCTION("""COMPUTED_VALUE"""),"I")</f>
        <v>I</v>
      </c>
      <c r="G441" s="202">
        <f ca="1">IFERROR(__xludf.DUMMYFUNCTION("""COMPUTED_VALUE"""),1)</f>
        <v>1</v>
      </c>
      <c r="H441" s="206"/>
      <c r="I441" s="206"/>
      <c r="J441" s="206"/>
      <c r="K441" s="206"/>
      <c r="L441" s="206" t="str">
        <v/>
      </c>
      <c r="M441" s="206" t="str">
        <v/>
      </c>
    </row>
    <row r="442" spans="1:13" ht="14.4">
      <c r="A442" s="199" t="str">
        <f ca="1">IFERROR(__xludf.DUMMYFUNCTION("""COMPUTED_VALUE"""),"DL")</f>
        <v>DL</v>
      </c>
      <c r="B442" s="207" t="str">
        <f ca="1">IFERROR(__xludf.DUMMYFUNCTION("""COMPUTED_VALUE"""),"Owen Koch")</f>
        <v>Owen Koch</v>
      </c>
      <c r="C442" s="199">
        <f ca="1">IFERROR(__xludf.DUMMYFUNCTION("""COMPUTED_VALUE"""),11)</f>
        <v>11</v>
      </c>
      <c r="D442" s="199" t="str">
        <f ca="1">IFERROR(__xludf.DUMMYFUNCTION("""COMPUTED_VALUE"""),"B")</f>
        <v>B</v>
      </c>
      <c r="E442" s="202" t="str">
        <f ca="1">IFERROR(__xludf.DUMMYFUNCTION("""COMPUTED_VALUE"""),"J")</f>
        <v>J</v>
      </c>
      <c r="F442" s="202" t="str">
        <f ca="1">IFERROR(__xludf.DUMMYFUNCTION("""COMPUTED_VALUE"""),"I")</f>
        <v>I</v>
      </c>
      <c r="G442" s="202">
        <f ca="1">IFERROR(__xludf.DUMMYFUNCTION("""COMPUTED_VALUE"""),1)</f>
        <v>1</v>
      </c>
      <c r="H442" s="208"/>
      <c r="I442" s="208"/>
      <c r="J442" s="208"/>
      <c r="K442" s="208"/>
      <c r="L442" s="208" t="str">
        <v/>
      </c>
      <c r="M442" s="208" t="str">
        <v/>
      </c>
    </row>
    <row r="443" spans="1:13" ht="14.4">
      <c r="A443" s="199" t="str">
        <f ca="1">IFERROR(__xludf.DUMMYFUNCTION("""COMPUTED_VALUE"""),"DL")</f>
        <v>DL</v>
      </c>
      <c r="B443" s="207" t="str">
        <f ca="1">IFERROR(__xludf.DUMMYFUNCTION("""COMPUTED_VALUE"""),"Peter Beatty")</f>
        <v>Peter Beatty</v>
      </c>
      <c r="C443" s="199">
        <f ca="1">IFERROR(__xludf.DUMMYFUNCTION("""COMPUTED_VALUE"""),11)</f>
        <v>11</v>
      </c>
      <c r="D443" s="199" t="str">
        <f ca="1">IFERROR(__xludf.DUMMYFUNCTION("""COMPUTED_VALUE"""),"B")</f>
        <v>B</v>
      </c>
      <c r="E443" s="202" t="str">
        <f ca="1">IFERROR(__xludf.DUMMYFUNCTION("""COMPUTED_VALUE"""),"J")</f>
        <v>J</v>
      </c>
      <c r="F443" s="202" t="str">
        <f ca="1">IFERROR(__xludf.DUMMYFUNCTION("""COMPUTED_VALUE"""),"I")</f>
        <v>I</v>
      </c>
      <c r="G443" s="202">
        <f ca="1">IFERROR(__xludf.DUMMYFUNCTION("""COMPUTED_VALUE"""),1)</f>
        <v>1</v>
      </c>
      <c r="H443" s="206"/>
      <c r="I443" s="206"/>
      <c r="J443" s="206"/>
      <c r="K443" s="206"/>
      <c r="L443" s="206" t="str">
        <v/>
      </c>
      <c r="M443" s="206" t="str">
        <v/>
      </c>
    </row>
    <row r="444" spans="1:13" ht="14.4">
      <c r="A444" s="199" t="str">
        <f ca="1">IFERROR(__xludf.DUMMYFUNCTION("""COMPUTED_VALUE"""),"DL")</f>
        <v>DL</v>
      </c>
      <c r="B444" s="207" t="str">
        <f ca="1">IFERROR(__xludf.DUMMYFUNCTION("""COMPUTED_VALUE"""),"Peyton Reed")</f>
        <v>Peyton Reed</v>
      </c>
      <c r="C444" s="199">
        <f ca="1">IFERROR(__xludf.DUMMYFUNCTION("""COMPUTED_VALUE"""),11)</f>
        <v>11</v>
      </c>
      <c r="D444" s="199" t="str">
        <f ca="1">IFERROR(__xludf.DUMMYFUNCTION("""COMPUTED_VALUE"""),"B")</f>
        <v>B</v>
      </c>
      <c r="E444" s="202" t="str">
        <f ca="1">IFERROR(__xludf.DUMMYFUNCTION("""COMPUTED_VALUE"""),"J")</f>
        <v>J</v>
      </c>
      <c r="F444" s="202" t="str">
        <f ca="1">IFERROR(__xludf.DUMMYFUNCTION("""COMPUTED_VALUE"""),"I")</f>
        <v>I</v>
      </c>
      <c r="G444" s="202">
        <f ca="1">IFERROR(__xludf.DUMMYFUNCTION("""COMPUTED_VALUE"""),1)</f>
        <v>1</v>
      </c>
      <c r="H444" s="208"/>
      <c r="I444" s="208">
        <v>132.69999999999999</v>
      </c>
      <c r="J444" s="208"/>
      <c r="K444" s="208" t="s">
        <v>121</v>
      </c>
      <c r="L444" s="208" t="str">
        <v xml:space="preserve"> 132.7</v>
      </c>
      <c r="M444" s="208" t="str">
        <v/>
      </c>
    </row>
    <row r="445" spans="1:13" ht="14.4">
      <c r="A445" s="199" t="str">
        <f ca="1">IFERROR(__xludf.DUMMYFUNCTION("""COMPUTED_VALUE"""),"DL")</f>
        <v>DL</v>
      </c>
      <c r="B445" s="207" t="str">
        <f ca="1">IFERROR(__xludf.DUMMYFUNCTION("""COMPUTED_VALUE"""),"Reid Woltman")</f>
        <v>Reid Woltman</v>
      </c>
      <c r="C445" s="199">
        <f ca="1">IFERROR(__xludf.DUMMYFUNCTION("""COMPUTED_VALUE"""),11)</f>
        <v>11</v>
      </c>
      <c r="D445" s="199" t="str">
        <f ca="1">IFERROR(__xludf.DUMMYFUNCTION("""COMPUTED_VALUE"""),"B")</f>
        <v>B</v>
      </c>
      <c r="E445" s="202" t="str">
        <f ca="1">IFERROR(__xludf.DUMMYFUNCTION("""COMPUTED_VALUE"""),"J")</f>
        <v>J</v>
      </c>
      <c r="F445" s="202" t="str">
        <f ca="1">IFERROR(__xludf.DUMMYFUNCTION("""COMPUTED_VALUE"""),"I")</f>
        <v>I</v>
      </c>
      <c r="G445" s="202">
        <f ca="1">IFERROR(__xludf.DUMMYFUNCTION("""COMPUTED_VALUE"""),1)</f>
        <v>1</v>
      </c>
      <c r="H445" s="206"/>
      <c r="I445" s="206"/>
      <c r="J445" s="206"/>
      <c r="K445" s="206"/>
      <c r="L445" s="206" t="str">
        <v/>
      </c>
      <c r="M445" s="206" t="str">
        <v/>
      </c>
    </row>
    <row r="446" spans="1:13" ht="14.4">
      <c r="A446" s="199" t="str">
        <f ca="1">IFERROR(__xludf.DUMMYFUNCTION("""COMPUTED_VALUE"""),"DL")</f>
        <v>DL</v>
      </c>
      <c r="B446" s="207" t="str">
        <f ca="1">IFERROR(__xludf.DUMMYFUNCTION("""COMPUTED_VALUE"""),"Sam Himmel")</f>
        <v>Sam Himmel</v>
      </c>
      <c r="C446" s="199">
        <f ca="1">IFERROR(__xludf.DUMMYFUNCTION("""COMPUTED_VALUE"""),11)</f>
        <v>11</v>
      </c>
      <c r="D446" s="199" t="str">
        <f ca="1">IFERROR(__xludf.DUMMYFUNCTION("""COMPUTED_VALUE"""),"B")</f>
        <v>B</v>
      </c>
      <c r="E446" s="202" t="str">
        <f ca="1">IFERROR(__xludf.DUMMYFUNCTION("""COMPUTED_VALUE"""),"J")</f>
        <v>J</v>
      </c>
      <c r="F446" s="202" t="str">
        <f ca="1">IFERROR(__xludf.DUMMYFUNCTION("""COMPUTED_VALUE"""),"I")</f>
        <v>I</v>
      </c>
      <c r="G446" s="202">
        <f ca="1">IFERROR(__xludf.DUMMYFUNCTION("""COMPUTED_VALUE"""),1)</f>
        <v>1</v>
      </c>
      <c r="H446" s="206"/>
      <c r="I446" s="206"/>
      <c r="J446" s="206"/>
      <c r="K446" s="206"/>
      <c r="L446" s="206" t="str">
        <v/>
      </c>
      <c r="M446" s="206" t="str">
        <v/>
      </c>
    </row>
    <row r="447" spans="1:13" ht="14.4">
      <c r="A447" s="199" t="str">
        <f ca="1">IFERROR(__xludf.DUMMYFUNCTION("""COMPUTED_VALUE"""),"DL")</f>
        <v>DL</v>
      </c>
      <c r="B447" s="207" t="str">
        <f ca="1">IFERROR(__xludf.DUMMYFUNCTION("""COMPUTED_VALUE"""),"Sean Esen")</f>
        <v>Sean Esen</v>
      </c>
      <c r="C447" s="199">
        <f ca="1">IFERROR(__xludf.DUMMYFUNCTION("""COMPUTED_VALUE"""),12)</f>
        <v>12</v>
      </c>
      <c r="D447" s="199" t="str">
        <f ca="1">IFERROR(__xludf.DUMMYFUNCTION("""COMPUTED_VALUE"""),"B")</f>
        <v>B</v>
      </c>
      <c r="E447" s="202" t="str">
        <f ca="1">IFERROR(__xludf.DUMMYFUNCTION("""COMPUTED_VALUE"""),"J")</f>
        <v>J</v>
      </c>
      <c r="F447" s="202" t="str">
        <f ca="1">IFERROR(__xludf.DUMMYFUNCTION("""COMPUTED_VALUE"""),"I")</f>
        <v>I</v>
      </c>
      <c r="G447" s="202">
        <f ca="1">IFERROR(__xludf.DUMMYFUNCTION("""COMPUTED_VALUE"""),1)</f>
        <v>1</v>
      </c>
      <c r="H447" s="206"/>
      <c r="I447" s="206"/>
      <c r="J447" s="206"/>
      <c r="K447" s="206"/>
      <c r="L447" s="206" t="str">
        <v/>
      </c>
      <c r="M447" s="206" t="str">
        <v/>
      </c>
    </row>
    <row r="448" spans="1:13" ht="14.4">
      <c r="A448" s="199" t="str">
        <f ca="1">IFERROR(__xludf.DUMMYFUNCTION("""COMPUTED_VALUE"""),"DL")</f>
        <v>DL</v>
      </c>
      <c r="B448" s="207" t="str">
        <f ca="1">IFERROR(__xludf.DUMMYFUNCTION("""COMPUTED_VALUE"""),"Will Depaz")</f>
        <v>Will Depaz</v>
      </c>
      <c r="C448" s="199">
        <f ca="1">IFERROR(__xludf.DUMMYFUNCTION("""COMPUTED_VALUE"""),12)</f>
        <v>12</v>
      </c>
      <c r="D448" s="199" t="str">
        <f ca="1">IFERROR(__xludf.DUMMYFUNCTION("""COMPUTED_VALUE"""),"B")</f>
        <v>B</v>
      </c>
      <c r="E448" s="202" t="str">
        <f ca="1">IFERROR(__xludf.DUMMYFUNCTION("""COMPUTED_VALUE"""),"J")</f>
        <v>J</v>
      </c>
      <c r="F448" s="202" t="str">
        <f ca="1">IFERROR(__xludf.DUMMYFUNCTION("""COMPUTED_VALUE"""),"I")</f>
        <v>I</v>
      </c>
      <c r="G448" s="202">
        <f ca="1">IFERROR(__xludf.DUMMYFUNCTION("""COMPUTED_VALUE"""),1)</f>
        <v>1</v>
      </c>
      <c r="H448" s="208"/>
      <c r="I448" s="208"/>
      <c r="J448" s="208"/>
      <c r="K448" s="208"/>
      <c r="L448" s="208" t="str">
        <v/>
      </c>
      <c r="M448" s="208" t="str">
        <v/>
      </c>
    </row>
    <row r="449" spans="1:13" ht="14.4">
      <c r="A449" s="199" t="str">
        <f ca="1">IFERROR(__xludf.DUMMYFUNCTION("""COMPUTED_VALUE"""),"DL")</f>
        <v>DL</v>
      </c>
      <c r="B449" s="207" t="str">
        <f ca="1">IFERROR(__xludf.DUMMYFUNCTION("""COMPUTED_VALUE"""),"Allison Rokita")</f>
        <v>Allison Rokita</v>
      </c>
      <c r="C449" s="199">
        <f ca="1">IFERROR(__xludf.DUMMYFUNCTION("""COMPUTED_VALUE"""),12)</f>
        <v>12</v>
      </c>
      <c r="D449" s="199" t="str">
        <f ca="1">IFERROR(__xludf.DUMMYFUNCTION("""COMPUTED_VALUE"""),"G")</f>
        <v>G</v>
      </c>
      <c r="E449" s="202" t="str">
        <f ca="1">IFERROR(__xludf.DUMMYFUNCTION("""COMPUTED_VALUE"""),"J")</f>
        <v>J</v>
      </c>
      <c r="F449" s="202" t="str">
        <f ca="1">IFERROR(__xludf.DUMMYFUNCTION("""COMPUTED_VALUE"""),"I")</f>
        <v>I</v>
      </c>
      <c r="G449" s="202">
        <f ca="1">IFERROR(__xludf.DUMMYFUNCTION("""COMPUTED_VALUE"""),1)</f>
        <v>1</v>
      </c>
      <c r="H449" s="206"/>
      <c r="I449" s="206"/>
      <c r="J449" s="206"/>
      <c r="K449" s="206"/>
      <c r="L449" s="206" t="str">
        <v/>
      </c>
      <c r="M449" s="206" t="str">
        <v/>
      </c>
    </row>
    <row r="450" spans="1:13" ht="14.4">
      <c r="A450" s="199" t="str">
        <f ca="1">IFERROR(__xludf.DUMMYFUNCTION("""COMPUTED_VALUE"""),"DL")</f>
        <v>DL</v>
      </c>
      <c r="B450" s="207" t="str">
        <f ca="1">IFERROR(__xludf.DUMMYFUNCTION("""COMPUTED_VALUE"""),"Asha Stewart")</f>
        <v>Asha Stewart</v>
      </c>
      <c r="C450" s="199">
        <f ca="1">IFERROR(__xludf.DUMMYFUNCTION("""COMPUTED_VALUE"""),12)</f>
        <v>12</v>
      </c>
      <c r="D450" s="199" t="str">
        <f ca="1">IFERROR(__xludf.DUMMYFUNCTION("""COMPUTED_VALUE"""),"G")</f>
        <v>G</v>
      </c>
      <c r="E450" s="202" t="str">
        <f ca="1">IFERROR(__xludf.DUMMYFUNCTION("""COMPUTED_VALUE"""),"J")</f>
        <v>J</v>
      </c>
      <c r="F450" s="202" t="str">
        <f ca="1">IFERROR(__xludf.DUMMYFUNCTION("""COMPUTED_VALUE"""),"I")</f>
        <v>I</v>
      </c>
      <c r="G450" s="202">
        <f ca="1">IFERROR(__xludf.DUMMYFUNCTION("""COMPUTED_VALUE"""),1)</f>
        <v>1</v>
      </c>
      <c r="H450" s="206">
        <v>84.95</v>
      </c>
      <c r="I450" s="206"/>
      <c r="J450" s="206" t="s">
        <v>121</v>
      </c>
      <c r="K450" s="206"/>
      <c r="L450" s="206" t="str">
        <v xml:space="preserve"> 84.95</v>
      </c>
      <c r="M450" s="206" t="str">
        <v/>
      </c>
    </row>
    <row r="451" spans="1:13" ht="14.4">
      <c r="A451" s="199" t="str">
        <f ca="1">IFERROR(__xludf.DUMMYFUNCTION("""COMPUTED_VALUE"""),"DL")</f>
        <v>DL</v>
      </c>
      <c r="B451" s="207" t="str">
        <f ca="1">IFERROR(__xludf.DUMMYFUNCTION("""COMPUTED_VALUE"""),"Juliana Esen")</f>
        <v>Juliana Esen</v>
      </c>
      <c r="C451" s="199">
        <f ca="1">IFERROR(__xludf.DUMMYFUNCTION("""COMPUTED_VALUE"""),12)</f>
        <v>12</v>
      </c>
      <c r="D451" s="199" t="str">
        <f ca="1">IFERROR(__xludf.DUMMYFUNCTION("""COMPUTED_VALUE"""),"G")</f>
        <v>G</v>
      </c>
      <c r="E451" s="202" t="str">
        <f ca="1">IFERROR(__xludf.DUMMYFUNCTION("""COMPUTED_VALUE"""),"J")</f>
        <v>J</v>
      </c>
      <c r="F451" s="202" t="str">
        <f ca="1">IFERROR(__xludf.DUMMYFUNCTION("""COMPUTED_VALUE"""),"I")</f>
        <v>I</v>
      </c>
      <c r="G451" s="202">
        <f ca="1">IFERROR(__xludf.DUMMYFUNCTION("""COMPUTED_VALUE"""),1)</f>
        <v>1</v>
      </c>
      <c r="H451" s="206"/>
      <c r="I451" s="206"/>
      <c r="J451" s="206"/>
      <c r="K451" s="206"/>
      <c r="L451" s="206" t="str">
        <v/>
      </c>
      <c r="M451" s="206" t="str">
        <v/>
      </c>
    </row>
    <row r="452" spans="1:13" ht="14.4">
      <c r="A452" s="199" t="str">
        <f ca="1">IFERROR(__xludf.DUMMYFUNCTION("""COMPUTED_VALUE"""),"DL")</f>
        <v>DL</v>
      </c>
      <c r="B452" s="207" t="str">
        <f ca="1">IFERROR(__xludf.DUMMYFUNCTION("""COMPUTED_VALUE"""),"Kiran Vasudevan")</f>
        <v>Kiran Vasudevan</v>
      </c>
      <c r="C452" s="199">
        <f ca="1">IFERROR(__xludf.DUMMYFUNCTION("""COMPUTED_VALUE"""),12)</f>
        <v>12</v>
      </c>
      <c r="D452" s="199" t="str">
        <f ca="1">IFERROR(__xludf.DUMMYFUNCTION("""COMPUTED_VALUE"""),"G")</f>
        <v>G</v>
      </c>
      <c r="E452" s="202" t="str">
        <f ca="1">IFERROR(__xludf.DUMMYFUNCTION("""COMPUTED_VALUE"""),"J")</f>
        <v>J</v>
      </c>
      <c r="F452" s="202" t="str">
        <f ca="1">IFERROR(__xludf.DUMMYFUNCTION("""COMPUTED_VALUE"""),"I")</f>
        <v>I</v>
      </c>
      <c r="G452" s="202">
        <f ca="1">IFERROR(__xludf.DUMMYFUNCTION("""COMPUTED_VALUE"""),1)</f>
        <v>1</v>
      </c>
      <c r="H452" s="208">
        <v>98.4</v>
      </c>
      <c r="I452" s="208"/>
      <c r="J452" s="208" t="s">
        <v>121</v>
      </c>
      <c r="K452" s="208"/>
      <c r="L452" s="208" t="str">
        <v xml:space="preserve"> 98.4</v>
      </c>
      <c r="M452" s="208" t="str">
        <v/>
      </c>
    </row>
    <row r="453" spans="1:13" ht="14.4">
      <c r="A453" s="199" t="str">
        <f ca="1">IFERROR(__xludf.DUMMYFUNCTION("""COMPUTED_VALUE"""),"DL")</f>
        <v>DL</v>
      </c>
      <c r="B453" s="207" t="str">
        <f ca="1">IFERROR(__xludf.DUMMYFUNCTION("""COMPUTED_VALUE"""),"Rianna Krishnan")</f>
        <v>Rianna Krishnan</v>
      </c>
      <c r="C453" s="199">
        <f ca="1">IFERROR(__xludf.DUMMYFUNCTION("""COMPUTED_VALUE"""),12)</f>
        <v>12</v>
      </c>
      <c r="D453" s="199" t="str">
        <f ca="1">IFERROR(__xludf.DUMMYFUNCTION("""COMPUTED_VALUE"""),"G")</f>
        <v>G</v>
      </c>
      <c r="E453" s="202" t="str">
        <f ca="1">IFERROR(__xludf.DUMMYFUNCTION("""COMPUTED_VALUE"""),"J")</f>
        <v>J</v>
      </c>
      <c r="F453" s="202" t="str">
        <f ca="1">IFERROR(__xludf.DUMMYFUNCTION("""COMPUTED_VALUE"""),"I")</f>
        <v>I</v>
      </c>
      <c r="G453" s="202">
        <f ca="1">IFERROR(__xludf.DUMMYFUNCTION("""COMPUTED_VALUE"""),1)</f>
        <v>1</v>
      </c>
      <c r="H453" s="206"/>
      <c r="I453" s="206"/>
      <c r="J453" s="206"/>
      <c r="K453" s="206"/>
      <c r="L453" s="206" t="str">
        <v/>
      </c>
      <c r="M453" s="206" t="str">
        <v/>
      </c>
    </row>
    <row r="454" spans="1:13" ht="14.4">
      <c r="A454" s="199" t="str">
        <f ca="1">IFERROR(__xludf.DUMMYFUNCTION("""COMPUTED_VALUE"""),"DL")</f>
        <v>DL</v>
      </c>
      <c r="B454" s="207" t="str">
        <f ca="1">IFERROR(__xludf.DUMMYFUNCTION("""COMPUTED_VALUE"""),"Sofia Falsone")</f>
        <v>Sofia Falsone</v>
      </c>
      <c r="C454" s="199">
        <f ca="1">IFERROR(__xludf.DUMMYFUNCTION("""COMPUTED_VALUE"""),11)</f>
        <v>11</v>
      </c>
      <c r="D454" s="199" t="str">
        <f ca="1">IFERROR(__xludf.DUMMYFUNCTION("""COMPUTED_VALUE"""),"G")</f>
        <v>G</v>
      </c>
      <c r="E454" s="202" t="str">
        <f ca="1">IFERROR(__xludf.DUMMYFUNCTION("""COMPUTED_VALUE"""),"J")</f>
        <v>J</v>
      </c>
      <c r="F454" s="202" t="str">
        <f ca="1">IFERROR(__xludf.DUMMYFUNCTION("""COMPUTED_VALUE"""),"I")</f>
        <v>I</v>
      </c>
      <c r="G454" s="202">
        <f ca="1">IFERROR(__xludf.DUMMYFUNCTION("""COMPUTED_VALUE"""),1)</f>
        <v>1</v>
      </c>
      <c r="H454" s="208"/>
      <c r="I454" s="208"/>
      <c r="J454" s="208"/>
      <c r="K454" s="208"/>
      <c r="L454" s="208" t="str">
        <v/>
      </c>
      <c r="M454" s="208" t="str">
        <v/>
      </c>
    </row>
    <row r="455" spans="1:13" ht="14.4">
      <c r="A455" s="199" t="str">
        <f ca="1">IFERROR(__xludf.DUMMYFUNCTION("""COMPUTED_VALUE"""),"DL")</f>
        <v>DL</v>
      </c>
      <c r="B455" s="207" t="str">
        <f ca="1">IFERROR(__xludf.DUMMYFUNCTION("""COMPUTED_VALUE"""),"sophie Ratner")</f>
        <v>sophie Ratner</v>
      </c>
      <c r="C455" s="199">
        <f ca="1">IFERROR(__xludf.DUMMYFUNCTION("""COMPUTED_VALUE"""),11)</f>
        <v>11</v>
      </c>
      <c r="D455" s="199" t="str">
        <f ca="1">IFERROR(__xludf.DUMMYFUNCTION("""COMPUTED_VALUE"""),"G")</f>
        <v>G</v>
      </c>
      <c r="E455" s="202" t="str">
        <f ca="1">IFERROR(__xludf.DUMMYFUNCTION("""COMPUTED_VALUE"""),"J")</f>
        <v>J</v>
      </c>
      <c r="F455" s="202" t="str">
        <f ca="1">IFERROR(__xludf.DUMMYFUNCTION("""COMPUTED_VALUE"""),"I")</f>
        <v>I</v>
      </c>
      <c r="G455" s="202">
        <f ca="1">IFERROR(__xludf.DUMMYFUNCTION("""COMPUTED_VALUE"""),1)</f>
        <v>1</v>
      </c>
      <c r="H455" s="206">
        <v>89.3</v>
      </c>
      <c r="I455" s="206"/>
      <c r="J455" s="206" t="s">
        <v>121</v>
      </c>
      <c r="K455" s="206"/>
      <c r="L455" s="206" t="str">
        <v xml:space="preserve"> 89.3</v>
      </c>
      <c r="M455" s="206" t="str">
        <v/>
      </c>
    </row>
    <row r="456" spans="1:13" ht="14.4">
      <c r="A456" s="199" t="str">
        <f ca="1">IFERROR(__xludf.DUMMYFUNCTION("""COMPUTED_VALUE"""),"DL")</f>
        <v>DL</v>
      </c>
      <c r="B456" s="207" t="str">
        <f ca="1">IFERROR(__xludf.DUMMYFUNCTION("""COMPUTED_VALUE"""),"Rishi Vasudevan")</f>
        <v>Rishi Vasudevan</v>
      </c>
      <c r="C456" s="199">
        <f ca="1">IFERROR(__xludf.DUMMYFUNCTION("""COMPUTED_VALUE"""),17)</f>
        <v>17</v>
      </c>
      <c r="D456" s="199" t="str">
        <f ca="1">IFERROR(__xludf.DUMMYFUNCTION("""COMPUTED_VALUE"""),"B")</f>
        <v>B</v>
      </c>
      <c r="E456" s="202" t="str">
        <f ca="1">IFERROR(__xludf.DUMMYFUNCTION("""COMPUTED_VALUE"""),"S")</f>
        <v>S</v>
      </c>
      <c r="F456" s="202" t="str">
        <f ca="1">IFERROR(__xludf.DUMMYFUNCTION("""COMPUTED_VALUE"""),"S")</f>
        <v>S</v>
      </c>
      <c r="G456" s="202">
        <f ca="1">IFERROR(__xludf.DUMMYFUNCTION("""COMPUTED_VALUE"""),1)</f>
        <v>1</v>
      </c>
      <c r="H456" s="206"/>
      <c r="I456" s="206">
        <v>157.44999999999999</v>
      </c>
      <c r="J456" s="206"/>
      <c r="K456" s="206" t="s">
        <v>121</v>
      </c>
      <c r="L456" s="206" t="str">
        <v xml:space="preserve"> 157.45</v>
      </c>
      <c r="M456" s="206" t="str">
        <v/>
      </c>
    </row>
    <row r="457" spans="1:13" ht="14.4">
      <c r="A457" s="199" t="str">
        <f ca="1">IFERROR(__xludf.DUMMYFUNCTION("""COMPUTED_VALUE"""),"DL")</f>
        <v>DL</v>
      </c>
      <c r="B457" s="207" t="str">
        <f ca="1">IFERROR(__xludf.DUMMYFUNCTION("""COMPUTED_VALUE"""),"Spencer Bloom")</f>
        <v>Spencer Bloom</v>
      </c>
      <c r="C457" s="199">
        <f ca="1">IFERROR(__xludf.DUMMYFUNCTION("""COMPUTED_VALUE"""),17)</f>
        <v>17</v>
      </c>
      <c r="D457" s="199" t="str">
        <f ca="1">IFERROR(__xludf.DUMMYFUNCTION("""COMPUTED_VALUE"""),"B")</f>
        <v>B</v>
      </c>
      <c r="E457" s="202" t="str">
        <f ca="1">IFERROR(__xludf.DUMMYFUNCTION("""COMPUTED_VALUE"""),"S")</f>
        <v>S</v>
      </c>
      <c r="F457" s="202" t="str">
        <f ca="1">IFERROR(__xludf.DUMMYFUNCTION("""COMPUTED_VALUE"""),"S")</f>
        <v>S</v>
      </c>
      <c r="G457" s="202">
        <f ca="1">IFERROR(__xludf.DUMMYFUNCTION("""COMPUTED_VALUE"""),1)</f>
        <v>1</v>
      </c>
      <c r="H457" s="206"/>
      <c r="I457" s="206">
        <v>251.7</v>
      </c>
      <c r="J457" s="206"/>
      <c r="K457" s="206" t="s">
        <v>121</v>
      </c>
      <c r="L457" s="206" t="str">
        <v xml:space="preserve"> 251.7</v>
      </c>
      <c r="M457" s="206" t="str">
        <v/>
      </c>
    </row>
    <row r="458" spans="1:13" ht="14.4">
      <c r="A458" s="199" t="str">
        <f ca="1">IFERROR(__xludf.DUMMYFUNCTION("""COMPUTED_VALUE"""),"DL")</f>
        <v>DL</v>
      </c>
      <c r="B458" s="207" t="str">
        <f ca="1">IFERROR(__xludf.DUMMYFUNCTION("""COMPUTED_VALUE"""),"Alanna Korff")</f>
        <v>Alanna Korff</v>
      </c>
      <c r="C458" s="199">
        <f ca="1">IFERROR(__xludf.DUMMYFUNCTION("""COMPUTED_VALUE"""),17)</f>
        <v>17</v>
      </c>
      <c r="D458" s="199" t="str">
        <f ca="1">IFERROR(__xludf.DUMMYFUNCTION("""COMPUTED_VALUE"""),"G")</f>
        <v>G</v>
      </c>
      <c r="E458" s="202" t="str">
        <f ca="1">IFERROR(__xludf.DUMMYFUNCTION("""COMPUTED_VALUE"""),"S")</f>
        <v>S</v>
      </c>
      <c r="F458" s="202" t="str">
        <f ca="1">IFERROR(__xludf.DUMMYFUNCTION("""COMPUTED_VALUE"""),"S")</f>
        <v>S</v>
      </c>
      <c r="G458" s="202">
        <f ca="1">IFERROR(__xludf.DUMMYFUNCTION("""COMPUTED_VALUE"""),1)</f>
        <v>1</v>
      </c>
      <c r="H458" s="208">
        <v>176.25</v>
      </c>
      <c r="I458" s="208"/>
      <c r="J458" s="208" t="s">
        <v>121</v>
      </c>
      <c r="K458" s="208"/>
      <c r="L458" s="208" t="str">
        <v xml:space="preserve"> 176.25</v>
      </c>
      <c r="M458" s="208" t="str">
        <v/>
      </c>
    </row>
    <row r="459" spans="1:13" ht="14.4">
      <c r="A459" s="199" t="str">
        <f ca="1">IFERROR(__xludf.DUMMYFUNCTION("""COMPUTED_VALUE"""),"DL")</f>
        <v>DL</v>
      </c>
      <c r="B459" s="207" t="str">
        <f ca="1">IFERROR(__xludf.DUMMYFUNCTION("""COMPUTED_VALUE"""),"Elsa Marsden")</f>
        <v>Elsa Marsden</v>
      </c>
      <c r="C459" s="199">
        <f ca="1">IFERROR(__xludf.DUMMYFUNCTION("""COMPUTED_VALUE"""),16)</f>
        <v>16</v>
      </c>
      <c r="D459" s="199" t="str">
        <f ca="1">IFERROR(__xludf.DUMMYFUNCTION("""COMPUTED_VALUE"""),"G")</f>
        <v>G</v>
      </c>
      <c r="E459" s="202" t="str">
        <f ca="1">IFERROR(__xludf.DUMMYFUNCTION("""COMPUTED_VALUE"""),"S")</f>
        <v>S</v>
      </c>
      <c r="F459" s="202" t="str">
        <f ca="1">IFERROR(__xludf.DUMMYFUNCTION("""COMPUTED_VALUE"""),"S")</f>
        <v>S</v>
      </c>
      <c r="G459" s="202">
        <f ca="1">IFERROR(__xludf.DUMMYFUNCTION("""COMPUTED_VALUE"""),1)</f>
        <v>1</v>
      </c>
      <c r="H459" s="208">
        <v>185.25</v>
      </c>
      <c r="I459" s="208"/>
      <c r="J459" s="208" t="s">
        <v>121</v>
      </c>
      <c r="K459" s="208"/>
      <c r="L459" s="208" t="str">
        <v xml:space="preserve"> 185.25</v>
      </c>
      <c r="M459" s="208" t="str">
        <v/>
      </c>
    </row>
    <row r="460" spans="1:13" ht="14.4">
      <c r="A460" s="199" t="str">
        <f ca="1">IFERROR(__xludf.DUMMYFUNCTION("""COMPUTED_VALUE"""),"DL")</f>
        <v>DL</v>
      </c>
      <c r="B460" s="207" t="str">
        <f ca="1">IFERROR(__xludf.DUMMYFUNCTION("""COMPUTED_VALUE"""),"Evelyn Burns")</f>
        <v>Evelyn Burns</v>
      </c>
      <c r="C460" s="199">
        <f ca="1">IFERROR(__xludf.DUMMYFUNCTION("""COMPUTED_VALUE"""),17)</f>
        <v>17</v>
      </c>
      <c r="D460" s="199" t="str">
        <f ca="1">IFERROR(__xludf.DUMMYFUNCTION("""COMPUTED_VALUE"""),"G")</f>
        <v>G</v>
      </c>
      <c r="E460" s="202" t="str">
        <f ca="1">IFERROR(__xludf.DUMMYFUNCTION("""COMPUTED_VALUE"""),"S")</f>
        <v>S</v>
      </c>
      <c r="F460" s="202" t="str">
        <f ca="1">IFERROR(__xludf.DUMMYFUNCTION("""COMPUTED_VALUE"""),"S")</f>
        <v>S</v>
      </c>
      <c r="G460" s="202">
        <f ca="1">IFERROR(__xludf.DUMMYFUNCTION("""COMPUTED_VALUE"""),1)</f>
        <v>1</v>
      </c>
      <c r="H460" s="206"/>
      <c r="I460" s="206"/>
      <c r="J460" s="206"/>
      <c r="K460" s="206"/>
      <c r="L460" s="206" t="str">
        <v/>
      </c>
      <c r="M460" s="206" t="str">
        <v/>
      </c>
    </row>
    <row r="461" spans="1:13" ht="14.4">
      <c r="A461" s="199" t="str">
        <f ca="1">IFERROR(__xludf.DUMMYFUNCTION("""COMPUTED_VALUE"""),"DL")</f>
        <v>DL</v>
      </c>
      <c r="B461" s="207" t="str">
        <f ca="1">IFERROR(__xludf.DUMMYFUNCTION("""COMPUTED_VALUE"""),"Olivia Bloom")</f>
        <v>Olivia Bloom</v>
      </c>
      <c r="C461" s="199">
        <f ca="1">IFERROR(__xludf.DUMMYFUNCTION("""COMPUTED_VALUE"""),15)</f>
        <v>15</v>
      </c>
      <c r="D461" s="199" t="str">
        <f ca="1">IFERROR(__xludf.DUMMYFUNCTION("""COMPUTED_VALUE"""),"G")</f>
        <v>G</v>
      </c>
      <c r="E461" s="202" t="str">
        <f ca="1">IFERROR(__xludf.DUMMYFUNCTION("""COMPUTED_VALUE"""),"S")</f>
        <v>S</v>
      </c>
      <c r="F461" s="202" t="str">
        <f ca="1">IFERROR(__xludf.DUMMYFUNCTION("""COMPUTED_VALUE"""),"S")</f>
        <v>S</v>
      </c>
      <c r="G461" s="202">
        <f ca="1">IFERROR(__xludf.DUMMYFUNCTION("""COMPUTED_VALUE"""),1)</f>
        <v>1</v>
      </c>
      <c r="H461" s="206">
        <v>141</v>
      </c>
      <c r="I461" s="206"/>
      <c r="J461" s="206" t="s">
        <v>121</v>
      </c>
      <c r="K461" s="206"/>
      <c r="L461" s="206" t="str">
        <v xml:space="preserve"> 141</v>
      </c>
      <c r="M461" s="206" t="str">
        <v/>
      </c>
    </row>
    <row r="462" spans="1:13" ht="14.4">
      <c r="A462" s="199" t="str">
        <f ca="1">IFERROR(__xludf.DUMMYFUNCTION("""COMPUTED_VALUE"""),"DL")</f>
        <v>DL</v>
      </c>
      <c r="B462" s="207" t="str">
        <f ca="1">IFERROR(__xludf.DUMMYFUNCTION("""COMPUTED_VALUE"""),"Vera Korff")</f>
        <v>Vera Korff</v>
      </c>
      <c r="C462" s="199">
        <f ca="1">IFERROR(__xludf.DUMMYFUNCTION("""COMPUTED_VALUE"""),16)</f>
        <v>16</v>
      </c>
      <c r="D462" s="199" t="str">
        <f ca="1">IFERROR(__xludf.DUMMYFUNCTION("""COMPUTED_VALUE"""),"G")</f>
        <v>G</v>
      </c>
      <c r="E462" s="202" t="str">
        <f ca="1">IFERROR(__xludf.DUMMYFUNCTION("""COMPUTED_VALUE"""),"S")</f>
        <v>S</v>
      </c>
      <c r="F462" s="202" t="str">
        <f ca="1">IFERROR(__xludf.DUMMYFUNCTION("""COMPUTED_VALUE"""),"S")</f>
        <v>S</v>
      </c>
      <c r="G462" s="202">
        <f ca="1">IFERROR(__xludf.DUMMYFUNCTION("""COMPUTED_VALUE"""),1)</f>
        <v>1</v>
      </c>
      <c r="H462" s="208"/>
      <c r="I462" s="208"/>
      <c r="J462" s="208"/>
      <c r="K462" s="208"/>
      <c r="L462" s="208" t="str">
        <v/>
      </c>
      <c r="M462" s="208" t="str">
        <v/>
      </c>
    </row>
    <row r="463" spans="1:13" ht="14.4">
      <c r="A463" s="199" t="str">
        <f ca="1">IFERROR(__xludf.DUMMYFUNCTION("""COMPUTED_VALUE"""),"DR")</f>
        <v>DR</v>
      </c>
      <c r="B463" s="207" t="str">
        <f ca="1">IFERROR(__xludf.DUMMYFUNCTION("""COMPUTED_VALUE"""),"Allister Hovenburg")</f>
        <v>Allister Hovenburg</v>
      </c>
      <c r="C463" s="199">
        <f ca="1">IFERROR(__xludf.DUMMYFUNCTION("""COMPUTED_VALUE"""),9)</f>
        <v>9</v>
      </c>
      <c r="D463" s="199" t="str">
        <f ca="1">IFERROR(__xludf.DUMMYFUNCTION("""COMPUTED_VALUE"""),"B")</f>
        <v>B</v>
      </c>
      <c r="E463" s="202" t="str">
        <f ca="1">IFERROR(__xludf.DUMMYFUNCTION("""COMPUTED_VALUE"""),"F")</f>
        <v>F</v>
      </c>
      <c r="F463" s="202" t="str">
        <f ca="1">IFERROR(__xludf.DUMMYFUNCTION("""COMPUTED_VALUE"""),"J")</f>
        <v>J</v>
      </c>
      <c r="G463" s="202">
        <f ca="1">IFERROR(__xludf.DUMMYFUNCTION("""COMPUTED_VALUE"""),3)</f>
        <v>3</v>
      </c>
      <c r="H463" s="208"/>
      <c r="I463" s="208"/>
      <c r="J463" s="208"/>
      <c r="K463" s="208"/>
      <c r="L463" s="208" t="str">
        <v/>
      </c>
      <c r="M463" s="208" t="str">
        <v/>
      </c>
    </row>
    <row r="464" spans="1:13" ht="14.4">
      <c r="A464" s="199" t="str">
        <f ca="1">IFERROR(__xludf.DUMMYFUNCTION("""COMPUTED_VALUE"""),"DR")</f>
        <v>DR</v>
      </c>
      <c r="B464" s="207" t="str">
        <f ca="1">IFERROR(__xludf.DUMMYFUNCTION("""COMPUTED_VALUE"""),"Charlie DeZee")</f>
        <v>Charlie DeZee</v>
      </c>
      <c r="C464" s="199">
        <f ca="1">IFERROR(__xludf.DUMMYFUNCTION("""COMPUTED_VALUE"""),9)</f>
        <v>9</v>
      </c>
      <c r="D464" s="199" t="str">
        <f ca="1">IFERROR(__xludf.DUMMYFUNCTION("""COMPUTED_VALUE"""),"B")</f>
        <v>B</v>
      </c>
      <c r="E464" s="202" t="str">
        <f ca="1">IFERROR(__xludf.DUMMYFUNCTION("""COMPUTED_VALUE"""),"F")</f>
        <v>F</v>
      </c>
      <c r="F464" s="202" t="str">
        <f ca="1">IFERROR(__xludf.DUMMYFUNCTION("""COMPUTED_VALUE"""),"J")</f>
        <v>J</v>
      </c>
      <c r="G464" s="202">
        <f ca="1">IFERROR(__xludf.DUMMYFUNCTION("""COMPUTED_VALUE"""),3)</f>
        <v>3</v>
      </c>
      <c r="H464" s="206"/>
      <c r="I464" s="206">
        <v>50.35</v>
      </c>
      <c r="J464" s="206"/>
      <c r="K464" s="206" t="s">
        <v>121</v>
      </c>
      <c r="L464" s="206" t="str">
        <v xml:space="preserve"> 50.35</v>
      </c>
      <c r="M464" s="206" t="str">
        <v/>
      </c>
    </row>
    <row r="465" spans="1:13" ht="14.4">
      <c r="A465" s="199" t="str">
        <f ca="1">IFERROR(__xludf.DUMMYFUNCTION("""COMPUTED_VALUE"""),"DR")</f>
        <v>DR</v>
      </c>
      <c r="B465" s="207" t="str">
        <f ca="1">IFERROR(__xludf.DUMMYFUNCTION("""COMPUTED_VALUE"""),"Conor Michalowski")</f>
        <v>Conor Michalowski</v>
      </c>
      <c r="C465" s="199">
        <f ca="1">IFERROR(__xludf.DUMMYFUNCTION("""COMPUTED_VALUE"""),8)</f>
        <v>8</v>
      </c>
      <c r="D465" s="199" t="str">
        <f ca="1">IFERROR(__xludf.DUMMYFUNCTION("""COMPUTED_VALUE"""),"B")</f>
        <v>B</v>
      </c>
      <c r="E465" s="202" t="str">
        <f ca="1">IFERROR(__xludf.DUMMYFUNCTION("""COMPUTED_VALUE"""),"F")</f>
        <v>F</v>
      </c>
      <c r="F465" s="202" t="str">
        <f ca="1">IFERROR(__xludf.DUMMYFUNCTION("""COMPUTED_VALUE"""),"J")</f>
        <v>J</v>
      </c>
      <c r="G465" s="202">
        <f ca="1">IFERROR(__xludf.DUMMYFUNCTION("""COMPUTED_VALUE"""),3)</f>
        <v>3</v>
      </c>
      <c r="H465" s="206"/>
      <c r="I465" s="206"/>
      <c r="J465" s="206"/>
      <c r="K465" s="206"/>
      <c r="L465" s="206" t="str">
        <v/>
      </c>
      <c r="M465" s="206" t="str">
        <v/>
      </c>
    </row>
    <row r="466" spans="1:13" ht="14.4">
      <c r="A466" s="199" t="str">
        <f ca="1">IFERROR(__xludf.DUMMYFUNCTION("""COMPUTED_VALUE"""),"DR")</f>
        <v>DR</v>
      </c>
      <c r="B466" s="207" t="str">
        <f ca="1">IFERROR(__xludf.DUMMYFUNCTION("""COMPUTED_VALUE"""),"Desmond Gellie")</f>
        <v>Desmond Gellie</v>
      </c>
      <c r="C466" s="199">
        <f ca="1">IFERROR(__xludf.DUMMYFUNCTION("""COMPUTED_VALUE"""),7)</f>
        <v>7</v>
      </c>
      <c r="D466" s="199" t="str">
        <f ca="1">IFERROR(__xludf.DUMMYFUNCTION("""COMPUTED_VALUE"""),"B")</f>
        <v>B</v>
      </c>
      <c r="E466" s="202" t="str">
        <f ca="1">IFERROR(__xludf.DUMMYFUNCTION("""COMPUTED_VALUE"""),"F")</f>
        <v>F</v>
      </c>
      <c r="F466" s="202" t="str">
        <f ca="1">IFERROR(__xludf.DUMMYFUNCTION("""COMPUTED_VALUE"""),"J")</f>
        <v>J</v>
      </c>
      <c r="G466" s="202">
        <f ca="1">IFERROR(__xludf.DUMMYFUNCTION("""COMPUTED_VALUE"""),3)</f>
        <v>3</v>
      </c>
      <c r="H466" s="206"/>
      <c r="I466" s="206"/>
      <c r="J466" s="206"/>
      <c r="K466" s="206"/>
      <c r="L466" s="206" t="str">
        <v/>
      </c>
      <c r="M466" s="206" t="str">
        <v/>
      </c>
    </row>
    <row r="467" spans="1:13" ht="14.4">
      <c r="A467" s="199" t="str">
        <f ca="1">IFERROR(__xludf.DUMMYFUNCTION("""COMPUTED_VALUE"""),"DR")</f>
        <v>DR</v>
      </c>
      <c r="B467" s="207" t="str">
        <f ca="1">IFERROR(__xludf.DUMMYFUNCTION("""COMPUTED_VALUE"""),"Dexter Weaver")</f>
        <v>Dexter Weaver</v>
      </c>
      <c r="C467" s="199">
        <f ca="1">IFERROR(__xludf.DUMMYFUNCTION("""COMPUTED_VALUE"""),6)</f>
        <v>6</v>
      </c>
      <c r="D467" s="199" t="str">
        <f ca="1">IFERROR(__xludf.DUMMYFUNCTION("""COMPUTED_VALUE"""),"B")</f>
        <v>B</v>
      </c>
      <c r="E467" s="202" t="str">
        <f ca="1">IFERROR(__xludf.DUMMYFUNCTION("""COMPUTED_VALUE"""),"F")</f>
        <v>F</v>
      </c>
      <c r="F467" s="202" t="str">
        <f ca="1">IFERROR(__xludf.DUMMYFUNCTION("""COMPUTED_VALUE"""),"J")</f>
        <v>J</v>
      </c>
      <c r="G467" s="202">
        <f ca="1">IFERROR(__xludf.DUMMYFUNCTION("""COMPUTED_VALUE"""),3)</f>
        <v>3</v>
      </c>
      <c r="H467" s="208"/>
      <c r="I467" s="208"/>
      <c r="J467" s="208"/>
      <c r="K467" s="208"/>
      <c r="L467" s="208" t="str">
        <v/>
      </c>
      <c r="M467" s="208" t="str">
        <v/>
      </c>
    </row>
    <row r="468" spans="1:13" ht="14.4">
      <c r="A468" s="199" t="str">
        <f ca="1">IFERROR(__xludf.DUMMYFUNCTION("""COMPUTED_VALUE"""),"DR")</f>
        <v>DR</v>
      </c>
      <c r="B468" s="207" t="str">
        <f ca="1">IFERROR(__xludf.DUMMYFUNCTION("""COMPUTED_VALUE"""),"Eric Walter")</f>
        <v>Eric Walter</v>
      </c>
      <c r="C468" s="199">
        <f ca="1">IFERROR(__xludf.DUMMYFUNCTION("""COMPUTED_VALUE"""),8)</f>
        <v>8</v>
      </c>
      <c r="D468" s="199" t="str">
        <f ca="1">IFERROR(__xludf.DUMMYFUNCTION("""COMPUTED_VALUE"""),"B")</f>
        <v>B</v>
      </c>
      <c r="E468" s="202" t="str">
        <f ca="1">IFERROR(__xludf.DUMMYFUNCTION("""COMPUTED_VALUE"""),"F")</f>
        <v>F</v>
      </c>
      <c r="F468" s="202" t="str">
        <f ca="1">IFERROR(__xludf.DUMMYFUNCTION("""COMPUTED_VALUE"""),"J")</f>
        <v>J</v>
      </c>
      <c r="G468" s="202">
        <f ca="1">IFERROR(__xludf.DUMMYFUNCTION("""COMPUTED_VALUE"""),3)</f>
        <v>3</v>
      </c>
      <c r="H468" s="206"/>
      <c r="I468" s="206"/>
      <c r="J468" s="206"/>
      <c r="K468" s="206"/>
      <c r="L468" s="206" t="str">
        <v/>
      </c>
      <c r="M468" s="206" t="str">
        <v/>
      </c>
    </row>
    <row r="469" spans="1:13" ht="14.4">
      <c r="A469" s="199" t="str">
        <f ca="1">IFERROR(__xludf.DUMMYFUNCTION("""COMPUTED_VALUE"""),"DR")</f>
        <v>DR</v>
      </c>
      <c r="B469" s="207" t="str">
        <f ca="1">IFERROR(__xludf.DUMMYFUNCTION("""COMPUTED_VALUE"""),"Felix Losos")</f>
        <v>Felix Losos</v>
      </c>
      <c r="C469" s="199">
        <f ca="1">IFERROR(__xludf.DUMMYFUNCTION("""COMPUTED_VALUE"""),8)</f>
        <v>8</v>
      </c>
      <c r="D469" s="199" t="str">
        <f ca="1">IFERROR(__xludf.DUMMYFUNCTION("""COMPUTED_VALUE"""),"B")</f>
        <v>B</v>
      </c>
      <c r="E469" s="202" t="str">
        <f ca="1">IFERROR(__xludf.DUMMYFUNCTION("""COMPUTED_VALUE"""),"F")</f>
        <v>F</v>
      </c>
      <c r="F469" s="202" t="str">
        <f ca="1">IFERROR(__xludf.DUMMYFUNCTION("""COMPUTED_VALUE"""),"J")</f>
        <v>J</v>
      </c>
      <c r="G469" s="202">
        <f ca="1">IFERROR(__xludf.DUMMYFUNCTION("""COMPUTED_VALUE"""),3)</f>
        <v>3</v>
      </c>
      <c r="H469" s="208"/>
      <c r="I469" s="208"/>
      <c r="J469" s="208"/>
      <c r="K469" s="208"/>
      <c r="L469" s="208" t="str">
        <v/>
      </c>
      <c r="M469" s="208" t="str">
        <v/>
      </c>
    </row>
    <row r="470" spans="1:13" ht="14.4">
      <c r="A470" s="199" t="str">
        <f ca="1">IFERROR(__xludf.DUMMYFUNCTION("""COMPUTED_VALUE"""),"DR")</f>
        <v>DR</v>
      </c>
      <c r="B470" s="207" t="str">
        <f ca="1">IFERROR(__xludf.DUMMYFUNCTION("""COMPUTED_VALUE"""),"Fenner Abbey")</f>
        <v>Fenner Abbey</v>
      </c>
      <c r="C470" s="199">
        <f ca="1">IFERROR(__xludf.DUMMYFUNCTION("""COMPUTED_VALUE"""),10)</f>
        <v>10</v>
      </c>
      <c r="D470" s="199" t="str">
        <f ca="1">IFERROR(__xludf.DUMMYFUNCTION("""COMPUTED_VALUE"""),"B")</f>
        <v>B</v>
      </c>
      <c r="E470" s="202" t="str">
        <f ca="1">IFERROR(__xludf.DUMMYFUNCTION("""COMPUTED_VALUE"""),"F")</f>
        <v>F</v>
      </c>
      <c r="F470" s="202" t="str">
        <f ca="1">IFERROR(__xludf.DUMMYFUNCTION("""COMPUTED_VALUE"""),"J")</f>
        <v>J</v>
      </c>
      <c r="G470" s="202">
        <f ca="1">IFERROR(__xludf.DUMMYFUNCTION("""COMPUTED_VALUE"""),3)</f>
        <v>3</v>
      </c>
      <c r="H470" s="208"/>
      <c r="I470" s="208">
        <v>41.85</v>
      </c>
      <c r="J470" s="208"/>
      <c r="K470" s="208" t="s">
        <v>121</v>
      </c>
      <c r="L470" s="208" t="str">
        <v xml:space="preserve"> 41.85</v>
      </c>
      <c r="M470" s="208" t="str">
        <v/>
      </c>
    </row>
    <row r="471" spans="1:13" ht="14.4">
      <c r="A471" s="199" t="str">
        <f ca="1">IFERROR(__xludf.DUMMYFUNCTION("""COMPUTED_VALUE"""),"DR")</f>
        <v>DR</v>
      </c>
      <c r="B471" s="207" t="str">
        <f ca="1">IFERROR(__xludf.DUMMYFUNCTION("""COMPUTED_VALUE"""),"Graham Hill")</f>
        <v>Graham Hill</v>
      </c>
      <c r="C471" s="199">
        <f ca="1">IFERROR(__xludf.DUMMYFUNCTION("""COMPUTED_VALUE"""),8)</f>
        <v>8</v>
      </c>
      <c r="D471" s="199" t="str">
        <f ca="1">IFERROR(__xludf.DUMMYFUNCTION("""COMPUTED_VALUE"""),"B")</f>
        <v>B</v>
      </c>
      <c r="E471" s="202" t="str">
        <f ca="1">IFERROR(__xludf.DUMMYFUNCTION("""COMPUTED_VALUE"""),"F")</f>
        <v>F</v>
      </c>
      <c r="F471" s="202" t="str">
        <f ca="1">IFERROR(__xludf.DUMMYFUNCTION("""COMPUTED_VALUE"""),"J")</f>
        <v>J</v>
      </c>
      <c r="G471" s="202">
        <f ca="1">IFERROR(__xludf.DUMMYFUNCTION("""COMPUTED_VALUE"""),3)</f>
        <v>3</v>
      </c>
      <c r="H471" s="206"/>
      <c r="I471" s="206"/>
      <c r="J471" s="206"/>
      <c r="K471" s="206"/>
      <c r="L471" s="206" t="str">
        <v/>
      </c>
      <c r="M471" s="206" t="str">
        <v/>
      </c>
    </row>
    <row r="472" spans="1:13" ht="14.4">
      <c r="A472" s="199" t="str">
        <f ca="1">IFERROR(__xludf.DUMMYFUNCTION("""COMPUTED_VALUE"""),"DR")</f>
        <v>DR</v>
      </c>
      <c r="B472" s="207" t="str">
        <f ca="1">IFERROR(__xludf.DUMMYFUNCTION("""COMPUTED_VALUE"""),"Henry Abouchar")</f>
        <v>Henry Abouchar</v>
      </c>
      <c r="C472" s="199">
        <f ca="1">IFERROR(__xludf.DUMMYFUNCTION("""COMPUTED_VALUE"""),9)</f>
        <v>9</v>
      </c>
      <c r="D472" s="199" t="str">
        <f ca="1">IFERROR(__xludf.DUMMYFUNCTION("""COMPUTED_VALUE"""),"B")</f>
        <v>B</v>
      </c>
      <c r="E472" s="202" t="str">
        <f ca="1">IFERROR(__xludf.DUMMYFUNCTION("""COMPUTED_VALUE"""),"F")</f>
        <v>F</v>
      </c>
      <c r="F472" s="202" t="str">
        <f ca="1">IFERROR(__xludf.DUMMYFUNCTION("""COMPUTED_VALUE"""),"J")</f>
        <v>J</v>
      </c>
      <c r="G472" s="202">
        <f ca="1">IFERROR(__xludf.DUMMYFUNCTION("""COMPUTED_VALUE"""),3)</f>
        <v>3</v>
      </c>
      <c r="H472" s="206"/>
      <c r="I472" s="206"/>
      <c r="J472" s="206"/>
      <c r="K472" s="206"/>
      <c r="L472" s="206" t="str">
        <v/>
      </c>
      <c r="M472" s="206" t="str">
        <v/>
      </c>
    </row>
    <row r="473" spans="1:13" ht="14.4">
      <c r="A473" s="199" t="str">
        <f ca="1">IFERROR(__xludf.DUMMYFUNCTION("""COMPUTED_VALUE"""),"DR")</f>
        <v>DR</v>
      </c>
      <c r="B473" s="207" t="str">
        <f ca="1">IFERROR(__xludf.DUMMYFUNCTION("""COMPUTED_VALUE"""),"Henry DeZee")</f>
        <v>Henry DeZee</v>
      </c>
      <c r="C473" s="199">
        <f ca="1">IFERROR(__xludf.DUMMYFUNCTION("""COMPUTED_VALUE"""),6)</f>
        <v>6</v>
      </c>
      <c r="D473" s="199" t="str">
        <f ca="1">IFERROR(__xludf.DUMMYFUNCTION("""COMPUTED_VALUE"""),"B")</f>
        <v>B</v>
      </c>
      <c r="E473" s="202" t="str">
        <f ca="1">IFERROR(__xludf.DUMMYFUNCTION("""COMPUTED_VALUE"""),"F")</f>
        <v>F</v>
      </c>
      <c r="F473" s="202" t="str">
        <f ca="1">IFERROR(__xludf.DUMMYFUNCTION("""COMPUTED_VALUE"""),"J")</f>
        <v>J</v>
      </c>
      <c r="G473" s="202">
        <f ca="1">IFERROR(__xludf.DUMMYFUNCTION("""COMPUTED_VALUE"""),3)</f>
        <v>3</v>
      </c>
      <c r="H473" s="206"/>
      <c r="I473" s="206"/>
      <c r="J473" s="206"/>
      <c r="K473" s="206"/>
      <c r="L473" s="206" t="str">
        <v/>
      </c>
      <c r="M473" s="206" t="str">
        <v/>
      </c>
    </row>
    <row r="474" spans="1:13" ht="14.4">
      <c r="A474" s="199" t="str">
        <f ca="1">IFERROR(__xludf.DUMMYFUNCTION("""COMPUTED_VALUE"""),"DR")</f>
        <v>DR</v>
      </c>
      <c r="B474" s="207" t="str">
        <f ca="1">IFERROR(__xludf.DUMMYFUNCTION("""COMPUTED_VALUE"""),"John Taylor")</f>
        <v>John Taylor</v>
      </c>
      <c r="C474" s="199">
        <f ca="1">IFERROR(__xludf.DUMMYFUNCTION("""COMPUTED_VALUE"""),9)</f>
        <v>9</v>
      </c>
      <c r="D474" s="199" t="str">
        <f ca="1">IFERROR(__xludf.DUMMYFUNCTION("""COMPUTED_VALUE"""),"B")</f>
        <v>B</v>
      </c>
      <c r="E474" s="202" t="str">
        <f ca="1">IFERROR(__xludf.DUMMYFUNCTION("""COMPUTED_VALUE"""),"F")</f>
        <v>F</v>
      </c>
      <c r="F474" s="202" t="str">
        <f ca="1">IFERROR(__xludf.DUMMYFUNCTION("""COMPUTED_VALUE"""),"J")</f>
        <v>J</v>
      </c>
      <c r="G474" s="202">
        <f ca="1">IFERROR(__xludf.DUMMYFUNCTION("""COMPUTED_VALUE"""),3)</f>
        <v>3</v>
      </c>
      <c r="H474" s="206"/>
      <c r="I474" s="206">
        <v>45.25</v>
      </c>
      <c r="J474" s="206"/>
      <c r="K474" s="206" t="s">
        <v>121</v>
      </c>
      <c r="L474" s="206" t="str">
        <v xml:space="preserve"> 45.25</v>
      </c>
      <c r="M474" s="206" t="str">
        <v/>
      </c>
    </row>
    <row r="475" spans="1:13" ht="14.4">
      <c r="A475" s="199" t="str">
        <f ca="1">IFERROR(__xludf.DUMMYFUNCTION("""COMPUTED_VALUE"""),"DR")</f>
        <v>DR</v>
      </c>
      <c r="B475" s="207" t="str">
        <f ca="1">IFERROR(__xludf.DUMMYFUNCTION("""COMPUTED_VALUE"""),"Krishnan Greenwood")</f>
        <v>Krishnan Greenwood</v>
      </c>
      <c r="C475" s="199">
        <f ca="1">IFERROR(__xludf.DUMMYFUNCTION("""COMPUTED_VALUE"""),10)</f>
        <v>10</v>
      </c>
      <c r="D475" s="199" t="str">
        <f ca="1">IFERROR(__xludf.DUMMYFUNCTION("""COMPUTED_VALUE"""),"B")</f>
        <v>B</v>
      </c>
      <c r="E475" s="202" t="str">
        <f ca="1">IFERROR(__xludf.DUMMYFUNCTION("""COMPUTED_VALUE"""),"F")</f>
        <v>F</v>
      </c>
      <c r="F475" s="202" t="str">
        <f ca="1">IFERROR(__xludf.DUMMYFUNCTION("""COMPUTED_VALUE"""),"J")</f>
        <v>J</v>
      </c>
      <c r="G475" s="202">
        <f ca="1">IFERROR(__xludf.DUMMYFUNCTION("""COMPUTED_VALUE"""),3)</f>
        <v>3</v>
      </c>
      <c r="H475" s="206"/>
      <c r="I475" s="206">
        <v>56.4</v>
      </c>
      <c r="J475" s="206"/>
      <c r="K475" s="206" t="s">
        <v>121</v>
      </c>
      <c r="L475" s="206" t="str">
        <v xml:space="preserve"> 56.4</v>
      </c>
      <c r="M475" s="206" t="str">
        <v/>
      </c>
    </row>
    <row r="476" spans="1:13" ht="14.4">
      <c r="A476" s="199" t="str">
        <f ca="1">IFERROR(__xludf.DUMMYFUNCTION("""COMPUTED_VALUE"""),"DR")</f>
        <v>DR</v>
      </c>
      <c r="B476" s="207" t="str">
        <f ca="1">IFERROR(__xludf.DUMMYFUNCTION("""COMPUTED_VALUE"""),"Liam Carr")</f>
        <v>Liam Carr</v>
      </c>
      <c r="C476" s="199">
        <f ca="1">IFERROR(__xludf.DUMMYFUNCTION("""COMPUTED_VALUE"""),9)</f>
        <v>9</v>
      </c>
      <c r="D476" s="199" t="str">
        <f ca="1">IFERROR(__xludf.DUMMYFUNCTION("""COMPUTED_VALUE"""),"B")</f>
        <v>B</v>
      </c>
      <c r="E476" s="202" t="str">
        <f ca="1">IFERROR(__xludf.DUMMYFUNCTION("""COMPUTED_VALUE"""),"F")</f>
        <v>F</v>
      </c>
      <c r="F476" s="202" t="str">
        <f ca="1">IFERROR(__xludf.DUMMYFUNCTION("""COMPUTED_VALUE"""),"J")</f>
        <v>J</v>
      </c>
      <c r="G476" s="202">
        <f ca="1">IFERROR(__xludf.DUMMYFUNCTION("""COMPUTED_VALUE"""),3)</f>
        <v>3</v>
      </c>
      <c r="H476" s="206"/>
      <c r="I476" s="206"/>
      <c r="J476" s="206"/>
      <c r="K476" s="206"/>
      <c r="L476" s="206" t="str">
        <v/>
      </c>
      <c r="M476" s="206" t="str">
        <v/>
      </c>
    </row>
    <row r="477" spans="1:13" ht="14.4">
      <c r="A477" s="199" t="str">
        <f ca="1">IFERROR(__xludf.DUMMYFUNCTION("""COMPUTED_VALUE"""),"DR")</f>
        <v>DR</v>
      </c>
      <c r="B477" s="207" t="str">
        <f ca="1">IFERROR(__xludf.DUMMYFUNCTION("""COMPUTED_VALUE"""),"Lincoln Epstein")</f>
        <v>Lincoln Epstein</v>
      </c>
      <c r="C477" s="199">
        <f ca="1">IFERROR(__xludf.DUMMYFUNCTION("""COMPUTED_VALUE"""),9)</f>
        <v>9</v>
      </c>
      <c r="D477" s="199" t="str">
        <f ca="1">IFERROR(__xludf.DUMMYFUNCTION("""COMPUTED_VALUE"""),"B")</f>
        <v>B</v>
      </c>
      <c r="E477" s="202" t="str">
        <f ca="1">IFERROR(__xludf.DUMMYFUNCTION("""COMPUTED_VALUE"""),"F")</f>
        <v>F</v>
      </c>
      <c r="F477" s="202" t="str">
        <f ca="1">IFERROR(__xludf.DUMMYFUNCTION("""COMPUTED_VALUE"""),"J")</f>
        <v>J</v>
      </c>
      <c r="G477" s="202">
        <f ca="1">IFERROR(__xludf.DUMMYFUNCTION("""COMPUTED_VALUE"""),3)</f>
        <v>3</v>
      </c>
      <c r="H477" s="206"/>
      <c r="I477" s="206"/>
      <c r="J477" s="206"/>
      <c r="K477" s="206"/>
      <c r="L477" s="206" t="str">
        <v/>
      </c>
      <c r="M477" s="206" t="str">
        <v/>
      </c>
    </row>
    <row r="478" spans="1:13" ht="14.4">
      <c r="A478" s="199" t="str">
        <f ca="1">IFERROR(__xludf.DUMMYFUNCTION("""COMPUTED_VALUE"""),"DR")</f>
        <v>DR</v>
      </c>
      <c r="B478" s="207" t="str">
        <f ca="1">IFERROR(__xludf.DUMMYFUNCTION("""COMPUTED_VALUE"""),"Luke Ezzeddin")</f>
        <v>Luke Ezzeddin</v>
      </c>
      <c r="C478" s="199">
        <f ca="1">IFERROR(__xludf.DUMMYFUNCTION("""COMPUTED_VALUE"""),9)</f>
        <v>9</v>
      </c>
      <c r="D478" s="199" t="str">
        <f ca="1">IFERROR(__xludf.DUMMYFUNCTION("""COMPUTED_VALUE"""),"B")</f>
        <v>B</v>
      </c>
      <c r="E478" s="202" t="str">
        <f ca="1">IFERROR(__xludf.DUMMYFUNCTION("""COMPUTED_VALUE"""),"F")</f>
        <v>F</v>
      </c>
      <c r="F478" s="202" t="str">
        <f ca="1">IFERROR(__xludf.DUMMYFUNCTION("""COMPUTED_VALUE"""),"J")</f>
        <v>J</v>
      </c>
      <c r="G478" s="202">
        <f ca="1">IFERROR(__xludf.DUMMYFUNCTION("""COMPUTED_VALUE"""),3)</f>
        <v>3</v>
      </c>
      <c r="H478" s="208"/>
      <c r="I478" s="208"/>
      <c r="J478" s="208"/>
      <c r="K478" s="208"/>
      <c r="L478" s="208" t="str">
        <v/>
      </c>
      <c r="M478" s="208" t="str">
        <v/>
      </c>
    </row>
    <row r="479" spans="1:13" ht="14.4">
      <c r="A479" s="199" t="str">
        <f ca="1">IFERROR(__xludf.DUMMYFUNCTION("""COMPUTED_VALUE"""),"DR")</f>
        <v>DR</v>
      </c>
      <c r="B479" s="207" t="str">
        <f ca="1">IFERROR(__xludf.DUMMYFUNCTION("""COMPUTED_VALUE"""),"Markus Krumins")</f>
        <v>Markus Krumins</v>
      </c>
      <c r="C479" s="199">
        <f ca="1">IFERROR(__xludf.DUMMYFUNCTION("""COMPUTED_VALUE"""),6)</f>
        <v>6</v>
      </c>
      <c r="D479" s="199" t="str">
        <f ca="1">IFERROR(__xludf.DUMMYFUNCTION("""COMPUTED_VALUE"""),"B")</f>
        <v>B</v>
      </c>
      <c r="E479" s="202" t="str">
        <f ca="1">IFERROR(__xludf.DUMMYFUNCTION("""COMPUTED_VALUE"""),"F")</f>
        <v>F</v>
      </c>
      <c r="F479" s="202" t="str">
        <f ca="1">IFERROR(__xludf.DUMMYFUNCTION("""COMPUTED_VALUE"""),"J")</f>
        <v>J</v>
      </c>
      <c r="G479" s="202">
        <f ca="1">IFERROR(__xludf.DUMMYFUNCTION("""COMPUTED_VALUE"""),3)</f>
        <v>3</v>
      </c>
      <c r="H479" s="208"/>
      <c r="I479" s="208"/>
      <c r="J479" s="208"/>
      <c r="K479" s="208"/>
      <c r="L479" s="208" t="str">
        <v/>
      </c>
      <c r="M479" s="208" t="str">
        <v/>
      </c>
    </row>
    <row r="480" spans="1:13" ht="14.4">
      <c r="A480" s="199" t="str">
        <f ca="1">IFERROR(__xludf.DUMMYFUNCTION("""COMPUTED_VALUE"""),"DR")</f>
        <v>DR</v>
      </c>
      <c r="B480" s="207" t="str">
        <f ca="1">IFERROR(__xludf.DUMMYFUNCTION("""COMPUTED_VALUE"""),"Miles Rubenstein")</f>
        <v>Miles Rubenstein</v>
      </c>
      <c r="C480" s="199">
        <f ca="1">IFERROR(__xludf.DUMMYFUNCTION("""COMPUTED_VALUE"""),10)</f>
        <v>10</v>
      </c>
      <c r="D480" s="199" t="str">
        <f ca="1">IFERROR(__xludf.DUMMYFUNCTION("""COMPUTED_VALUE"""),"B")</f>
        <v>B</v>
      </c>
      <c r="E480" s="202" t="str">
        <f ca="1">IFERROR(__xludf.DUMMYFUNCTION("""COMPUTED_VALUE"""),"F")</f>
        <v>F</v>
      </c>
      <c r="F480" s="202" t="str">
        <f ca="1">IFERROR(__xludf.DUMMYFUNCTION("""COMPUTED_VALUE"""),"J")</f>
        <v>J</v>
      </c>
      <c r="G480" s="202">
        <f ca="1">IFERROR(__xludf.DUMMYFUNCTION("""COMPUTED_VALUE"""),3)</f>
        <v>3</v>
      </c>
      <c r="H480" s="206"/>
      <c r="I480" s="206"/>
      <c r="J480" s="206"/>
      <c r="K480" s="206"/>
      <c r="L480" s="206" t="str">
        <v/>
      </c>
      <c r="M480" s="206" t="str">
        <v/>
      </c>
    </row>
    <row r="481" spans="1:13" ht="14.4">
      <c r="A481" s="199" t="str">
        <f ca="1">IFERROR(__xludf.DUMMYFUNCTION("""COMPUTED_VALUE"""),"DR")</f>
        <v>DR</v>
      </c>
      <c r="B481" s="207" t="str">
        <f ca="1">IFERROR(__xludf.DUMMYFUNCTION("""COMPUTED_VALUE"""),"Niko Klimek")</f>
        <v>Niko Klimek</v>
      </c>
      <c r="C481" s="199">
        <f ca="1">IFERROR(__xludf.DUMMYFUNCTION("""COMPUTED_VALUE"""),10)</f>
        <v>10</v>
      </c>
      <c r="D481" s="199" t="str">
        <f ca="1">IFERROR(__xludf.DUMMYFUNCTION("""COMPUTED_VALUE"""),"B")</f>
        <v>B</v>
      </c>
      <c r="E481" s="202" t="str">
        <f ca="1">IFERROR(__xludf.DUMMYFUNCTION("""COMPUTED_VALUE"""),"F")</f>
        <v>F</v>
      </c>
      <c r="F481" s="202" t="str">
        <f ca="1">IFERROR(__xludf.DUMMYFUNCTION("""COMPUTED_VALUE"""),"J")</f>
        <v>J</v>
      </c>
      <c r="G481" s="202">
        <f ca="1">IFERROR(__xludf.DUMMYFUNCTION("""COMPUTED_VALUE"""),3)</f>
        <v>3</v>
      </c>
      <c r="H481" s="206"/>
      <c r="I481" s="206"/>
      <c r="J481" s="206"/>
      <c r="K481" s="206"/>
      <c r="L481" s="206" t="str">
        <v/>
      </c>
      <c r="M481" s="206" t="str">
        <v/>
      </c>
    </row>
    <row r="482" spans="1:13" ht="14.4">
      <c r="A482" s="199" t="str">
        <f ca="1">IFERROR(__xludf.DUMMYFUNCTION("""COMPUTED_VALUE"""),"DR")</f>
        <v>DR</v>
      </c>
      <c r="B482" s="207" t="str">
        <f ca="1">IFERROR(__xludf.DUMMYFUNCTION("""COMPUTED_VALUE"""),"Oliver Hill")</f>
        <v>Oliver Hill</v>
      </c>
      <c r="C482" s="199">
        <f ca="1">IFERROR(__xludf.DUMMYFUNCTION("""COMPUTED_VALUE"""),10)</f>
        <v>10</v>
      </c>
      <c r="D482" s="199" t="str">
        <f ca="1">IFERROR(__xludf.DUMMYFUNCTION("""COMPUTED_VALUE"""),"B")</f>
        <v>B</v>
      </c>
      <c r="E482" s="202" t="str">
        <f ca="1">IFERROR(__xludf.DUMMYFUNCTION("""COMPUTED_VALUE"""),"F")</f>
        <v>F</v>
      </c>
      <c r="F482" s="202" t="str">
        <f ca="1">IFERROR(__xludf.DUMMYFUNCTION("""COMPUTED_VALUE"""),"J")</f>
        <v>J</v>
      </c>
      <c r="G482" s="202">
        <f ca="1">IFERROR(__xludf.DUMMYFUNCTION("""COMPUTED_VALUE"""),3)</f>
        <v>3</v>
      </c>
      <c r="H482" s="206"/>
      <c r="I482" s="206"/>
      <c r="J482" s="206"/>
      <c r="K482" s="206"/>
      <c r="L482" s="206" t="str">
        <v/>
      </c>
      <c r="M482" s="206" t="str">
        <v/>
      </c>
    </row>
    <row r="483" spans="1:13" ht="14.4">
      <c r="A483" s="199" t="str">
        <f ca="1">IFERROR(__xludf.DUMMYFUNCTION("""COMPUTED_VALUE"""),"DR")</f>
        <v>DR</v>
      </c>
      <c r="B483" s="207" t="str">
        <f ca="1">IFERROR(__xludf.DUMMYFUNCTION("""COMPUTED_VALUE"""),"Oskar Winters")</f>
        <v>Oskar Winters</v>
      </c>
      <c r="C483" s="199">
        <f ca="1">IFERROR(__xludf.DUMMYFUNCTION("""COMPUTED_VALUE"""),8)</f>
        <v>8</v>
      </c>
      <c r="D483" s="199" t="str">
        <f ca="1">IFERROR(__xludf.DUMMYFUNCTION("""COMPUTED_VALUE"""),"B")</f>
        <v>B</v>
      </c>
      <c r="E483" s="202" t="str">
        <f ca="1">IFERROR(__xludf.DUMMYFUNCTION("""COMPUTED_VALUE"""),"F")</f>
        <v>F</v>
      </c>
      <c r="F483" s="202" t="str">
        <f ca="1">IFERROR(__xludf.DUMMYFUNCTION("""COMPUTED_VALUE"""),"J")</f>
        <v>J</v>
      </c>
      <c r="G483" s="202">
        <f ca="1">IFERROR(__xludf.DUMMYFUNCTION("""COMPUTED_VALUE"""),3)</f>
        <v>3</v>
      </c>
      <c r="H483" s="206"/>
      <c r="I483" s="206"/>
      <c r="J483" s="206"/>
      <c r="K483" s="206"/>
      <c r="L483" s="206" t="str">
        <v/>
      </c>
      <c r="M483" s="206" t="str">
        <v/>
      </c>
    </row>
    <row r="484" spans="1:13" ht="14.4">
      <c r="A484" s="199" t="str">
        <f ca="1">IFERROR(__xludf.DUMMYFUNCTION("""COMPUTED_VALUE"""),"DR")</f>
        <v>DR</v>
      </c>
      <c r="B484" s="207" t="str">
        <f ca="1">IFERROR(__xludf.DUMMYFUNCTION("""COMPUTED_VALUE"""),"Parker Englerth")</f>
        <v>Parker Englerth</v>
      </c>
      <c r="C484" s="199">
        <f ca="1">IFERROR(__xludf.DUMMYFUNCTION("""COMPUTED_VALUE"""),9)</f>
        <v>9</v>
      </c>
      <c r="D484" s="199" t="str">
        <f ca="1">IFERROR(__xludf.DUMMYFUNCTION("""COMPUTED_VALUE"""),"B")</f>
        <v>B</v>
      </c>
      <c r="E484" s="202" t="str">
        <f ca="1">IFERROR(__xludf.DUMMYFUNCTION("""COMPUTED_VALUE"""),"F")</f>
        <v>F</v>
      </c>
      <c r="F484" s="202" t="str">
        <f ca="1">IFERROR(__xludf.DUMMYFUNCTION("""COMPUTED_VALUE"""),"J")</f>
        <v>J</v>
      </c>
      <c r="G484" s="202">
        <f ca="1">IFERROR(__xludf.DUMMYFUNCTION("""COMPUTED_VALUE"""),3)</f>
        <v>3</v>
      </c>
      <c r="H484" s="208"/>
      <c r="I484" s="208">
        <v>40.5</v>
      </c>
      <c r="J484" s="208"/>
      <c r="K484" s="208" t="s">
        <v>121</v>
      </c>
      <c r="L484" s="208" t="str">
        <v xml:space="preserve"> 40.5</v>
      </c>
      <c r="M484" s="208" t="str">
        <v/>
      </c>
    </row>
    <row r="485" spans="1:13" ht="14.4">
      <c r="A485" s="199" t="str">
        <f ca="1">IFERROR(__xludf.DUMMYFUNCTION("""COMPUTED_VALUE"""),"DR")</f>
        <v>DR</v>
      </c>
      <c r="B485" s="207" t="str">
        <f ca="1">IFERROR(__xludf.DUMMYFUNCTION("""COMPUTED_VALUE"""),"Philip Bastow")</f>
        <v>Philip Bastow</v>
      </c>
      <c r="C485" s="199">
        <f ca="1">IFERROR(__xludf.DUMMYFUNCTION("""COMPUTED_VALUE"""),8)</f>
        <v>8</v>
      </c>
      <c r="D485" s="199" t="str">
        <f ca="1">IFERROR(__xludf.DUMMYFUNCTION("""COMPUTED_VALUE"""),"B")</f>
        <v>B</v>
      </c>
      <c r="E485" s="202" t="str">
        <f ca="1">IFERROR(__xludf.DUMMYFUNCTION("""COMPUTED_VALUE"""),"F")</f>
        <v>F</v>
      </c>
      <c r="F485" s="202" t="str">
        <f ca="1">IFERROR(__xludf.DUMMYFUNCTION("""COMPUTED_VALUE"""),"J")</f>
        <v>J</v>
      </c>
      <c r="G485" s="202">
        <f ca="1">IFERROR(__xludf.DUMMYFUNCTION("""COMPUTED_VALUE"""),3)</f>
        <v>3</v>
      </c>
      <c r="H485" s="206"/>
      <c r="I485" s="206">
        <v>37.950000000000003</v>
      </c>
      <c r="J485" s="206"/>
      <c r="K485" s="206" t="s">
        <v>121</v>
      </c>
      <c r="L485" s="206" t="str">
        <v xml:space="preserve"> 37.95</v>
      </c>
      <c r="M485" s="206" t="str">
        <v/>
      </c>
    </row>
    <row r="486" spans="1:13" ht="14.4">
      <c r="A486" s="199" t="str">
        <f ca="1">IFERROR(__xludf.DUMMYFUNCTION("""COMPUTED_VALUE"""),"DR")</f>
        <v>DR</v>
      </c>
      <c r="B486" s="207" t="str">
        <f ca="1">IFERROR(__xludf.DUMMYFUNCTION("""COMPUTED_VALUE"""),"Sebastian Colvin")</f>
        <v>Sebastian Colvin</v>
      </c>
      <c r="C486" s="199">
        <f ca="1">IFERROR(__xludf.DUMMYFUNCTION("""COMPUTED_VALUE"""),10)</f>
        <v>10</v>
      </c>
      <c r="D486" s="199" t="str">
        <f ca="1">IFERROR(__xludf.DUMMYFUNCTION("""COMPUTED_VALUE"""),"B")</f>
        <v>B</v>
      </c>
      <c r="E486" s="202" t="str">
        <f ca="1">IFERROR(__xludf.DUMMYFUNCTION("""COMPUTED_VALUE"""),"F")</f>
        <v>F</v>
      </c>
      <c r="F486" s="202" t="str">
        <f ca="1">IFERROR(__xludf.DUMMYFUNCTION("""COMPUTED_VALUE"""),"J")</f>
        <v>J</v>
      </c>
      <c r="G486" s="202">
        <f ca="1">IFERROR(__xludf.DUMMYFUNCTION("""COMPUTED_VALUE"""),3)</f>
        <v>3</v>
      </c>
      <c r="H486" s="208"/>
      <c r="I486" s="208"/>
      <c r="J486" s="208"/>
      <c r="K486" s="208"/>
      <c r="L486" s="208" t="str">
        <v/>
      </c>
      <c r="M486" s="208" t="str">
        <v/>
      </c>
    </row>
    <row r="487" spans="1:13" ht="14.4">
      <c r="A487" s="199" t="str">
        <f ca="1">IFERROR(__xludf.DUMMYFUNCTION("""COMPUTED_VALUE"""),"DR")</f>
        <v>DR</v>
      </c>
      <c r="B487" s="207" t="str">
        <f ca="1">IFERROR(__xludf.DUMMYFUNCTION("""COMPUTED_VALUE"""),"Theo Winters")</f>
        <v>Theo Winters</v>
      </c>
      <c r="C487" s="199">
        <f ca="1">IFERROR(__xludf.DUMMYFUNCTION("""COMPUTED_VALUE"""),5)</f>
        <v>5</v>
      </c>
      <c r="D487" s="199" t="str">
        <f ca="1">IFERROR(__xludf.DUMMYFUNCTION("""COMPUTED_VALUE"""),"B")</f>
        <v>B</v>
      </c>
      <c r="E487" s="202" t="str">
        <f ca="1">IFERROR(__xludf.DUMMYFUNCTION("""COMPUTED_VALUE"""),"F")</f>
        <v>F</v>
      </c>
      <c r="F487" s="202" t="str">
        <f ca="1">IFERROR(__xludf.DUMMYFUNCTION("""COMPUTED_VALUE"""),"J")</f>
        <v>J</v>
      </c>
      <c r="G487" s="202">
        <f ca="1">IFERROR(__xludf.DUMMYFUNCTION("""COMPUTED_VALUE"""),3)</f>
        <v>3</v>
      </c>
      <c r="H487" s="208"/>
      <c r="I487" s="208"/>
      <c r="J487" s="208"/>
      <c r="K487" s="208"/>
      <c r="L487" s="208" t="str">
        <v/>
      </c>
      <c r="M487" s="208" t="str">
        <v/>
      </c>
    </row>
    <row r="488" spans="1:13" ht="14.4">
      <c r="A488" s="199" t="str">
        <f ca="1">IFERROR(__xludf.DUMMYFUNCTION("""COMPUTED_VALUE"""),"DR")</f>
        <v>DR</v>
      </c>
      <c r="B488" s="207" t="str">
        <f ca="1">IFERROR(__xludf.DUMMYFUNCTION("""COMPUTED_VALUE"""),"Thomas Edgerton")</f>
        <v>Thomas Edgerton</v>
      </c>
      <c r="C488" s="199">
        <f ca="1">IFERROR(__xludf.DUMMYFUNCTION("""COMPUTED_VALUE"""),8)</f>
        <v>8</v>
      </c>
      <c r="D488" s="199" t="str">
        <f ca="1">IFERROR(__xludf.DUMMYFUNCTION("""COMPUTED_VALUE"""),"B")</f>
        <v>B</v>
      </c>
      <c r="E488" s="202" t="str">
        <f ca="1">IFERROR(__xludf.DUMMYFUNCTION("""COMPUTED_VALUE"""),"F")</f>
        <v>F</v>
      </c>
      <c r="F488" s="202" t="str">
        <f ca="1">IFERROR(__xludf.DUMMYFUNCTION("""COMPUTED_VALUE"""),"J")</f>
        <v>J</v>
      </c>
      <c r="G488" s="202">
        <f ca="1">IFERROR(__xludf.DUMMYFUNCTION("""COMPUTED_VALUE"""),3)</f>
        <v>3</v>
      </c>
      <c r="H488" s="206"/>
      <c r="I488" s="206">
        <v>39.4</v>
      </c>
      <c r="J488" s="206"/>
      <c r="K488" s="206" t="s">
        <v>121</v>
      </c>
      <c r="L488" s="206" t="str">
        <v xml:space="preserve"> 39.4</v>
      </c>
      <c r="M488" s="206" t="str">
        <v/>
      </c>
    </row>
    <row r="489" spans="1:13" ht="14.4">
      <c r="A489" s="199" t="str">
        <f ca="1">IFERROR(__xludf.DUMMYFUNCTION("""COMPUTED_VALUE"""),"DR")</f>
        <v>DR</v>
      </c>
      <c r="B489" s="207" t="str">
        <f ca="1">IFERROR(__xludf.DUMMYFUNCTION("""COMPUTED_VALUE"""),"Todd Orvald")</f>
        <v>Todd Orvald</v>
      </c>
      <c r="C489" s="199">
        <f ca="1">IFERROR(__xludf.DUMMYFUNCTION("""COMPUTED_VALUE"""),10)</f>
        <v>10</v>
      </c>
      <c r="D489" s="199" t="str">
        <f ca="1">IFERROR(__xludf.DUMMYFUNCTION("""COMPUTED_VALUE"""),"B")</f>
        <v>B</v>
      </c>
      <c r="E489" s="202" t="str">
        <f ca="1">IFERROR(__xludf.DUMMYFUNCTION("""COMPUTED_VALUE"""),"F")</f>
        <v>F</v>
      </c>
      <c r="F489" s="202" t="str">
        <f ca="1">IFERROR(__xludf.DUMMYFUNCTION("""COMPUTED_VALUE"""),"J")</f>
        <v>J</v>
      </c>
      <c r="G489" s="202">
        <f ca="1">IFERROR(__xludf.DUMMYFUNCTION("""COMPUTED_VALUE"""),3)</f>
        <v>3</v>
      </c>
      <c r="H489" s="208"/>
      <c r="I489" s="208"/>
      <c r="J489" s="208"/>
      <c r="K489" s="208"/>
      <c r="L489" s="208" t="str">
        <v/>
      </c>
      <c r="M489" s="208" t="str">
        <v/>
      </c>
    </row>
    <row r="490" spans="1:13" ht="14.4">
      <c r="A490" s="199" t="str">
        <f ca="1">IFERROR(__xludf.DUMMYFUNCTION("""COMPUTED_VALUE"""),"DR")</f>
        <v>DR</v>
      </c>
      <c r="B490" s="207" t="str">
        <f ca="1">IFERROR(__xludf.DUMMYFUNCTION("""COMPUTED_VALUE"""),"William McCool")</f>
        <v>William McCool</v>
      </c>
      <c r="C490" s="199">
        <f ca="1">IFERROR(__xludf.DUMMYFUNCTION("""COMPUTED_VALUE"""),7)</f>
        <v>7</v>
      </c>
      <c r="D490" s="199" t="str">
        <f ca="1">IFERROR(__xludf.DUMMYFUNCTION("""COMPUTED_VALUE"""),"B")</f>
        <v>B</v>
      </c>
      <c r="E490" s="202" t="str">
        <f ca="1">IFERROR(__xludf.DUMMYFUNCTION("""COMPUTED_VALUE"""),"F")</f>
        <v>F</v>
      </c>
      <c r="F490" s="202" t="str">
        <f ca="1">IFERROR(__xludf.DUMMYFUNCTION("""COMPUTED_VALUE"""),"J")</f>
        <v>J</v>
      </c>
      <c r="G490" s="202">
        <f ca="1">IFERROR(__xludf.DUMMYFUNCTION("""COMPUTED_VALUE"""),3)</f>
        <v>3</v>
      </c>
      <c r="H490" s="206"/>
      <c r="I490" s="206"/>
      <c r="J490" s="206"/>
      <c r="K490" s="206"/>
      <c r="L490" s="206" t="str">
        <v/>
      </c>
      <c r="M490" s="206" t="str">
        <v/>
      </c>
    </row>
    <row r="491" spans="1:13" ht="14.4">
      <c r="A491" s="199" t="str">
        <f ca="1">IFERROR(__xludf.DUMMYFUNCTION("""COMPUTED_VALUE"""),"DR")</f>
        <v>DR</v>
      </c>
      <c r="B491" s="207" t="str">
        <f ca="1">IFERROR(__xludf.DUMMYFUNCTION("""COMPUTED_VALUE"""),"William Staren")</f>
        <v>William Staren</v>
      </c>
      <c r="C491" s="199">
        <f ca="1">IFERROR(__xludf.DUMMYFUNCTION("""COMPUTED_VALUE"""),9)</f>
        <v>9</v>
      </c>
      <c r="D491" s="199" t="str">
        <f ca="1">IFERROR(__xludf.DUMMYFUNCTION("""COMPUTED_VALUE"""),"B")</f>
        <v>B</v>
      </c>
      <c r="E491" s="202" t="str">
        <f ca="1">IFERROR(__xludf.DUMMYFUNCTION("""COMPUTED_VALUE"""),"F")</f>
        <v>F</v>
      </c>
      <c r="F491" s="202" t="str">
        <f ca="1">IFERROR(__xludf.DUMMYFUNCTION("""COMPUTED_VALUE"""),"J")</f>
        <v>J</v>
      </c>
      <c r="G491" s="202">
        <f ca="1">IFERROR(__xludf.DUMMYFUNCTION("""COMPUTED_VALUE"""),3)</f>
        <v>3</v>
      </c>
      <c r="H491" s="206"/>
      <c r="I491" s="206"/>
      <c r="J491" s="206"/>
      <c r="K491" s="206"/>
      <c r="L491" s="206" t="str">
        <v/>
      </c>
      <c r="M491" s="206" t="str">
        <v/>
      </c>
    </row>
    <row r="492" spans="1:13" ht="14.4">
      <c r="A492" s="199" t="str">
        <f ca="1">IFERROR(__xludf.DUMMYFUNCTION("""COMPUTED_VALUE"""),"DR")</f>
        <v>DR</v>
      </c>
      <c r="B492" s="207" t="str">
        <f ca="1">IFERROR(__xludf.DUMMYFUNCTION("""COMPUTED_VALUE"""),"Alexandra Klimek")</f>
        <v>Alexandra Klimek</v>
      </c>
      <c r="C492" s="199">
        <f ca="1">IFERROR(__xludf.DUMMYFUNCTION("""COMPUTED_VALUE"""),8)</f>
        <v>8</v>
      </c>
      <c r="D492" s="199" t="str">
        <f ca="1">IFERROR(__xludf.DUMMYFUNCTION("""COMPUTED_VALUE"""),"G")</f>
        <v>G</v>
      </c>
      <c r="E492" s="202" t="str">
        <f ca="1">IFERROR(__xludf.DUMMYFUNCTION("""COMPUTED_VALUE"""),"F")</f>
        <v>F</v>
      </c>
      <c r="F492" s="202" t="str">
        <f ca="1">IFERROR(__xludf.DUMMYFUNCTION("""COMPUTED_VALUE"""),"J")</f>
        <v>J</v>
      </c>
      <c r="G492" s="202">
        <f ca="1">IFERROR(__xludf.DUMMYFUNCTION("""COMPUTED_VALUE"""),3)</f>
        <v>3</v>
      </c>
      <c r="H492" s="208"/>
      <c r="I492" s="208"/>
      <c r="J492" s="208"/>
      <c r="K492" s="208"/>
      <c r="L492" s="208" t="str">
        <v/>
      </c>
      <c r="M492" s="208" t="str">
        <v/>
      </c>
    </row>
    <row r="493" spans="1:13" ht="14.4">
      <c r="A493" s="199" t="str">
        <f ca="1">IFERROR(__xludf.DUMMYFUNCTION("""COMPUTED_VALUE"""),"DR")</f>
        <v>DR</v>
      </c>
      <c r="B493" s="207" t="str">
        <f ca="1">IFERROR(__xludf.DUMMYFUNCTION("""COMPUTED_VALUE"""),"Ann Madden")</f>
        <v>Ann Madden</v>
      </c>
      <c r="C493" s="199">
        <f ca="1">IFERROR(__xludf.DUMMYFUNCTION("""COMPUTED_VALUE"""),7)</f>
        <v>7</v>
      </c>
      <c r="D493" s="199" t="str">
        <f ca="1">IFERROR(__xludf.DUMMYFUNCTION("""COMPUTED_VALUE"""),"G")</f>
        <v>G</v>
      </c>
      <c r="E493" s="202" t="str">
        <f ca="1">IFERROR(__xludf.DUMMYFUNCTION("""COMPUTED_VALUE"""),"F")</f>
        <v>F</v>
      </c>
      <c r="F493" s="202" t="str">
        <f ca="1">IFERROR(__xludf.DUMMYFUNCTION("""COMPUTED_VALUE"""),"J")</f>
        <v>J</v>
      </c>
      <c r="G493" s="202">
        <f ca="1">IFERROR(__xludf.DUMMYFUNCTION("""COMPUTED_VALUE"""),3)</f>
        <v>3</v>
      </c>
      <c r="H493" s="206">
        <v>49.8</v>
      </c>
      <c r="I493" s="206"/>
      <c r="J493" s="206" t="s">
        <v>121</v>
      </c>
      <c r="K493" s="206"/>
      <c r="L493" s="206" t="str">
        <v xml:space="preserve"> 49.8</v>
      </c>
      <c r="M493" s="206" t="str">
        <v/>
      </c>
    </row>
    <row r="494" spans="1:13" ht="14.4">
      <c r="A494" s="199" t="str">
        <f ca="1">IFERROR(__xludf.DUMMYFUNCTION("""COMPUTED_VALUE"""),"DR")</f>
        <v>DR</v>
      </c>
      <c r="B494" s="207" t="str">
        <f ca="1">IFERROR(__xludf.DUMMYFUNCTION("""COMPUTED_VALUE"""),"Anna Edgerton")</f>
        <v>Anna Edgerton</v>
      </c>
      <c r="C494" s="199">
        <f ca="1">IFERROR(__xludf.DUMMYFUNCTION("""COMPUTED_VALUE"""),10)</f>
        <v>10</v>
      </c>
      <c r="D494" s="199" t="str">
        <f ca="1">IFERROR(__xludf.DUMMYFUNCTION("""COMPUTED_VALUE"""),"G")</f>
        <v>G</v>
      </c>
      <c r="E494" s="202" t="str">
        <f ca="1">IFERROR(__xludf.DUMMYFUNCTION("""COMPUTED_VALUE"""),"F")</f>
        <v>F</v>
      </c>
      <c r="F494" s="202" t="str">
        <f ca="1">IFERROR(__xludf.DUMMYFUNCTION("""COMPUTED_VALUE"""),"J")</f>
        <v>J</v>
      </c>
      <c r="G494" s="202">
        <f ca="1">IFERROR(__xludf.DUMMYFUNCTION("""COMPUTED_VALUE"""),3)</f>
        <v>3</v>
      </c>
      <c r="H494" s="208"/>
      <c r="I494" s="208"/>
      <c r="J494" s="208"/>
      <c r="K494" s="208"/>
      <c r="L494" s="208" t="str">
        <v/>
      </c>
      <c r="M494" s="208" t="str">
        <v/>
      </c>
    </row>
    <row r="495" spans="1:13" ht="14.4">
      <c r="A495" s="199" t="str">
        <f ca="1">IFERROR(__xludf.DUMMYFUNCTION("""COMPUTED_VALUE"""),"DR")</f>
        <v>DR</v>
      </c>
      <c r="B495" s="207" t="str">
        <f ca="1">IFERROR(__xludf.DUMMYFUNCTION("""COMPUTED_VALUE"""),"Austin Johnson")</f>
        <v>Austin Johnson</v>
      </c>
      <c r="C495" s="199">
        <f ca="1">IFERROR(__xludf.DUMMYFUNCTION("""COMPUTED_VALUE"""),9)</f>
        <v>9</v>
      </c>
      <c r="D495" s="199" t="str">
        <f ca="1">IFERROR(__xludf.DUMMYFUNCTION("""COMPUTED_VALUE"""),"G")</f>
        <v>G</v>
      </c>
      <c r="E495" s="202" t="str">
        <f ca="1">IFERROR(__xludf.DUMMYFUNCTION("""COMPUTED_VALUE"""),"F")</f>
        <v>F</v>
      </c>
      <c r="F495" s="202" t="str">
        <f ca="1">IFERROR(__xludf.DUMMYFUNCTION("""COMPUTED_VALUE"""),"J")</f>
        <v>J</v>
      </c>
      <c r="G495" s="202">
        <f ca="1">IFERROR(__xludf.DUMMYFUNCTION("""COMPUTED_VALUE"""),3)</f>
        <v>3</v>
      </c>
      <c r="H495" s="206"/>
      <c r="I495" s="206"/>
      <c r="J495" s="206"/>
      <c r="K495" s="206"/>
      <c r="L495" s="206" t="str">
        <v/>
      </c>
      <c r="M495" s="206" t="str">
        <v/>
      </c>
    </row>
    <row r="496" spans="1:13" ht="14.4">
      <c r="A496" s="199" t="str">
        <f ca="1">IFERROR(__xludf.DUMMYFUNCTION("""COMPUTED_VALUE"""),"DR")</f>
        <v>DR</v>
      </c>
      <c r="B496" s="207" t="str">
        <f ca="1">IFERROR(__xludf.DUMMYFUNCTION("""COMPUTED_VALUE"""),"Caroline Baca")</f>
        <v>Caroline Baca</v>
      </c>
      <c r="C496" s="199">
        <f ca="1">IFERROR(__xludf.DUMMYFUNCTION("""COMPUTED_VALUE"""),7)</f>
        <v>7</v>
      </c>
      <c r="D496" s="199" t="str">
        <f ca="1">IFERROR(__xludf.DUMMYFUNCTION("""COMPUTED_VALUE"""),"G")</f>
        <v>G</v>
      </c>
      <c r="E496" s="202" t="str">
        <f ca="1">IFERROR(__xludf.DUMMYFUNCTION("""COMPUTED_VALUE"""),"F")</f>
        <v>F</v>
      </c>
      <c r="F496" s="202" t="str">
        <f ca="1">IFERROR(__xludf.DUMMYFUNCTION("""COMPUTED_VALUE"""),"J")</f>
        <v>J</v>
      </c>
      <c r="G496" s="202">
        <f ca="1">IFERROR(__xludf.DUMMYFUNCTION("""COMPUTED_VALUE"""),3)</f>
        <v>3</v>
      </c>
      <c r="H496" s="208"/>
      <c r="I496" s="208"/>
      <c r="J496" s="208"/>
      <c r="K496" s="208"/>
      <c r="L496" s="208" t="str">
        <v/>
      </c>
      <c r="M496" s="208" t="str">
        <v/>
      </c>
    </row>
    <row r="497" spans="1:13" ht="14.4">
      <c r="A497" s="199" t="str">
        <f ca="1">IFERROR(__xludf.DUMMYFUNCTION("""COMPUTED_VALUE"""),"DR")</f>
        <v>DR</v>
      </c>
      <c r="B497" s="207" t="str">
        <f ca="1">IFERROR(__xludf.DUMMYFUNCTION("""COMPUTED_VALUE"""),"Claire McCool")</f>
        <v>Claire McCool</v>
      </c>
      <c r="C497" s="199">
        <f ca="1">IFERROR(__xludf.DUMMYFUNCTION("""COMPUTED_VALUE"""),9)</f>
        <v>9</v>
      </c>
      <c r="D497" s="199" t="str">
        <f ca="1">IFERROR(__xludf.DUMMYFUNCTION("""COMPUTED_VALUE"""),"G")</f>
        <v>G</v>
      </c>
      <c r="E497" s="202" t="str">
        <f ca="1">IFERROR(__xludf.DUMMYFUNCTION("""COMPUTED_VALUE"""),"F")</f>
        <v>F</v>
      </c>
      <c r="F497" s="202" t="str">
        <f ca="1">IFERROR(__xludf.DUMMYFUNCTION("""COMPUTED_VALUE"""),"J")</f>
        <v>J</v>
      </c>
      <c r="G497" s="202">
        <f ca="1">IFERROR(__xludf.DUMMYFUNCTION("""COMPUTED_VALUE"""),3)</f>
        <v>3</v>
      </c>
      <c r="H497" s="208"/>
      <c r="I497" s="208"/>
      <c r="J497" s="208"/>
      <c r="K497" s="208"/>
      <c r="L497" s="208" t="str">
        <v/>
      </c>
      <c r="M497" s="208" t="str">
        <v/>
      </c>
    </row>
    <row r="498" spans="1:13" ht="14.4">
      <c r="A498" s="199" t="str">
        <f ca="1">IFERROR(__xludf.DUMMYFUNCTION("""COMPUTED_VALUE"""),"DR")</f>
        <v>DR</v>
      </c>
      <c r="B498" s="207" t="str">
        <f ca="1">IFERROR(__xludf.DUMMYFUNCTION("""COMPUTED_VALUE"""),"Elaine Stafford")</f>
        <v>Elaine Stafford</v>
      </c>
      <c r="C498" s="199">
        <f ca="1">IFERROR(__xludf.DUMMYFUNCTION("""COMPUTED_VALUE"""),9)</f>
        <v>9</v>
      </c>
      <c r="D498" s="199" t="str">
        <f ca="1">IFERROR(__xludf.DUMMYFUNCTION("""COMPUTED_VALUE"""),"G")</f>
        <v>G</v>
      </c>
      <c r="E498" s="202" t="str">
        <f ca="1">IFERROR(__xludf.DUMMYFUNCTION("""COMPUTED_VALUE"""),"F")</f>
        <v>F</v>
      </c>
      <c r="F498" s="202" t="str">
        <f ca="1">IFERROR(__xludf.DUMMYFUNCTION("""COMPUTED_VALUE"""),"J")</f>
        <v>J</v>
      </c>
      <c r="G498" s="202">
        <f ca="1">IFERROR(__xludf.DUMMYFUNCTION("""COMPUTED_VALUE"""),3)</f>
        <v>3</v>
      </c>
      <c r="H498" s="206"/>
      <c r="I498" s="206"/>
      <c r="J498" s="206"/>
      <c r="K498" s="206"/>
      <c r="L498" s="206" t="str">
        <v/>
      </c>
      <c r="M498" s="206" t="str">
        <v/>
      </c>
    </row>
    <row r="499" spans="1:13" ht="14.4">
      <c r="A499" s="199" t="str">
        <f ca="1">IFERROR(__xludf.DUMMYFUNCTION("""COMPUTED_VALUE"""),"DR")</f>
        <v>DR</v>
      </c>
      <c r="B499" s="207" t="str">
        <f ca="1">IFERROR(__xludf.DUMMYFUNCTION("""COMPUTED_VALUE"""),"Emma Traille")</f>
        <v>Emma Traille</v>
      </c>
      <c r="C499" s="199">
        <f ca="1">IFERROR(__xludf.DUMMYFUNCTION("""COMPUTED_VALUE"""),10)</f>
        <v>10</v>
      </c>
      <c r="D499" s="199" t="str">
        <f ca="1">IFERROR(__xludf.DUMMYFUNCTION("""COMPUTED_VALUE"""),"G")</f>
        <v>G</v>
      </c>
      <c r="E499" s="202" t="str">
        <f ca="1">IFERROR(__xludf.DUMMYFUNCTION("""COMPUTED_VALUE"""),"F")</f>
        <v>F</v>
      </c>
      <c r="F499" s="202" t="str">
        <f ca="1">IFERROR(__xludf.DUMMYFUNCTION("""COMPUTED_VALUE"""),"J")</f>
        <v>J</v>
      </c>
      <c r="G499" s="202">
        <f ca="1">IFERROR(__xludf.DUMMYFUNCTION("""COMPUTED_VALUE"""),3)</f>
        <v>3</v>
      </c>
      <c r="H499" s="208"/>
      <c r="I499" s="208"/>
      <c r="J499" s="208"/>
      <c r="K499" s="208"/>
      <c r="L499" s="208" t="str">
        <v/>
      </c>
      <c r="M499" s="208" t="str">
        <v/>
      </c>
    </row>
    <row r="500" spans="1:13" ht="14.4">
      <c r="A500" s="199" t="str">
        <f ca="1">IFERROR(__xludf.DUMMYFUNCTION("""COMPUTED_VALUE"""),"DR")</f>
        <v>DR</v>
      </c>
      <c r="B500" s="207" t="str">
        <f ca="1">IFERROR(__xludf.DUMMYFUNCTION("""COMPUTED_VALUE"""),"Everly Utz")</f>
        <v>Everly Utz</v>
      </c>
      <c r="C500" s="199">
        <f ca="1">IFERROR(__xludf.DUMMYFUNCTION("""COMPUTED_VALUE"""),9)</f>
        <v>9</v>
      </c>
      <c r="D500" s="199" t="str">
        <f ca="1">IFERROR(__xludf.DUMMYFUNCTION("""COMPUTED_VALUE"""),"G")</f>
        <v>G</v>
      </c>
      <c r="E500" s="202" t="str">
        <f ca="1">IFERROR(__xludf.DUMMYFUNCTION("""COMPUTED_VALUE"""),"F")</f>
        <v>F</v>
      </c>
      <c r="F500" s="202" t="str">
        <f ca="1">IFERROR(__xludf.DUMMYFUNCTION("""COMPUTED_VALUE"""),"J")</f>
        <v>J</v>
      </c>
      <c r="G500" s="202">
        <f ca="1">IFERROR(__xludf.DUMMYFUNCTION("""COMPUTED_VALUE"""),3)</f>
        <v>3</v>
      </c>
      <c r="H500" s="206"/>
      <c r="I500" s="206"/>
      <c r="J500" s="206"/>
      <c r="K500" s="206"/>
      <c r="L500" s="206" t="str">
        <v/>
      </c>
      <c r="M500" s="206" t="str">
        <v/>
      </c>
    </row>
    <row r="501" spans="1:13" ht="14.4">
      <c r="A501" s="199" t="str">
        <f ca="1">IFERROR(__xludf.DUMMYFUNCTION("""COMPUTED_VALUE"""),"DR")</f>
        <v>DR</v>
      </c>
      <c r="B501" s="207" t="str">
        <f ca="1">IFERROR(__xludf.DUMMYFUNCTION("""COMPUTED_VALUE"""),"Finley McDonnell")</f>
        <v>Finley McDonnell</v>
      </c>
      <c r="C501" s="199">
        <f ca="1">IFERROR(__xludf.DUMMYFUNCTION("""COMPUTED_VALUE"""),7)</f>
        <v>7</v>
      </c>
      <c r="D501" s="199" t="str">
        <f ca="1">IFERROR(__xludf.DUMMYFUNCTION("""COMPUTED_VALUE"""),"G")</f>
        <v>G</v>
      </c>
      <c r="E501" s="202" t="str">
        <f ca="1">IFERROR(__xludf.DUMMYFUNCTION("""COMPUTED_VALUE"""),"F")</f>
        <v>F</v>
      </c>
      <c r="F501" s="202" t="str">
        <f ca="1">IFERROR(__xludf.DUMMYFUNCTION("""COMPUTED_VALUE"""),"J")</f>
        <v>J</v>
      </c>
      <c r="G501" s="202">
        <f ca="1">IFERROR(__xludf.DUMMYFUNCTION("""COMPUTED_VALUE"""),3)</f>
        <v>3</v>
      </c>
      <c r="H501" s="206">
        <v>54.25</v>
      </c>
      <c r="I501" s="206"/>
      <c r="J501" s="206" t="s">
        <v>121</v>
      </c>
      <c r="K501" s="206"/>
      <c r="L501" s="206" t="str">
        <v xml:space="preserve"> 54.25</v>
      </c>
      <c r="M501" s="206" t="str">
        <v/>
      </c>
    </row>
    <row r="502" spans="1:13" ht="14.4">
      <c r="A502" s="199" t="str">
        <f ca="1">IFERROR(__xludf.DUMMYFUNCTION("""COMPUTED_VALUE"""),"DR")</f>
        <v>DR</v>
      </c>
      <c r="B502" s="207" t="str">
        <f ca="1">IFERROR(__xludf.DUMMYFUNCTION("""COMPUTED_VALUE"""),"Grayson Wishneff")</f>
        <v>Grayson Wishneff</v>
      </c>
      <c r="C502" s="199">
        <f ca="1">IFERROR(__xludf.DUMMYFUNCTION("""COMPUTED_VALUE"""),9)</f>
        <v>9</v>
      </c>
      <c r="D502" s="199" t="str">
        <f ca="1">IFERROR(__xludf.DUMMYFUNCTION("""COMPUTED_VALUE"""),"G")</f>
        <v>G</v>
      </c>
      <c r="E502" s="202" t="str">
        <f ca="1">IFERROR(__xludf.DUMMYFUNCTION("""COMPUTED_VALUE"""),"F")</f>
        <v>F</v>
      </c>
      <c r="F502" s="202" t="str">
        <f ca="1">IFERROR(__xludf.DUMMYFUNCTION("""COMPUTED_VALUE"""),"J")</f>
        <v>J</v>
      </c>
      <c r="G502" s="202">
        <f ca="1">IFERROR(__xludf.DUMMYFUNCTION("""COMPUTED_VALUE"""),3)</f>
        <v>3</v>
      </c>
      <c r="H502" s="208"/>
      <c r="I502" s="208"/>
      <c r="J502" s="208"/>
      <c r="K502" s="208"/>
      <c r="L502" s="208" t="str">
        <v/>
      </c>
      <c r="M502" s="208" t="str">
        <v/>
      </c>
    </row>
    <row r="503" spans="1:13" ht="14.4">
      <c r="A503" s="199" t="str">
        <f ca="1">IFERROR(__xludf.DUMMYFUNCTION("""COMPUTED_VALUE"""),"DR")</f>
        <v>DR</v>
      </c>
      <c r="B503" s="207" t="str">
        <f ca="1">IFERROR(__xludf.DUMMYFUNCTION("""COMPUTED_VALUE"""),"Hailey Mesack")</f>
        <v>Hailey Mesack</v>
      </c>
      <c r="C503" s="199">
        <f ca="1">IFERROR(__xludf.DUMMYFUNCTION("""COMPUTED_VALUE"""),9)</f>
        <v>9</v>
      </c>
      <c r="D503" s="199" t="str">
        <f ca="1">IFERROR(__xludf.DUMMYFUNCTION("""COMPUTED_VALUE"""),"G")</f>
        <v>G</v>
      </c>
      <c r="E503" s="202" t="str">
        <f ca="1">IFERROR(__xludf.DUMMYFUNCTION("""COMPUTED_VALUE"""),"F")</f>
        <v>F</v>
      </c>
      <c r="F503" s="202" t="str">
        <f ca="1">IFERROR(__xludf.DUMMYFUNCTION("""COMPUTED_VALUE"""),"J")</f>
        <v>J</v>
      </c>
      <c r="G503" s="202">
        <f ca="1">IFERROR(__xludf.DUMMYFUNCTION("""COMPUTED_VALUE"""),3)</f>
        <v>3</v>
      </c>
      <c r="H503" s="208"/>
      <c r="I503" s="208"/>
      <c r="J503" s="208"/>
      <c r="K503" s="208"/>
      <c r="L503" s="208" t="str">
        <v/>
      </c>
      <c r="M503" s="208" t="str">
        <v/>
      </c>
    </row>
    <row r="504" spans="1:13" ht="14.4">
      <c r="A504" s="199" t="str">
        <f ca="1">IFERROR(__xludf.DUMMYFUNCTION("""COMPUTED_VALUE"""),"DR")</f>
        <v>DR</v>
      </c>
      <c r="B504" s="207" t="str">
        <f ca="1">IFERROR(__xludf.DUMMYFUNCTION("""COMPUTED_VALUE"""),"Ivy Thompson")</f>
        <v>Ivy Thompson</v>
      </c>
      <c r="C504" s="199">
        <f ca="1">IFERROR(__xludf.DUMMYFUNCTION("""COMPUTED_VALUE"""),8)</f>
        <v>8</v>
      </c>
      <c r="D504" s="199" t="str">
        <f ca="1">IFERROR(__xludf.DUMMYFUNCTION("""COMPUTED_VALUE"""),"G")</f>
        <v>G</v>
      </c>
      <c r="E504" s="202" t="str">
        <f ca="1">IFERROR(__xludf.DUMMYFUNCTION("""COMPUTED_VALUE"""),"F")</f>
        <v>F</v>
      </c>
      <c r="F504" s="202" t="str">
        <f ca="1">IFERROR(__xludf.DUMMYFUNCTION("""COMPUTED_VALUE"""),"J")</f>
        <v>J</v>
      </c>
      <c r="G504" s="202">
        <f ca="1">IFERROR(__xludf.DUMMYFUNCTION("""COMPUTED_VALUE"""),3)</f>
        <v>3</v>
      </c>
      <c r="H504" s="208"/>
      <c r="I504" s="208"/>
      <c r="J504" s="208"/>
      <c r="K504" s="208"/>
      <c r="L504" s="208" t="str">
        <v/>
      </c>
      <c r="M504" s="208" t="str">
        <v/>
      </c>
    </row>
    <row r="505" spans="1:13" ht="14.4">
      <c r="A505" s="199" t="str">
        <f ca="1">IFERROR(__xludf.DUMMYFUNCTION("""COMPUTED_VALUE"""),"DR")</f>
        <v>DR</v>
      </c>
      <c r="B505" s="207" t="str">
        <f ca="1">IFERROR(__xludf.DUMMYFUNCTION("""COMPUTED_VALUE"""),"Keegan Clark")</f>
        <v>Keegan Clark</v>
      </c>
      <c r="C505" s="199">
        <f ca="1">IFERROR(__xludf.DUMMYFUNCTION("""COMPUTED_VALUE"""),10)</f>
        <v>10</v>
      </c>
      <c r="D505" s="199" t="str">
        <f ca="1">IFERROR(__xludf.DUMMYFUNCTION("""COMPUTED_VALUE"""),"G")</f>
        <v>G</v>
      </c>
      <c r="E505" s="202" t="str">
        <f ca="1">IFERROR(__xludf.DUMMYFUNCTION("""COMPUTED_VALUE"""),"F")</f>
        <v>F</v>
      </c>
      <c r="F505" s="202" t="str">
        <f ca="1">IFERROR(__xludf.DUMMYFUNCTION("""COMPUTED_VALUE"""),"J")</f>
        <v>J</v>
      </c>
      <c r="G505" s="202">
        <f ca="1">IFERROR(__xludf.DUMMYFUNCTION("""COMPUTED_VALUE"""),3)</f>
        <v>3</v>
      </c>
      <c r="H505" s="208"/>
      <c r="I505" s="208"/>
      <c r="J505" s="208"/>
      <c r="K505" s="208"/>
      <c r="L505" s="208" t="str">
        <v/>
      </c>
      <c r="M505" s="208" t="str">
        <v/>
      </c>
    </row>
    <row r="506" spans="1:13" ht="14.4">
      <c r="A506" s="199" t="str">
        <f ca="1">IFERROR(__xludf.DUMMYFUNCTION("""COMPUTED_VALUE"""),"DR")</f>
        <v>DR</v>
      </c>
      <c r="B506" s="207" t="str">
        <f ca="1">IFERROR(__xludf.DUMMYFUNCTION("""COMPUTED_VALUE"""),"Leela Lakhani")</f>
        <v>Leela Lakhani</v>
      </c>
      <c r="C506" s="199">
        <f ca="1">IFERROR(__xludf.DUMMYFUNCTION("""COMPUTED_VALUE"""),8)</f>
        <v>8</v>
      </c>
      <c r="D506" s="199" t="str">
        <f ca="1">IFERROR(__xludf.DUMMYFUNCTION("""COMPUTED_VALUE"""),"G")</f>
        <v>G</v>
      </c>
      <c r="E506" s="202" t="str">
        <f ca="1">IFERROR(__xludf.DUMMYFUNCTION("""COMPUTED_VALUE"""),"F")</f>
        <v>F</v>
      </c>
      <c r="F506" s="202" t="str">
        <f ca="1">IFERROR(__xludf.DUMMYFUNCTION("""COMPUTED_VALUE"""),"J")</f>
        <v>J</v>
      </c>
      <c r="G506" s="202">
        <f ca="1">IFERROR(__xludf.DUMMYFUNCTION("""COMPUTED_VALUE"""),3)</f>
        <v>3</v>
      </c>
      <c r="H506" s="206"/>
      <c r="I506" s="206"/>
      <c r="J506" s="206"/>
      <c r="K506" s="206"/>
      <c r="L506" s="206" t="str">
        <v/>
      </c>
      <c r="M506" s="206" t="str">
        <v/>
      </c>
    </row>
    <row r="507" spans="1:13" ht="14.4">
      <c r="A507" s="199" t="str">
        <f ca="1">IFERROR(__xludf.DUMMYFUNCTION("""COMPUTED_VALUE"""),"DR")</f>
        <v>DR</v>
      </c>
      <c r="B507" s="207" t="str">
        <f ca="1">IFERROR(__xludf.DUMMYFUNCTION("""COMPUTED_VALUE"""),"Lila Epstein")</f>
        <v>Lila Epstein</v>
      </c>
      <c r="C507" s="199">
        <f ca="1">IFERROR(__xludf.DUMMYFUNCTION("""COMPUTED_VALUE"""),10)</f>
        <v>10</v>
      </c>
      <c r="D507" s="199" t="str">
        <f ca="1">IFERROR(__xludf.DUMMYFUNCTION("""COMPUTED_VALUE"""),"G")</f>
        <v>G</v>
      </c>
      <c r="E507" s="202" t="str">
        <f ca="1">IFERROR(__xludf.DUMMYFUNCTION("""COMPUTED_VALUE"""),"F")</f>
        <v>F</v>
      </c>
      <c r="F507" s="202" t="str">
        <f ca="1">IFERROR(__xludf.DUMMYFUNCTION("""COMPUTED_VALUE"""),"J")</f>
        <v>J</v>
      </c>
      <c r="G507" s="202">
        <f ca="1">IFERROR(__xludf.DUMMYFUNCTION("""COMPUTED_VALUE"""),3)</f>
        <v>3</v>
      </c>
      <c r="H507" s="208"/>
      <c r="I507" s="208"/>
      <c r="J507" s="208"/>
      <c r="K507" s="208"/>
      <c r="L507" s="208" t="str">
        <v/>
      </c>
      <c r="M507" s="208" t="str">
        <v/>
      </c>
    </row>
    <row r="508" spans="1:13" ht="14.4">
      <c r="A508" s="199" t="str">
        <f ca="1">IFERROR(__xludf.DUMMYFUNCTION("""COMPUTED_VALUE"""),"DR")</f>
        <v>DR</v>
      </c>
      <c r="B508" s="207" t="str">
        <f ca="1">IFERROR(__xludf.DUMMYFUNCTION("""COMPUTED_VALUE"""),"Lily Klein")</f>
        <v>Lily Klein</v>
      </c>
      <c r="C508" s="199">
        <f ca="1">IFERROR(__xludf.DUMMYFUNCTION("""COMPUTED_VALUE"""),9)</f>
        <v>9</v>
      </c>
      <c r="D508" s="199" t="str">
        <f ca="1">IFERROR(__xludf.DUMMYFUNCTION("""COMPUTED_VALUE"""),"G")</f>
        <v>G</v>
      </c>
      <c r="E508" s="202" t="str">
        <f ca="1">IFERROR(__xludf.DUMMYFUNCTION("""COMPUTED_VALUE"""),"F")</f>
        <v>F</v>
      </c>
      <c r="F508" s="202" t="str">
        <f ca="1">IFERROR(__xludf.DUMMYFUNCTION("""COMPUTED_VALUE"""),"J")</f>
        <v>J</v>
      </c>
      <c r="G508" s="202">
        <f ca="1">IFERROR(__xludf.DUMMYFUNCTION("""COMPUTED_VALUE"""),3)</f>
        <v>3</v>
      </c>
      <c r="H508" s="206">
        <v>55.95</v>
      </c>
      <c r="I508" s="206"/>
      <c r="J508" s="206" t="s">
        <v>121</v>
      </c>
      <c r="K508" s="206"/>
      <c r="L508" s="206" t="str">
        <v xml:space="preserve"> 55.95</v>
      </c>
      <c r="M508" s="206" t="str">
        <v/>
      </c>
    </row>
    <row r="509" spans="1:13" ht="14.4">
      <c r="A509" s="199" t="str">
        <f ca="1">IFERROR(__xludf.DUMMYFUNCTION("""COMPUTED_VALUE"""),"DR")</f>
        <v>DR</v>
      </c>
      <c r="B509" s="207" t="str">
        <f ca="1">IFERROR(__xludf.DUMMYFUNCTION("""COMPUTED_VALUE"""),"Livy Jane Abbey")</f>
        <v>Livy Jane Abbey</v>
      </c>
      <c r="C509" s="199">
        <f ca="1">IFERROR(__xludf.DUMMYFUNCTION("""COMPUTED_VALUE"""),8)</f>
        <v>8</v>
      </c>
      <c r="D509" s="199" t="str">
        <f ca="1">IFERROR(__xludf.DUMMYFUNCTION("""COMPUTED_VALUE"""),"G")</f>
        <v>G</v>
      </c>
      <c r="E509" s="202" t="str">
        <f ca="1">IFERROR(__xludf.DUMMYFUNCTION("""COMPUTED_VALUE"""),"F")</f>
        <v>F</v>
      </c>
      <c r="F509" s="202" t="str">
        <f ca="1">IFERROR(__xludf.DUMMYFUNCTION("""COMPUTED_VALUE"""),"J")</f>
        <v>J</v>
      </c>
      <c r="G509" s="202">
        <f ca="1">IFERROR(__xludf.DUMMYFUNCTION("""COMPUTED_VALUE"""),3)</f>
        <v>3</v>
      </c>
      <c r="H509" s="206"/>
      <c r="I509" s="206"/>
      <c r="J509" s="206"/>
      <c r="K509" s="206"/>
      <c r="L509" s="206" t="str">
        <v/>
      </c>
      <c r="M509" s="206" t="str">
        <v/>
      </c>
    </row>
    <row r="510" spans="1:13" ht="14.4">
      <c r="A510" s="199" t="str">
        <f ca="1">IFERROR(__xludf.DUMMYFUNCTION("""COMPUTED_VALUE"""),"DR")</f>
        <v>DR</v>
      </c>
      <c r="B510" s="207" t="str">
        <f ca="1">IFERROR(__xludf.DUMMYFUNCTION("""COMPUTED_VALUE"""),"Liya Adenaw")</f>
        <v>Liya Adenaw</v>
      </c>
      <c r="C510" s="199">
        <f ca="1">IFERROR(__xludf.DUMMYFUNCTION("""COMPUTED_VALUE"""),8)</f>
        <v>8</v>
      </c>
      <c r="D510" s="199" t="str">
        <f ca="1">IFERROR(__xludf.DUMMYFUNCTION("""COMPUTED_VALUE"""),"G")</f>
        <v>G</v>
      </c>
      <c r="E510" s="202" t="str">
        <f ca="1">IFERROR(__xludf.DUMMYFUNCTION("""COMPUTED_VALUE"""),"F")</f>
        <v>F</v>
      </c>
      <c r="F510" s="202" t="str">
        <f ca="1">IFERROR(__xludf.DUMMYFUNCTION("""COMPUTED_VALUE"""),"J")</f>
        <v>J</v>
      </c>
      <c r="G510" s="202">
        <f ca="1">IFERROR(__xludf.DUMMYFUNCTION("""COMPUTED_VALUE"""),3)</f>
        <v>3</v>
      </c>
      <c r="H510" s="208"/>
      <c r="I510" s="208"/>
      <c r="J510" s="208"/>
      <c r="K510" s="208"/>
      <c r="L510" s="208" t="str">
        <v/>
      </c>
      <c r="M510" s="208" t="str">
        <v/>
      </c>
    </row>
    <row r="511" spans="1:13" ht="14.4">
      <c r="A511" s="199" t="str">
        <f ca="1">IFERROR(__xludf.DUMMYFUNCTION("""COMPUTED_VALUE"""),"DR")</f>
        <v>DR</v>
      </c>
      <c r="B511" s="207" t="str">
        <f ca="1">IFERROR(__xludf.DUMMYFUNCTION("""COMPUTED_VALUE"""),"Margaret Nelson")</f>
        <v>Margaret Nelson</v>
      </c>
      <c r="C511" s="199">
        <f ca="1">IFERROR(__xludf.DUMMYFUNCTION("""COMPUTED_VALUE"""),10)</f>
        <v>10</v>
      </c>
      <c r="D511" s="199" t="str">
        <f ca="1">IFERROR(__xludf.DUMMYFUNCTION("""COMPUTED_VALUE"""),"G")</f>
        <v>G</v>
      </c>
      <c r="E511" s="202" t="str">
        <f ca="1">IFERROR(__xludf.DUMMYFUNCTION("""COMPUTED_VALUE"""),"F")</f>
        <v>F</v>
      </c>
      <c r="F511" s="202" t="str">
        <f ca="1">IFERROR(__xludf.DUMMYFUNCTION("""COMPUTED_VALUE"""),"J")</f>
        <v>J</v>
      </c>
      <c r="G511" s="202">
        <f ca="1">IFERROR(__xludf.DUMMYFUNCTION("""COMPUTED_VALUE"""),3)</f>
        <v>3</v>
      </c>
      <c r="H511" s="206">
        <v>47.1</v>
      </c>
      <c r="I511" s="206"/>
      <c r="J511" s="206" t="s">
        <v>121</v>
      </c>
      <c r="K511" s="206"/>
      <c r="L511" s="206" t="str">
        <v xml:space="preserve"> 47.1</v>
      </c>
      <c r="M511" s="206" t="str">
        <v/>
      </c>
    </row>
    <row r="512" spans="1:13" ht="14.4">
      <c r="A512" s="199" t="str">
        <f ca="1">IFERROR(__xludf.DUMMYFUNCTION("""COMPUTED_VALUE"""),"DR")</f>
        <v>DR</v>
      </c>
      <c r="B512" s="207" t="str">
        <f ca="1">IFERROR(__xludf.DUMMYFUNCTION("""COMPUTED_VALUE"""),"Stella Epstein")</f>
        <v>Stella Epstein</v>
      </c>
      <c r="C512" s="199">
        <f ca="1">IFERROR(__xludf.DUMMYFUNCTION("""COMPUTED_VALUE"""),9)</f>
        <v>9</v>
      </c>
      <c r="D512" s="199" t="str">
        <f ca="1">IFERROR(__xludf.DUMMYFUNCTION("""COMPUTED_VALUE"""),"G")</f>
        <v>G</v>
      </c>
      <c r="E512" s="202" t="str">
        <f ca="1">IFERROR(__xludf.DUMMYFUNCTION("""COMPUTED_VALUE"""),"F")</f>
        <v>F</v>
      </c>
      <c r="F512" s="202" t="str">
        <f ca="1">IFERROR(__xludf.DUMMYFUNCTION("""COMPUTED_VALUE"""),"J")</f>
        <v>J</v>
      </c>
      <c r="G512" s="202">
        <f ca="1">IFERROR(__xludf.DUMMYFUNCTION("""COMPUTED_VALUE"""),3)</f>
        <v>3</v>
      </c>
      <c r="H512" s="208"/>
      <c r="I512" s="208"/>
      <c r="J512" s="208"/>
      <c r="K512" s="208"/>
      <c r="L512" s="208" t="str">
        <v/>
      </c>
      <c r="M512" s="208" t="str">
        <v/>
      </c>
    </row>
    <row r="513" spans="1:13" ht="14.4">
      <c r="A513" s="199" t="str">
        <f ca="1">IFERROR(__xludf.DUMMYFUNCTION("""COMPUTED_VALUE"""),"DR")</f>
        <v>DR</v>
      </c>
      <c r="B513" s="207" t="str">
        <f ca="1">IFERROR(__xludf.DUMMYFUNCTION("""COMPUTED_VALUE"""),"Syona Chandy")</f>
        <v>Syona Chandy</v>
      </c>
      <c r="C513" s="199">
        <f ca="1">IFERROR(__xludf.DUMMYFUNCTION("""COMPUTED_VALUE"""),8)</f>
        <v>8</v>
      </c>
      <c r="D513" s="199" t="str">
        <f ca="1">IFERROR(__xludf.DUMMYFUNCTION("""COMPUTED_VALUE"""),"G")</f>
        <v>G</v>
      </c>
      <c r="E513" s="202" t="str">
        <f ca="1">IFERROR(__xludf.DUMMYFUNCTION("""COMPUTED_VALUE"""),"F")</f>
        <v>F</v>
      </c>
      <c r="F513" s="202" t="str">
        <f ca="1">IFERROR(__xludf.DUMMYFUNCTION("""COMPUTED_VALUE"""),"J")</f>
        <v>J</v>
      </c>
      <c r="G513" s="202">
        <f ca="1">IFERROR(__xludf.DUMMYFUNCTION("""COMPUTED_VALUE"""),3)</f>
        <v>3</v>
      </c>
      <c r="H513" s="208"/>
      <c r="I513" s="208"/>
      <c r="J513" s="208"/>
      <c r="K513" s="208"/>
      <c r="L513" s="208" t="str">
        <v/>
      </c>
      <c r="M513" s="208" t="str">
        <v/>
      </c>
    </row>
    <row r="514" spans="1:13" ht="14.4">
      <c r="A514" s="199" t="str">
        <f ca="1">IFERROR(__xludf.DUMMYFUNCTION("""COMPUTED_VALUE"""),"DR")</f>
        <v>DR</v>
      </c>
      <c r="B514" s="207" t="str">
        <f ca="1">IFERROR(__xludf.DUMMYFUNCTION("""COMPUTED_VALUE"""),"Taylor McDonnell")</f>
        <v>Taylor McDonnell</v>
      </c>
      <c r="C514" s="199">
        <f ca="1">IFERROR(__xludf.DUMMYFUNCTION("""COMPUTED_VALUE"""),10)</f>
        <v>10</v>
      </c>
      <c r="D514" s="199" t="str">
        <f ca="1">IFERROR(__xludf.DUMMYFUNCTION("""COMPUTED_VALUE"""),"G")</f>
        <v>G</v>
      </c>
      <c r="E514" s="202" t="str">
        <f ca="1">IFERROR(__xludf.DUMMYFUNCTION("""COMPUTED_VALUE"""),"F")</f>
        <v>F</v>
      </c>
      <c r="F514" s="202" t="str">
        <f ca="1">IFERROR(__xludf.DUMMYFUNCTION("""COMPUTED_VALUE"""),"J")</f>
        <v>J</v>
      </c>
      <c r="G514" s="202">
        <f ca="1">IFERROR(__xludf.DUMMYFUNCTION("""COMPUTED_VALUE"""),3)</f>
        <v>3</v>
      </c>
      <c r="H514" s="206">
        <v>65.05</v>
      </c>
      <c r="I514" s="206"/>
      <c r="J514" s="206" t="s">
        <v>121</v>
      </c>
      <c r="K514" s="206"/>
      <c r="L514" s="206" t="str">
        <v xml:space="preserve"> 65.05</v>
      </c>
      <c r="M514" s="206" t="str">
        <v/>
      </c>
    </row>
    <row r="515" spans="1:13" ht="14.4">
      <c r="A515" s="199" t="str">
        <f ca="1">IFERROR(__xludf.DUMMYFUNCTION("""COMPUTED_VALUE"""),"DR")</f>
        <v>DR</v>
      </c>
      <c r="B515" s="207" t="str">
        <f ca="1">IFERROR(__xludf.DUMMYFUNCTION("""COMPUTED_VALUE"""),"Alexander Duong")</f>
        <v>Alexander Duong</v>
      </c>
      <c r="C515" s="199">
        <f ca="1">IFERROR(__xludf.DUMMYFUNCTION("""COMPUTED_VALUE"""),14)</f>
        <v>14</v>
      </c>
      <c r="D515" s="199" t="str">
        <f ca="1">IFERROR(__xludf.DUMMYFUNCTION("""COMPUTED_VALUE"""),"B")</f>
        <v>B</v>
      </c>
      <c r="E515" s="202" t="str">
        <f ca="1">IFERROR(__xludf.DUMMYFUNCTION("""COMPUTED_VALUE"""),"I")</f>
        <v>I</v>
      </c>
      <c r="F515" s="202" t="str">
        <f ca="1">IFERROR(__xludf.DUMMYFUNCTION("""COMPUTED_VALUE"""),"S")</f>
        <v>S</v>
      </c>
      <c r="G515" s="202">
        <f ca="1">IFERROR(__xludf.DUMMYFUNCTION("""COMPUTED_VALUE"""),3)</f>
        <v>3</v>
      </c>
      <c r="H515" s="206"/>
      <c r="I515" s="206"/>
      <c r="J515" s="206"/>
      <c r="K515" s="206"/>
      <c r="L515" s="206" t="str">
        <v/>
      </c>
      <c r="M515" s="206" t="str">
        <v/>
      </c>
    </row>
    <row r="516" spans="1:13" ht="14.4">
      <c r="A516" s="199" t="str">
        <f ca="1">IFERROR(__xludf.DUMMYFUNCTION("""COMPUTED_VALUE"""),"DR")</f>
        <v>DR</v>
      </c>
      <c r="B516" s="207" t="str">
        <f ca="1">IFERROR(__xludf.DUMMYFUNCTION("""COMPUTED_VALUE"""),"Jack Reed")</f>
        <v>Jack Reed</v>
      </c>
      <c r="C516" s="199">
        <f ca="1">IFERROR(__xludf.DUMMYFUNCTION("""COMPUTED_VALUE"""),14)</f>
        <v>14</v>
      </c>
      <c r="D516" s="199" t="str">
        <f ca="1">IFERROR(__xludf.DUMMYFUNCTION("""COMPUTED_VALUE"""),"B")</f>
        <v>B</v>
      </c>
      <c r="E516" s="202" t="str">
        <f ca="1">IFERROR(__xludf.DUMMYFUNCTION("""COMPUTED_VALUE"""),"I")</f>
        <v>I</v>
      </c>
      <c r="F516" s="202" t="str">
        <f ca="1">IFERROR(__xludf.DUMMYFUNCTION("""COMPUTED_VALUE"""),"S")</f>
        <v>S</v>
      </c>
      <c r="G516" s="202">
        <f ca="1">IFERROR(__xludf.DUMMYFUNCTION("""COMPUTED_VALUE"""),3)</f>
        <v>3</v>
      </c>
      <c r="H516" s="208"/>
      <c r="I516" s="208">
        <v>134.75</v>
      </c>
      <c r="J516" s="208"/>
      <c r="K516" s="208" t="s">
        <v>121</v>
      </c>
      <c r="L516" s="208" t="str">
        <v xml:space="preserve"> 134.75</v>
      </c>
      <c r="M516" s="208" t="str">
        <v/>
      </c>
    </row>
    <row r="517" spans="1:13" ht="14.4">
      <c r="A517" s="199" t="str">
        <f ca="1">IFERROR(__xludf.DUMMYFUNCTION("""COMPUTED_VALUE"""),"DR")</f>
        <v>DR</v>
      </c>
      <c r="B517" s="207" t="str">
        <f ca="1">IFERROR(__xludf.DUMMYFUNCTION("""COMPUTED_VALUE"""),"John Bowman")</f>
        <v>John Bowman</v>
      </c>
      <c r="C517" s="199">
        <f ca="1">IFERROR(__xludf.DUMMYFUNCTION("""COMPUTED_VALUE"""),14)</f>
        <v>14</v>
      </c>
      <c r="D517" s="199" t="str">
        <f ca="1">IFERROR(__xludf.DUMMYFUNCTION("""COMPUTED_VALUE"""),"B")</f>
        <v>B</v>
      </c>
      <c r="E517" s="202" t="str">
        <f ca="1">IFERROR(__xludf.DUMMYFUNCTION("""COMPUTED_VALUE"""),"I")</f>
        <v>I</v>
      </c>
      <c r="F517" s="202" t="str">
        <f ca="1">IFERROR(__xludf.DUMMYFUNCTION("""COMPUTED_VALUE"""),"S")</f>
        <v>S</v>
      </c>
      <c r="G517" s="202">
        <f ca="1">IFERROR(__xludf.DUMMYFUNCTION("""COMPUTED_VALUE"""),3)</f>
        <v>3</v>
      </c>
      <c r="H517" s="208"/>
      <c r="I517" s="208"/>
      <c r="J517" s="208"/>
      <c r="K517" s="208"/>
      <c r="L517" s="208" t="str">
        <v/>
      </c>
      <c r="M517" s="208" t="str">
        <v/>
      </c>
    </row>
    <row r="518" spans="1:13" ht="14.4">
      <c r="A518" s="199" t="str">
        <f ca="1">IFERROR(__xludf.DUMMYFUNCTION("""COMPUTED_VALUE"""),"DR")</f>
        <v>DR</v>
      </c>
      <c r="B518" s="207" t="str">
        <f ca="1">IFERROR(__xludf.DUMMYFUNCTION("""COMPUTED_VALUE"""),"Matthew Mastrostefano")</f>
        <v>Matthew Mastrostefano</v>
      </c>
      <c r="C518" s="199">
        <f ca="1">IFERROR(__xludf.DUMMYFUNCTION("""COMPUTED_VALUE"""),14)</f>
        <v>14</v>
      </c>
      <c r="D518" s="199" t="str">
        <f ca="1">IFERROR(__xludf.DUMMYFUNCTION("""COMPUTED_VALUE"""),"B")</f>
        <v>B</v>
      </c>
      <c r="E518" s="202" t="str">
        <f ca="1">IFERROR(__xludf.DUMMYFUNCTION("""COMPUTED_VALUE"""),"I")</f>
        <v>I</v>
      </c>
      <c r="F518" s="202" t="str">
        <f ca="1">IFERROR(__xludf.DUMMYFUNCTION("""COMPUTED_VALUE"""),"S")</f>
        <v>S</v>
      </c>
      <c r="G518" s="202">
        <f ca="1">IFERROR(__xludf.DUMMYFUNCTION("""COMPUTED_VALUE"""),3)</f>
        <v>3</v>
      </c>
      <c r="H518" s="208"/>
      <c r="I518" s="208"/>
      <c r="J518" s="208"/>
      <c r="K518" s="208"/>
      <c r="L518" s="208" t="str">
        <v/>
      </c>
      <c r="M518" s="208" t="str">
        <v/>
      </c>
    </row>
    <row r="519" spans="1:13" ht="14.4">
      <c r="A519" s="199" t="str">
        <f ca="1">IFERROR(__xludf.DUMMYFUNCTION("""COMPUTED_VALUE"""),"DR")</f>
        <v>DR</v>
      </c>
      <c r="B519" s="207" t="str">
        <f ca="1">IFERROR(__xludf.DUMMYFUNCTION("""COMPUTED_VALUE"""),"Sam Jaeckel")</f>
        <v>Sam Jaeckel</v>
      </c>
      <c r="C519" s="199">
        <f ca="1">IFERROR(__xludf.DUMMYFUNCTION("""COMPUTED_VALUE"""),13)</f>
        <v>13</v>
      </c>
      <c r="D519" s="199" t="str">
        <f ca="1">IFERROR(__xludf.DUMMYFUNCTION("""COMPUTED_VALUE"""),"B")</f>
        <v>B</v>
      </c>
      <c r="E519" s="202" t="str">
        <f ca="1">IFERROR(__xludf.DUMMYFUNCTION("""COMPUTED_VALUE"""),"I")</f>
        <v>I</v>
      </c>
      <c r="F519" s="202" t="str">
        <f ca="1">IFERROR(__xludf.DUMMYFUNCTION("""COMPUTED_VALUE"""),"S")</f>
        <v>S</v>
      </c>
      <c r="G519" s="202">
        <f ca="1">IFERROR(__xludf.DUMMYFUNCTION("""COMPUTED_VALUE"""),3)</f>
        <v>3</v>
      </c>
      <c r="H519" s="208"/>
      <c r="I519" s="208"/>
      <c r="J519" s="208"/>
      <c r="K519" s="208"/>
      <c r="L519" s="208" t="str">
        <v/>
      </c>
      <c r="M519" s="208" t="str">
        <v/>
      </c>
    </row>
    <row r="520" spans="1:13" ht="14.4">
      <c r="A520" s="199" t="str">
        <f ca="1">IFERROR(__xludf.DUMMYFUNCTION("""COMPUTED_VALUE"""),"DR")</f>
        <v>DR</v>
      </c>
      <c r="B520" s="207" t="str">
        <f ca="1">IFERROR(__xludf.DUMMYFUNCTION("""COMPUTED_VALUE"""),"William Mount")</f>
        <v>William Mount</v>
      </c>
      <c r="C520" s="199">
        <f ca="1">IFERROR(__xludf.DUMMYFUNCTION("""COMPUTED_VALUE"""),14)</f>
        <v>14</v>
      </c>
      <c r="D520" s="199" t="str">
        <f ca="1">IFERROR(__xludf.DUMMYFUNCTION("""COMPUTED_VALUE"""),"B")</f>
        <v>B</v>
      </c>
      <c r="E520" s="202" t="str">
        <f ca="1">IFERROR(__xludf.DUMMYFUNCTION("""COMPUTED_VALUE"""),"I")</f>
        <v>I</v>
      </c>
      <c r="F520" s="202" t="str">
        <f ca="1">IFERROR(__xludf.DUMMYFUNCTION("""COMPUTED_VALUE"""),"S")</f>
        <v>S</v>
      </c>
      <c r="G520" s="202">
        <f ca="1">IFERROR(__xludf.DUMMYFUNCTION("""COMPUTED_VALUE"""),3)</f>
        <v>3</v>
      </c>
      <c r="H520" s="206"/>
      <c r="I520" s="206"/>
      <c r="J520" s="206"/>
      <c r="K520" s="206"/>
      <c r="L520" s="206" t="str">
        <v/>
      </c>
      <c r="M520" s="206" t="str">
        <v/>
      </c>
    </row>
    <row r="521" spans="1:13" ht="14.4">
      <c r="A521" s="199" t="str">
        <f ca="1">IFERROR(__xludf.DUMMYFUNCTION("""COMPUTED_VALUE"""),"DR")</f>
        <v>DR</v>
      </c>
      <c r="B521" s="207" t="str">
        <f ca="1">IFERROR(__xludf.DUMMYFUNCTION("""COMPUTED_VALUE"""),"Zachary Cohen")</f>
        <v>Zachary Cohen</v>
      </c>
      <c r="C521" s="199">
        <f ca="1">IFERROR(__xludf.DUMMYFUNCTION("""COMPUTED_VALUE"""),14)</f>
        <v>14</v>
      </c>
      <c r="D521" s="199" t="str">
        <f ca="1">IFERROR(__xludf.DUMMYFUNCTION("""COMPUTED_VALUE"""),"B")</f>
        <v>B</v>
      </c>
      <c r="E521" s="202" t="str">
        <f ca="1">IFERROR(__xludf.DUMMYFUNCTION("""COMPUTED_VALUE"""),"I")</f>
        <v>I</v>
      </c>
      <c r="F521" s="202" t="str">
        <f ca="1">IFERROR(__xludf.DUMMYFUNCTION("""COMPUTED_VALUE"""),"S")</f>
        <v>S</v>
      </c>
      <c r="G521" s="202">
        <f ca="1">IFERROR(__xludf.DUMMYFUNCTION("""COMPUTED_VALUE"""),3)</f>
        <v>3</v>
      </c>
      <c r="H521" s="206"/>
      <c r="I521" s="206"/>
      <c r="J521" s="206"/>
      <c r="K521" s="206"/>
      <c r="L521" s="206" t="str">
        <v/>
      </c>
      <c r="M521" s="206" t="str">
        <v/>
      </c>
    </row>
    <row r="522" spans="1:13" ht="14.4">
      <c r="A522" s="199" t="str">
        <f ca="1">IFERROR(__xludf.DUMMYFUNCTION("""COMPUTED_VALUE"""),"DR")</f>
        <v>DR</v>
      </c>
      <c r="B522" s="207" t="str">
        <f ca="1">IFERROR(__xludf.DUMMYFUNCTION("""COMPUTED_VALUE"""),"Charlotte Fletcher")</f>
        <v>Charlotte Fletcher</v>
      </c>
      <c r="C522" s="199">
        <f ca="1">IFERROR(__xludf.DUMMYFUNCTION("""COMPUTED_VALUE"""),13)</f>
        <v>13</v>
      </c>
      <c r="D522" s="199" t="str">
        <f ca="1">IFERROR(__xludf.DUMMYFUNCTION("""COMPUTED_VALUE"""),"G")</f>
        <v>G</v>
      </c>
      <c r="E522" s="202" t="str">
        <f ca="1">IFERROR(__xludf.DUMMYFUNCTION("""COMPUTED_VALUE"""),"I")</f>
        <v>I</v>
      </c>
      <c r="F522" s="202" t="str">
        <f ca="1">IFERROR(__xludf.DUMMYFUNCTION("""COMPUTED_VALUE"""),"S")</f>
        <v>S</v>
      </c>
      <c r="G522" s="202">
        <f ca="1">IFERROR(__xludf.DUMMYFUNCTION("""COMPUTED_VALUE"""),3)</f>
        <v>3</v>
      </c>
      <c r="H522" s="206"/>
      <c r="I522" s="206"/>
      <c r="J522" s="206"/>
      <c r="K522" s="206"/>
      <c r="L522" s="206" t="str">
        <v/>
      </c>
      <c r="M522" s="206" t="str">
        <v/>
      </c>
    </row>
    <row r="523" spans="1:13" ht="14.4">
      <c r="A523" s="199" t="str">
        <f ca="1">IFERROR(__xludf.DUMMYFUNCTION("""COMPUTED_VALUE"""),"DR")</f>
        <v>DR</v>
      </c>
      <c r="B523" s="207" t="str">
        <f ca="1">IFERROR(__xludf.DUMMYFUNCTION("""COMPUTED_VALUE"""),"Ella Paris")</f>
        <v>Ella Paris</v>
      </c>
      <c r="C523" s="199">
        <f ca="1">IFERROR(__xludf.DUMMYFUNCTION("""COMPUTED_VALUE"""),13)</f>
        <v>13</v>
      </c>
      <c r="D523" s="199" t="str">
        <f ca="1">IFERROR(__xludf.DUMMYFUNCTION("""COMPUTED_VALUE"""),"G")</f>
        <v>G</v>
      </c>
      <c r="E523" s="202" t="str">
        <f ca="1">IFERROR(__xludf.DUMMYFUNCTION("""COMPUTED_VALUE"""),"I")</f>
        <v>I</v>
      </c>
      <c r="F523" s="202" t="str">
        <f ca="1">IFERROR(__xludf.DUMMYFUNCTION("""COMPUTED_VALUE"""),"S")</f>
        <v>S</v>
      </c>
      <c r="G523" s="202">
        <f ca="1">IFERROR(__xludf.DUMMYFUNCTION("""COMPUTED_VALUE"""),3)</f>
        <v>3</v>
      </c>
      <c r="H523" s="208"/>
      <c r="I523" s="208"/>
      <c r="J523" s="208"/>
      <c r="K523" s="208"/>
      <c r="L523" s="208" t="str">
        <v/>
      </c>
      <c r="M523" s="208" t="str">
        <v/>
      </c>
    </row>
    <row r="524" spans="1:13" ht="14.4">
      <c r="A524" s="199" t="str">
        <f ca="1">IFERROR(__xludf.DUMMYFUNCTION("""COMPUTED_VALUE"""),"DR")</f>
        <v>DR</v>
      </c>
      <c r="B524" s="207" t="str">
        <f ca="1">IFERROR(__xludf.DUMMYFUNCTION("""COMPUTED_VALUE"""),"Emily Wiese")</f>
        <v>Emily Wiese</v>
      </c>
      <c r="C524" s="199">
        <f ca="1">IFERROR(__xludf.DUMMYFUNCTION("""COMPUTED_VALUE"""),14)</f>
        <v>14</v>
      </c>
      <c r="D524" s="199" t="str">
        <f ca="1">IFERROR(__xludf.DUMMYFUNCTION("""COMPUTED_VALUE"""),"G")</f>
        <v>G</v>
      </c>
      <c r="E524" s="202" t="str">
        <f ca="1">IFERROR(__xludf.DUMMYFUNCTION("""COMPUTED_VALUE"""),"I")</f>
        <v>I</v>
      </c>
      <c r="F524" s="202" t="str">
        <f ca="1">IFERROR(__xludf.DUMMYFUNCTION("""COMPUTED_VALUE"""),"S")</f>
        <v>S</v>
      </c>
      <c r="G524" s="202">
        <f ca="1">IFERROR(__xludf.DUMMYFUNCTION("""COMPUTED_VALUE"""),3)</f>
        <v>3</v>
      </c>
      <c r="H524" s="208">
        <v>103.4</v>
      </c>
      <c r="I524" s="208"/>
      <c r="J524" s="208" t="s">
        <v>121</v>
      </c>
      <c r="K524" s="208"/>
      <c r="L524" s="208" t="str">
        <v xml:space="preserve"> 103.4</v>
      </c>
      <c r="M524" s="208" t="str">
        <v/>
      </c>
    </row>
    <row r="525" spans="1:13" ht="14.4">
      <c r="A525" s="199" t="str">
        <f ca="1">IFERROR(__xludf.DUMMYFUNCTION("""COMPUTED_VALUE"""),"DR")</f>
        <v>DR</v>
      </c>
      <c r="B525" s="207" t="str">
        <f ca="1">IFERROR(__xludf.DUMMYFUNCTION("""COMPUTED_VALUE"""),"Emma Dunne")</f>
        <v>Emma Dunne</v>
      </c>
      <c r="C525" s="199">
        <f ca="1">IFERROR(__xludf.DUMMYFUNCTION("""COMPUTED_VALUE"""),13)</f>
        <v>13</v>
      </c>
      <c r="D525" s="199" t="str">
        <f ca="1">IFERROR(__xludf.DUMMYFUNCTION("""COMPUTED_VALUE"""),"G")</f>
        <v>G</v>
      </c>
      <c r="E525" s="202" t="str">
        <f ca="1">IFERROR(__xludf.DUMMYFUNCTION("""COMPUTED_VALUE"""),"I")</f>
        <v>I</v>
      </c>
      <c r="F525" s="202" t="str">
        <f ca="1">IFERROR(__xludf.DUMMYFUNCTION("""COMPUTED_VALUE"""),"S")</f>
        <v>S</v>
      </c>
      <c r="G525" s="202">
        <f ca="1">IFERROR(__xludf.DUMMYFUNCTION("""COMPUTED_VALUE"""),3)</f>
        <v>3</v>
      </c>
      <c r="H525" s="206"/>
      <c r="I525" s="206"/>
      <c r="J525" s="206"/>
      <c r="K525" s="206"/>
      <c r="L525" s="206" t="str">
        <v/>
      </c>
      <c r="M525" s="206" t="str">
        <v/>
      </c>
    </row>
    <row r="526" spans="1:13" ht="14.4">
      <c r="A526" s="199" t="str">
        <f ca="1">IFERROR(__xludf.DUMMYFUNCTION("""COMPUTED_VALUE"""),"DR")</f>
        <v>DR</v>
      </c>
      <c r="B526" s="207" t="str">
        <f ca="1">IFERROR(__xludf.DUMMYFUNCTION("""COMPUTED_VALUE"""),"Eve Jungman")</f>
        <v>Eve Jungman</v>
      </c>
      <c r="C526" s="199">
        <f ca="1">IFERROR(__xludf.DUMMYFUNCTION("""COMPUTED_VALUE"""),13)</f>
        <v>13</v>
      </c>
      <c r="D526" s="199" t="str">
        <f ca="1">IFERROR(__xludf.DUMMYFUNCTION("""COMPUTED_VALUE"""),"G")</f>
        <v>G</v>
      </c>
      <c r="E526" s="202" t="str">
        <f ca="1">IFERROR(__xludf.DUMMYFUNCTION("""COMPUTED_VALUE"""),"I")</f>
        <v>I</v>
      </c>
      <c r="F526" s="202" t="str">
        <f ca="1">IFERROR(__xludf.DUMMYFUNCTION("""COMPUTED_VALUE"""),"S")</f>
        <v>S</v>
      </c>
      <c r="G526" s="202">
        <f ca="1">IFERROR(__xludf.DUMMYFUNCTION("""COMPUTED_VALUE"""),3)</f>
        <v>3</v>
      </c>
      <c r="H526" s="208"/>
      <c r="I526" s="208"/>
      <c r="J526" s="208"/>
      <c r="K526" s="208"/>
      <c r="L526" s="208" t="str">
        <v/>
      </c>
      <c r="M526" s="208" t="str">
        <v/>
      </c>
    </row>
    <row r="527" spans="1:13" ht="14.4">
      <c r="A527" s="199" t="str">
        <f ca="1">IFERROR(__xludf.DUMMYFUNCTION("""COMPUTED_VALUE"""),"DR")</f>
        <v>DR</v>
      </c>
      <c r="B527" s="207" t="str">
        <f ca="1">IFERROR(__xludf.DUMMYFUNCTION("""COMPUTED_VALUE"""),"Jenna Sheetz")</f>
        <v>Jenna Sheetz</v>
      </c>
      <c r="C527" s="199">
        <f ca="1">IFERROR(__xludf.DUMMYFUNCTION("""COMPUTED_VALUE"""),13)</f>
        <v>13</v>
      </c>
      <c r="D527" s="199" t="str">
        <f ca="1">IFERROR(__xludf.DUMMYFUNCTION("""COMPUTED_VALUE"""),"G")</f>
        <v>G</v>
      </c>
      <c r="E527" s="202" t="str">
        <f ca="1">IFERROR(__xludf.DUMMYFUNCTION("""COMPUTED_VALUE"""),"I")</f>
        <v>I</v>
      </c>
      <c r="F527" s="202" t="str">
        <f ca="1">IFERROR(__xludf.DUMMYFUNCTION("""COMPUTED_VALUE"""),"S")</f>
        <v>S</v>
      </c>
      <c r="G527" s="202">
        <f ca="1">IFERROR(__xludf.DUMMYFUNCTION("""COMPUTED_VALUE"""),3)</f>
        <v>3</v>
      </c>
      <c r="H527" s="206">
        <v>131.25</v>
      </c>
      <c r="I527" s="206"/>
      <c r="J527" s="206" t="s">
        <v>121</v>
      </c>
      <c r="K527" s="206"/>
      <c r="L527" s="206" t="str">
        <v xml:space="preserve"> 131.25</v>
      </c>
      <c r="M527" s="206" t="str">
        <v/>
      </c>
    </row>
    <row r="528" spans="1:13" ht="14.4">
      <c r="A528" s="199" t="str">
        <f ca="1">IFERROR(__xludf.DUMMYFUNCTION("""COMPUTED_VALUE"""),"DR")</f>
        <v>DR</v>
      </c>
      <c r="B528" s="207" t="str">
        <f ca="1">IFERROR(__xludf.DUMMYFUNCTION("""COMPUTED_VALUE"""),"Lane Samowich")</f>
        <v>Lane Samowich</v>
      </c>
      <c r="C528" s="199">
        <f ca="1">IFERROR(__xludf.DUMMYFUNCTION("""COMPUTED_VALUE"""),14)</f>
        <v>14</v>
      </c>
      <c r="D528" s="199" t="str">
        <f ca="1">IFERROR(__xludf.DUMMYFUNCTION("""COMPUTED_VALUE"""),"G")</f>
        <v>G</v>
      </c>
      <c r="E528" s="202" t="str">
        <f ca="1">IFERROR(__xludf.DUMMYFUNCTION("""COMPUTED_VALUE"""),"I")</f>
        <v>I</v>
      </c>
      <c r="F528" s="202" t="str">
        <f ca="1">IFERROR(__xludf.DUMMYFUNCTION("""COMPUTED_VALUE"""),"S")</f>
        <v>S</v>
      </c>
      <c r="G528" s="202">
        <f ca="1">IFERROR(__xludf.DUMMYFUNCTION("""COMPUTED_VALUE"""),3)</f>
        <v>3</v>
      </c>
      <c r="H528" s="206">
        <v>113.1</v>
      </c>
      <c r="I528" s="206"/>
      <c r="J528" s="206" t="s">
        <v>121</v>
      </c>
      <c r="K528" s="206"/>
      <c r="L528" s="206" t="str">
        <v xml:space="preserve"> 113.1</v>
      </c>
      <c r="M528" s="206" t="str">
        <v/>
      </c>
    </row>
    <row r="529" spans="1:13" ht="14.4">
      <c r="A529" s="199" t="str">
        <f ca="1">IFERROR(__xludf.DUMMYFUNCTION("""COMPUTED_VALUE"""),"DR")</f>
        <v>DR</v>
      </c>
      <c r="B529" s="207" t="str">
        <f ca="1">IFERROR(__xludf.DUMMYFUNCTION("""COMPUTED_VALUE"""),"Nyla Elder")</f>
        <v>Nyla Elder</v>
      </c>
      <c r="C529" s="199">
        <f ca="1">IFERROR(__xludf.DUMMYFUNCTION("""COMPUTED_VALUE"""),14)</f>
        <v>14</v>
      </c>
      <c r="D529" s="199" t="str">
        <f ca="1">IFERROR(__xludf.DUMMYFUNCTION("""COMPUTED_VALUE"""),"G")</f>
        <v>G</v>
      </c>
      <c r="E529" s="202" t="str">
        <f ca="1">IFERROR(__xludf.DUMMYFUNCTION("""COMPUTED_VALUE"""),"I")</f>
        <v>I</v>
      </c>
      <c r="F529" s="202" t="str">
        <f ca="1">IFERROR(__xludf.DUMMYFUNCTION("""COMPUTED_VALUE"""),"S")</f>
        <v>S</v>
      </c>
      <c r="G529" s="202">
        <f ca="1">IFERROR(__xludf.DUMMYFUNCTION("""COMPUTED_VALUE"""),3)</f>
        <v>3</v>
      </c>
      <c r="H529" s="206"/>
      <c r="I529" s="206"/>
      <c r="J529" s="206"/>
      <c r="K529" s="206"/>
      <c r="L529" s="206" t="str">
        <v/>
      </c>
      <c r="M529" s="206" t="str">
        <v/>
      </c>
    </row>
    <row r="530" spans="1:13" ht="14.4">
      <c r="A530" s="199" t="str">
        <f ca="1">IFERROR(__xludf.DUMMYFUNCTION("""COMPUTED_VALUE"""),"DR")</f>
        <v>DR</v>
      </c>
      <c r="B530" s="207" t="str">
        <f ca="1">IFERROR(__xludf.DUMMYFUNCTION("""COMPUTED_VALUE"""),"Sophie Adenaw")</f>
        <v>Sophie Adenaw</v>
      </c>
      <c r="C530" s="199">
        <f ca="1">IFERROR(__xludf.DUMMYFUNCTION("""COMPUTED_VALUE"""),13)</f>
        <v>13</v>
      </c>
      <c r="D530" s="199" t="str">
        <f ca="1">IFERROR(__xludf.DUMMYFUNCTION("""COMPUTED_VALUE"""),"G")</f>
        <v>G</v>
      </c>
      <c r="E530" s="202" t="str">
        <f ca="1">IFERROR(__xludf.DUMMYFUNCTION("""COMPUTED_VALUE"""),"I")</f>
        <v>I</v>
      </c>
      <c r="F530" s="202" t="str">
        <f ca="1">IFERROR(__xludf.DUMMYFUNCTION("""COMPUTED_VALUE"""),"S")</f>
        <v>S</v>
      </c>
      <c r="G530" s="202">
        <f ca="1">IFERROR(__xludf.DUMMYFUNCTION("""COMPUTED_VALUE"""),3)</f>
        <v>3</v>
      </c>
      <c r="H530" s="208"/>
      <c r="I530" s="208"/>
      <c r="J530" s="208"/>
      <c r="K530" s="208"/>
      <c r="L530" s="208" t="str">
        <v/>
      </c>
      <c r="M530" s="208" t="str">
        <v/>
      </c>
    </row>
    <row r="531" spans="1:13" ht="14.4">
      <c r="A531" s="199" t="str">
        <f ca="1">IFERROR(__xludf.DUMMYFUNCTION("""COMPUTED_VALUE"""),"DR")</f>
        <v>DR</v>
      </c>
      <c r="B531" s="207" t="str">
        <f ca="1">IFERROR(__xludf.DUMMYFUNCTION("""COMPUTED_VALUE"""),"Sophie Frost")</f>
        <v>Sophie Frost</v>
      </c>
      <c r="C531" s="199">
        <f ca="1">IFERROR(__xludf.DUMMYFUNCTION("""COMPUTED_VALUE"""),13)</f>
        <v>13</v>
      </c>
      <c r="D531" s="199" t="str">
        <f ca="1">IFERROR(__xludf.DUMMYFUNCTION("""COMPUTED_VALUE"""),"G")</f>
        <v>G</v>
      </c>
      <c r="E531" s="202" t="str">
        <f ca="1">IFERROR(__xludf.DUMMYFUNCTION("""COMPUTED_VALUE"""),"I")</f>
        <v>I</v>
      </c>
      <c r="F531" s="202" t="str">
        <f ca="1">IFERROR(__xludf.DUMMYFUNCTION("""COMPUTED_VALUE"""),"S")</f>
        <v>S</v>
      </c>
      <c r="G531" s="202">
        <f ca="1">IFERROR(__xludf.DUMMYFUNCTION("""COMPUTED_VALUE"""),3)</f>
        <v>3</v>
      </c>
      <c r="H531" s="208">
        <v>132.55000000000001</v>
      </c>
      <c r="I531" s="208"/>
      <c r="J531" s="208" t="s">
        <v>121</v>
      </c>
      <c r="K531" s="208"/>
      <c r="L531" s="208" t="str">
        <v xml:space="preserve"> 132.55</v>
      </c>
      <c r="M531" s="208" t="str">
        <v/>
      </c>
    </row>
    <row r="532" spans="1:13" ht="14.4">
      <c r="A532" s="199" t="str">
        <f ca="1">IFERROR(__xludf.DUMMYFUNCTION("""COMPUTED_VALUE"""),"DR")</f>
        <v>DR</v>
      </c>
      <c r="B532" s="207" t="str">
        <f ca="1">IFERROR(__xludf.DUMMYFUNCTION("""COMPUTED_VALUE"""),"Valerie Engel")</f>
        <v>Valerie Engel</v>
      </c>
      <c r="C532" s="199">
        <f ca="1">IFERROR(__xludf.DUMMYFUNCTION("""COMPUTED_VALUE"""),14)</f>
        <v>14</v>
      </c>
      <c r="D532" s="199" t="str">
        <f ca="1">IFERROR(__xludf.DUMMYFUNCTION("""COMPUTED_VALUE"""),"G")</f>
        <v>G</v>
      </c>
      <c r="E532" s="202" t="str">
        <f ca="1">IFERROR(__xludf.DUMMYFUNCTION("""COMPUTED_VALUE"""),"I")</f>
        <v>I</v>
      </c>
      <c r="F532" s="202" t="str">
        <f ca="1">IFERROR(__xludf.DUMMYFUNCTION("""COMPUTED_VALUE"""),"S")</f>
        <v>S</v>
      </c>
      <c r="G532" s="202">
        <f ca="1">IFERROR(__xludf.DUMMYFUNCTION("""COMPUTED_VALUE"""),3)</f>
        <v>3</v>
      </c>
      <c r="H532" s="208">
        <v>90.8</v>
      </c>
      <c r="I532" s="208"/>
      <c r="J532" s="208" t="s">
        <v>121</v>
      </c>
      <c r="K532" s="208"/>
      <c r="L532" s="208" t="str">
        <v xml:space="preserve"> 90.8</v>
      </c>
      <c r="M532" s="208" t="str">
        <v/>
      </c>
    </row>
    <row r="533" spans="1:13" ht="14.4">
      <c r="A533" s="199" t="str">
        <f ca="1">IFERROR(__xludf.DUMMYFUNCTION("""COMPUTED_VALUE"""),"DR")</f>
        <v>DR</v>
      </c>
      <c r="B533" s="207" t="str">
        <f ca="1">IFERROR(__xludf.DUMMYFUNCTION("""COMPUTED_VALUE"""),"Andrew Hovenburg")</f>
        <v>Andrew Hovenburg</v>
      </c>
      <c r="C533" s="199">
        <f ca="1">IFERROR(__xludf.DUMMYFUNCTION("""COMPUTED_VALUE"""),12)</f>
        <v>12</v>
      </c>
      <c r="D533" s="199" t="str">
        <f ca="1">IFERROR(__xludf.DUMMYFUNCTION("""COMPUTED_VALUE"""),"B")</f>
        <v>B</v>
      </c>
      <c r="E533" s="202" t="str">
        <f ca="1">IFERROR(__xludf.DUMMYFUNCTION("""COMPUTED_VALUE"""),"J")</f>
        <v>J</v>
      </c>
      <c r="F533" s="202" t="str">
        <f ca="1">IFERROR(__xludf.DUMMYFUNCTION("""COMPUTED_VALUE"""),"I")</f>
        <v>I</v>
      </c>
      <c r="G533" s="202">
        <f ca="1">IFERROR(__xludf.DUMMYFUNCTION("""COMPUTED_VALUE"""),3)</f>
        <v>3</v>
      </c>
      <c r="H533" s="208"/>
      <c r="I533" s="208"/>
      <c r="J533" s="208"/>
      <c r="K533" s="208"/>
      <c r="L533" s="208" t="str">
        <v/>
      </c>
      <c r="M533" s="208" t="str">
        <v/>
      </c>
    </row>
    <row r="534" spans="1:13" ht="14.4">
      <c r="A534" s="199" t="str">
        <f ca="1">IFERROR(__xludf.DUMMYFUNCTION("""COMPUTED_VALUE"""),"DR")</f>
        <v>DR</v>
      </c>
      <c r="B534" s="207" t="str">
        <f ca="1">IFERROR(__xludf.DUMMYFUNCTION("""COMPUTED_VALUE"""),"Gabriel Cohen")</f>
        <v>Gabriel Cohen</v>
      </c>
      <c r="C534" s="199">
        <f ca="1">IFERROR(__xludf.DUMMYFUNCTION("""COMPUTED_VALUE"""),12)</f>
        <v>12</v>
      </c>
      <c r="D534" s="199" t="str">
        <f ca="1">IFERROR(__xludf.DUMMYFUNCTION("""COMPUTED_VALUE"""),"B")</f>
        <v>B</v>
      </c>
      <c r="E534" s="202" t="str">
        <f ca="1">IFERROR(__xludf.DUMMYFUNCTION("""COMPUTED_VALUE"""),"J")</f>
        <v>J</v>
      </c>
      <c r="F534" s="202" t="str">
        <f ca="1">IFERROR(__xludf.DUMMYFUNCTION("""COMPUTED_VALUE"""),"I")</f>
        <v>I</v>
      </c>
      <c r="G534" s="202">
        <f ca="1">IFERROR(__xludf.DUMMYFUNCTION("""COMPUTED_VALUE"""),3)</f>
        <v>3</v>
      </c>
      <c r="H534" s="206"/>
      <c r="I534" s="206"/>
      <c r="J534" s="206"/>
      <c r="K534" s="206"/>
      <c r="L534" s="206" t="str">
        <v/>
      </c>
      <c r="M534" s="206" t="str">
        <v/>
      </c>
    </row>
    <row r="535" spans="1:13" ht="14.4">
      <c r="A535" s="199" t="str">
        <f ca="1">IFERROR(__xludf.DUMMYFUNCTION("""COMPUTED_VALUE"""),"DR")</f>
        <v>DR</v>
      </c>
      <c r="B535" s="207" t="str">
        <f ca="1">IFERROR(__xludf.DUMMYFUNCTION("""COMPUTED_VALUE"""),"Jack Englerth")</f>
        <v>Jack Englerth</v>
      </c>
      <c r="C535" s="199">
        <f ca="1">IFERROR(__xludf.DUMMYFUNCTION("""COMPUTED_VALUE"""),11)</f>
        <v>11</v>
      </c>
      <c r="D535" s="199" t="str">
        <f ca="1">IFERROR(__xludf.DUMMYFUNCTION("""COMPUTED_VALUE"""),"B")</f>
        <v>B</v>
      </c>
      <c r="E535" s="202" t="str">
        <f ca="1">IFERROR(__xludf.DUMMYFUNCTION("""COMPUTED_VALUE"""),"J")</f>
        <v>J</v>
      </c>
      <c r="F535" s="202" t="str">
        <f ca="1">IFERROR(__xludf.DUMMYFUNCTION("""COMPUTED_VALUE"""),"I")</f>
        <v>I</v>
      </c>
      <c r="G535" s="202">
        <f ca="1">IFERROR(__xludf.DUMMYFUNCTION("""COMPUTED_VALUE"""),3)</f>
        <v>3</v>
      </c>
      <c r="H535" s="206"/>
      <c r="I535" s="206"/>
      <c r="J535" s="206"/>
      <c r="K535" s="206"/>
      <c r="L535" s="206" t="str">
        <v/>
      </c>
      <c r="M535" s="206" t="str">
        <v/>
      </c>
    </row>
    <row r="536" spans="1:13" ht="14.4">
      <c r="A536" s="199" t="str">
        <f ca="1">IFERROR(__xludf.DUMMYFUNCTION("""COMPUTED_VALUE"""),"DR")</f>
        <v>DR</v>
      </c>
      <c r="B536" s="207" t="str">
        <f ca="1">IFERROR(__xludf.DUMMYFUNCTION("""COMPUTED_VALUE"""),"James Daniel")</f>
        <v>James Daniel</v>
      </c>
      <c r="C536" s="199">
        <f ca="1">IFERROR(__xludf.DUMMYFUNCTION("""COMPUTED_VALUE"""),12)</f>
        <v>12</v>
      </c>
      <c r="D536" s="199" t="str">
        <f ca="1">IFERROR(__xludf.DUMMYFUNCTION("""COMPUTED_VALUE"""),"B")</f>
        <v>B</v>
      </c>
      <c r="E536" s="202" t="str">
        <f ca="1">IFERROR(__xludf.DUMMYFUNCTION("""COMPUTED_VALUE"""),"J")</f>
        <v>J</v>
      </c>
      <c r="F536" s="202" t="str">
        <f ca="1">IFERROR(__xludf.DUMMYFUNCTION("""COMPUTED_VALUE"""),"I")</f>
        <v>I</v>
      </c>
      <c r="G536" s="202">
        <f ca="1">IFERROR(__xludf.DUMMYFUNCTION("""COMPUTED_VALUE"""),3)</f>
        <v>3</v>
      </c>
      <c r="H536" s="208"/>
      <c r="I536" s="208"/>
      <c r="J536" s="208"/>
      <c r="K536" s="208"/>
      <c r="L536" s="208" t="str">
        <v/>
      </c>
      <c r="M536" s="208" t="str">
        <v/>
      </c>
    </row>
    <row r="537" spans="1:13" ht="14.4">
      <c r="A537" s="199" t="str">
        <f ca="1">IFERROR(__xludf.DUMMYFUNCTION("""COMPUTED_VALUE"""),"DR")</f>
        <v>DR</v>
      </c>
      <c r="B537" s="207" t="str">
        <f ca="1">IFERROR(__xludf.DUMMYFUNCTION("""COMPUTED_VALUE"""),"Jett Bastow")</f>
        <v>Jett Bastow</v>
      </c>
      <c r="C537" s="199">
        <f ca="1">IFERROR(__xludf.DUMMYFUNCTION("""COMPUTED_VALUE"""),11)</f>
        <v>11</v>
      </c>
      <c r="D537" s="199" t="str">
        <f ca="1">IFERROR(__xludf.DUMMYFUNCTION("""COMPUTED_VALUE"""),"B")</f>
        <v>B</v>
      </c>
      <c r="E537" s="202" t="str">
        <f ca="1">IFERROR(__xludf.DUMMYFUNCTION("""COMPUTED_VALUE"""),"J")</f>
        <v>J</v>
      </c>
      <c r="F537" s="202" t="str">
        <f ca="1">IFERROR(__xludf.DUMMYFUNCTION("""COMPUTED_VALUE"""),"I")</f>
        <v>I</v>
      </c>
      <c r="G537" s="202">
        <f ca="1">IFERROR(__xludf.DUMMYFUNCTION("""COMPUTED_VALUE"""),3)</f>
        <v>3</v>
      </c>
      <c r="H537" s="206"/>
      <c r="I537" s="206">
        <v>68.150000000000006</v>
      </c>
      <c r="J537" s="206"/>
      <c r="K537" s="206" t="s">
        <v>121</v>
      </c>
      <c r="L537" s="206" t="str">
        <v xml:space="preserve"> 68.15</v>
      </c>
      <c r="M537" s="206" t="str">
        <v/>
      </c>
    </row>
    <row r="538" spans="1:13" ht="14.4">
      <c r="A538" s="199" t="str">
        <f ca="1">IFERROR(__xludf.DUMMYFUNCTION("""COMPUTED_VALUE"""),"DR")</f>
        <v>DR</v>
      </c>
      <c r="B538" s="207" t="str">
        <f ca="1">IFERROR(__xludf.DUMMYFUNCTION("""COMPUTED_VALUE"""),"Matthew Kusel")</f>
        <v>Matthew Kusel</v>
      </c>
      <c r="C538" s="199">
        <f ca="1">IFERROR(__xludf.DUMMYFUNCTION("""COMPUTED_VALUE"""),11)</f>
        <v>11</v>
      </c>
      <c r="D538" s="199" t="str">
        <f ca="1">IFERROR(__xludf.DUMMYFUNCTION("""COMPUTED_VALUE"""),"B")</f>
        <v>B</v>
      </c>
      <c r="E538" s="202" t="str">
        <f ca="1">IFERROR(__xludf.DUMMYFUNCTION("""COMPUTED_VALUE"""),"J")</f>
        <v>J</v>
      </c>
      <c r="F538" s="202" t="str">
        <f ca="1">IFERROR(__xludf.DUMMYFUNCTION("""COMPUTED_VALUE"""),"I")</f>
        <v>I</v>
      </c>
      <c r="G538" s="202">
        <f ca="1">IFERROR(__xludf.DUMMYFUNCTION("""COMPUTED_VALUE"""),3)</f>
        <v>3</v>
      </c>
      <c r="H538" s="208"/>
      <c r="I538" s="208"/>
      <c r="J538" s="208"/>
      <c r="K538" s="208"/>
      <c r="L538" s="208" t="str">
        <v/>
      </c>
      <c r="M538" s="208" t="str">
        <v/>
      </c>
    </row>
    <row r="539" spans="1:13" ht="14.4">
      <c r="A539" s="199" t="str">
        <f ca="1">IFERROR(__xludf.DUMMYFUNCTION("""COMPUTED_VALUE"""),"DR")</f>
        <v>DR</v>
      </c>
      <c r="B539" s="207" t="str">
        <f ca="1">IFERROR(__xludf.DUMMYFUNCTION("""COMPUTED_VALUE"""),"Michael Staren")</f>
        <v>Michael Staren</v>
      </c>
      <c r="C539" s="199">
        <f ca="1">IFERROR(__xludf.DUMMYFUNCTION("""COMPUTED_VALUE"""),11)</f>
        <v>11</v>
      </c>
      <c r="D539" s="199" t="str">
        <f ca="1">IFERROR(__xludf.DUMMYFUNCTION("""COMPUTED_VALUE"""),"B")</f>
        <v>B</v>
      </c>
      <c r="E539" s="202" t="str">
        <f ca="1">IFERROR(__xludf.DUMMYFUNCTION("""COMPUTED_VALUE"""),"J")</f>
        <v>J</v>
      </c>
      <c r="F539" s="202" t="str">
        <f ca="1">IFERROR(__xludf.DUMMYFUNCTION("""COMPUTED_VALUE"""),"I")</f>
        <v>I</v>
      </c>
      <c r="G539" s="202">
        <f ca="1">IFERROR(__xludf.DUMMYFUNCTION("""COMPUTED_VALUE"""),3)</f>
        <v>3</v>
      </c>
      <c r="H539" s="208"/>
      <c r="I539" s="208">
        <v>80.599999999999994</v>
      </c>
      <c r="J539" s="208"/>
      <c r="K539" s="208" t="s">
        <v>121</v>
      </c>
      <c r="L539" s="208" t="str">
        <v xml:space="preserve"> 80.6</v>
      </c>
      <c r="M539" s="208" t="str">
        <v/>
      </c>
    </row>
    <row r="540" spans="1:13" ht="14.4">
      <c r="A540" s="199" t="str">
        <f ca="1">IFERROR(__xludf.DUMMYFUNCTION("""COMPUTED_VALUE"""),"DR")</f>
        <v>DR</v>
      </c>
      <c r="B540" s="207" t="str">
        <f ca="1">IFERROR(__xludf.DUMMYFUNCTION("""COMPUTED_VALUE"""),"Samuel Mulchandani")</f>
        <v>Samuel Mulchandani</v>
      </c>
      <c r="C540" s="199">
        <f ca="1">IFERROR(__xludf.DUMMYFUNCTION("""COMPUTED_VALUE"""),12)</f>
        <v>12</v>
      </c>
      <c r="D540" s="199" t="str">
        <f ca="1">IFERROR(__xludf.DUMMYFUNCTION("""COMPUTED_VALUE"""),"B")</f>
        <v>B</v>
      </c>
      <c r="E540" s="202" t="str">
        <f ca="1">IFERROR(__xludf.DUMMYFUNCTION("""COMPUTED_VALUE"""),"J")</f>
        <v>J</v>
      </c>
      <c r="F540" s="202" t="str">
        <f ca="1">IFERROR(__xludf.DUMMYFUNCTION("""COMPUTED_VALUE"""),"I")</f>
        <v>I</v>
      </c>
      <c r="G540" s="202">
        <f ca="1">IFERROR(__xludf.DUMMYFUNCTION("""COMPUTED_VALUE"""),3)</f>
        <v>3</v>
      </c>
      <c r="H540" s="208"/>
      <c r="I540" s="208">
        <v>70.45</v>
      </c>
      <c r="J540" s="208"/>
      <c r="K540" s="208" t="s">
        <v>121</v>
      </c>
      <c r="L540" s="208" t="str">
        <v xml:space="preserve"> 70.45</v>
      </c>
      <c r="M540" s="208" t="str">
        <v/>
      </c>
    </row>
    <row r="541" spans="1:13" ht="14.4">
      <c r="A541" s="199" t="str">
        <f ca="1">IFERROR(__xludf.DUMMYFUNCTION("""COMPUTED_VALUE"""),"DR")</f>
        <v>DR</v>
      </c>
      <c r="B541" s="207" t="str">
        <f ca="1">IFERROR(__xludf.DUMMYFUNCTION("""COMPUTED_VALUE"""),"Addison Johnson")</f>
        <v>Addison Johnson</v>
      </c>
      <c r="C541" s="199">
        <f ca="1">IFERROR(__xludf.DUMMYFUNCTION("""COMPUTED_VALUE"""),12)</f>
        <v>12</v>
      </c>
      <c r="D541" s="199" t="str">
        <f ca="1">IFERROR(__xludf.DUMMYFUNCTION("""COMPUTED_VALUE"""),"G")</f>
        <v>G</v>
      </c>
      <c r="E541" s="202" t="str">
        <f ca="1">IFERROR(__xludf.DUMMYFUNCTION("""COMPUTED_VALUE"""),"J")</f>
        <v>J</v>
      </c>
      <c r="F541" s="202" t="str">
        <f ca="1">IFERROR(__xludf.DUMMYFUNCTION("""COMPUTED_VALUE"""),"I")</f>
        <v>I</v>
      </c>
      <c r="G541" s="202">
        <f ca="1">IFERROR(__xludf.DUMMYFUNCTION("""COMPUTED_VALUE"""),3)</f>
        <v>3</v>
      </c>
      <c r="H541" s="206"/>
      <c r="I541" s="206"/>
      <c r="J541" s="206"/>
      <c r="K541" s="206"/>
      <c r="L541" s="206" t="str">
        <v/>
      </c>
      <c r="M541" s="206" t="str">
        <v/>
      </c>
    </row>
    <row r="542" spans="1:13" ht="14.4">
      <c r="A542" s="199" t="str">
        <f ca="1">IFERROR(__xludf.DUMMYFUNCTION("""COMPUTED_VALUE"""),"DR")</f>
        <v>DR</v>
      </c>
      <c r="B542" s="207" t="str">
        <f ca="1">IFERROR(__xludf.DUMMYFUNCTION("""COMPUTED_VALUE"""),"Adele Abouchar")</f>
        <v>Adele Abouchar</v>
      </c>
      <c r="C542" s="199">
        <f ca="1">IFERROR(__xludf.DUMMYFUNCTION("""COMPUTED_VALUE"""),12)</f>
        <v>12</v>
      </c>
      <c r="D542" s="199" t="str">
        <f ca="1">IFERROR(__xludf.DUMMYFUNCTION("""COMPUTED_VALUE"""),"G")</f>
        <v>G</v>
      </c>
      <c r="E542" s="202" t="str">
        <f ca="1">IFERROR(__xludf.DUMMYFUNCTION("""COMPUTED_VALUE"""),"J")</f>
        <v>J</v>
      </c>
      <c r="F542" s="202" t="str">
        <f ca="1">IFERROR(__xludf.DUMMYFUNCTION("""COMPUTED_VALUE"""),"I")</f>
        <v>I</v>
      </c>
      <c r="G542" s="202">
        <f ca="1">IFERROR(__xludf.DUMMYFUNCTION("""COMPUTED_VALUE"""),3)</f>
        <v>3</v>
      </c>
      <c r="H542" s="208"/>
      <c r="I542" s="208"/>
      <c r="J542" s="208"/>
      <c r="K542" s="208"/>
      <c r="L542" s="208" t="str">
        <v/>
      </c>
      <c r="M542" s="208" t="str">
        <v/>
      </c>
    </row>
    <row r="543" spans="1:13" ht="14.4">
      <c r="A543" s="199" t="str">
        <f ca="1">IFERROR(__xludf.DUMMYFUNCTION("""COMPUTED_VALUE"""),"DR")</f>
        <v>DR</v>
      </c>
      <c r="B543" s="207" t="str">
        <f ca="1">IFERROR(__xludf.DUMMYFUNCTION("""COMPUTED_VALUE"""),"Amara Chandy")</f>
        <v>Amara Chandy</v>
      </c>
      <c r="C543" s="199">
        <f ca="1">IFERROR(__xludf.DUMMYFUNCTION("""COMPUTED_VALUE"""),11)</f>
        <v>11</v>
      </c>
      <c r="D543" s="199" t="str">
        <f ca="1">IFERROR(__xludf.DUMMYFUNCTION("""COMPUTED_VALUE"""),"G")</f>
        <v>G</v>
      </c>
      <c r="E543" s="202" t="str">
        <f ca="1">IFERROR(__xludf.DUMMYFUNCTION("""COMPUTED_VALUE"""),"J")</f>
        <v>J</v>
      </c>
      <c r="F543" s="202" t="str">
        <f ca="1">IFERROR(__xludf.DUMMYFUNCTION("""COMPUTED_VALUE"""),"I")</f>
        <v>I</v>
      </c>
      <c r="G543" s="202">
        <f ca="1">IFERROR(__xludf.DUMMYFUNCTION("""COMPUTED_VALUE"""),3)</f>
        <v>3</v>
      </c>
      <c r="H543" s="206"/>
      <c r="I543" s="206"/>
      <c r="J543" s="206"/>
      <c r="K543" s="206"/>
      <c r="L543" s="206" t="str">
        <v/>
      </c>
      <c r="M543" s="206" t="str">
        <v/>
      </c>
    </row>
    <row r="544" spans="1:13" ht="14.4">
      <c r="A544" s="199" t="str">
        <f ca="1">IFERROR(__xludf.DUMMYFUNCTION("""COMPUTED_VALUE"""),"DR")</f>
        <v>DR</v>
      </c>
      <c r="B544" s="207" t="str">
        <f ca="1">IFERROR(__xludf.DUMMYFUNCTION("""COMPUTED_VALUE"""),"Anna Jungman")</f>
        <v>Anna Jungman</v>
      </c>
      <c r="C544" s="199">
        <f ca="1">IFERROR(__xludf.DUMMYFUNCTION("""COMPUTED_VALUE"""),11)</f>
        <v>11</v>
      </c>
      <c r="D544" s="199" t="str">
        <f ca="1">IFERROR(__xludf.DUMMYFUNCTION("""COMPUTED_VALUE"""),"G")</f>
        <v>G</v>
      </c>
      <c r="E544" s="202" t="str">
        <f ca="1">IFERROR(__xludf.DUMMYFUNCTION("""COMPUTED_VALUE"""),"J")</f>
        <v>J</v>
      </c>
      <c r="F544" s="202" t="str">
        <f ca="1">IFERROR(__xludf.DUMMYFUNCTION("""COMPUTED_VALUE"""),"I")</f>
        <v>I</v>
      </c>
      <c r="G544" s="202">
        <f ca="1">IFERROR(__xludf.DUMMYFUNCTION("""COMPUTED_VALUE"""),3)</f>
        <v>3</v>
      </c>
      <c r="H544" s="206"/>
      <c r="I544" s="206"/>
      <c r="J544" s="206"/>
      <c r="K544" s="206"/>
      <c r="L544" s="206" t="str">
        <v/>
      </c>
      <c r="M544" s="206" t="str">
        <v/>
      </c>
    </row>
    <row r="545" spans="1:13" ht="14.4">
      <c r="A545" s="199" t="str">
        <f ca="1">IFERROR(__xludf.DUMMYFUNCTION("""COMPUTED_VALUE"""),"DR")</f>
        <v>DR</v>
      </c>
      <c r="B545" s="207" t="str">
        <f ca="1">IFERROR(__xludf.DUMMYFUNCTION("""COMPUTED_VALUE"""),"Arya Greenwood")</f>
        <v>Arya Greenwood</v>
      </c>
      <c r="C545" s="199">
        <f ca="1">IFERROR(__xludf.DUMMYFUNCTION("""COMPUTED_VALUE"""),11)</f>
        <v>11</v>
      </c>
      <c r="D545" s="199" t="str">
        <f ca="1">IFERROR(__xludf.DUMMYFUNCTION("""COMPUTED_VALUE"""),"G")</f>
        <v>G</v>
      </c>
      <c r="E545" s="202" t="str">
        <f ca="1">IFERROR(__xludf.DUMMYFUNCTION("""COMPUTED_VALUE"""),"J")</f>
        <v>J</v>
      </c>
      <c r="F545" s="202" t="str">
        <f ca="1">IFERROR(__xludf.DUMMYFUNCTION("""COMPUTED_VALUE"""),"I")</f>
        <v>I</v>
      </c>
      <c r="G545" s="202">
        <f ca="1">IFERROR(__xludf.DUMMYFUNCTION("""COMPUTED_VALUE"""),3)</f>
        <v>3</v>
      </c>
      <c r="H545" s="206"/>
      <c r="I545" s="206"/>
      <c r="J545" s="206"/>
      <c r="K545" s="206"/>
      <c r="L545" s="206" t="str">
        <v/>
      </c>
      <c r="M545" s="206" t="str">
        <v/>
      </c>
    </row>
    <row r="546" spans="1:13" ht="14.4">
      <c r="A546" s="199" t="str">
        <f ca="1">IFERROR(__xludf.DUMMYFUNCTION("""COMPUTED_VALUE"""),"DR")</f>
        <v>DR</v>
      </c>
      <c r="B546" s="207" t="str">
        <f ca="1">IFERROR(__xludf.DUMMYFUNCTION("""COMPUTED_VALUE"""),"Audrey Bowman")</f>
        <v>Audrey Bowman</v>
      </c>
      <c r="C546" s="199">
        <f ca="1">IFERROR(__xludf.DUMMYFUNCTION("""COMPUTED_VALUE"""),12)</f>
        <v>12</v>
      </c>
      <c r="D546" s="199" t="str">
        <f ca="1">IFERROR(__xludf.DUMMYFUNCTION("""COMPUTED_VALUE"""),"G")</f>
        <v>G</v>
      </c>
      <c r="E546" s="202" t="str">
        <f ca="1">IFERROR(__xludf.DUMMYFUNCTION("""COMPUTED_VALUE"""),"J")</f>
        <v>J</v>
      </c>
      <c r="F546" s="202" t="str">
        <f ca="1">IFERROR(__xludf.DUMMYFUNCTION("""COMPUTED_VALUE"""),"I")</f>
        <v>I</v>
      </c>
      <c r="G546" s="202">
        <f ca="1">IFERROR(__xludf.DUMMYFUNCTION("""COMPUTED_VALUE"""),3)</f>
        <v>3</v>
      </c>
      <c r="H546" s="208"/>
      <c r="I546" s="208"/>
      <c r="J546" s="208"/>
      <c r="K546" s="208"/>
      <c r="L546" s="208" t="str">
        <v/>
      </c>
      <c r="M546" s="208" t="str">
        <v/>
      </c>
    </row>
    <row r="547" spans="1:13" ht="14.4">
      <c r="A547" s="199" t="str">
        <f ca="1">IFERROR(__xludf.DUMMYFUNCTION("""COMPUTED_VALUE"""),"DR")</f>
        <v>DR</v>
      </c>
      <c r="B547" s="207" t="str">
        <f ca="1">IFERROR(__xludf.DUMMYFUNCTION("""COMPUTED_VALUE"""),"Charlotte Mount")</f>
        <v>Charlotte Mount</v>
      </c>
      <c r="C547" s="199">
        <f ca="1">IFERROR(__xludf.DUMMYFUNCTION("""COMPUTED_VALUE"""),11)</f>
        <v>11</v>
      </c>
      <c r="D547" s="199" t="str">
        <f ca="1">IFERROR(__xludf.DUMMYFUNCTION("""COMPUTED_VALUE"""),"G")</f>
        <v>G</v>
      </c>
      <c r="E547" s="202" t="str">
        <f ca="1">IFERROR(__xludf.DUMMYFUNCTION("""COMPUTED_VALUE"""),"J")</f>
        <v>J</v>
      </c>
      <c r="F547" s="202" t="str">
        <f ca="1">IFERROR(__xludf.DUMMYFUNCTION("""COMPUTED_VALUE"""),"I")</f>
        <v>I</v>
      </c>
      <c r="G547" s="202">
        <f ca="1">IFERROR(__xludf.DUMMYFUNCTION("""COMPUTED_VALUE"""),3)</f>
        <v>3</v>
      </c>
      <c r="H547" s="206"/>
      <c r="I547" s="206"/>
      <c r="J547" s="206"/>
      <c r="K547" s="206"/>
      <c r="L547" s="206" t="str">
        <v/>
      </c>
      <c r="M547" s="206" t="str">
        <v/>
      </c>
    </row>
    <row r="548" spans="1:13" ht="14.4">
      <c r="A548" s="199" t="str">
        <f ca="1">IFERROR(__xludf.DUMMYFUNCTION("""COMPUTED_VALUE"""),"DR")</f>
        <v>DR</v>
      </c>
      <c r="B548" s="207" t="str">
        <f ca="1">IFERROR(__xludf.DUMMYFUNCTION("""COMPUTED_VALUE"""),"Chloe Samowich")</f>
        <v>Chloe Samowich</v>
      </c>
      <c r="C548" s="199">
        <f ca="1">IFERROR(__xludf.DUMMYFUNCTION("""COMPUTED_VALUE"""),12)</f>
        <v>12</v>
      </c>
      <c r="D548" s="199" t="str">
        <f ca="1">IFERROR(__xludf.DUMMYFUNCTION("""COMPUTED_VALUE"""),"G")</f>
        <v>G</v>
      </c>
      <c r="E548" s="202" t="str">
        <f ca="1">IFERROR(__xludf.DUMMYFUNCTION("""COMPUTED_VALUE"""),"J")</f>
        <v>J</v>
      </c>
      <c r="F548" s="202" t="str">
        <f ca="1">IFERROR(__xludf.DUMMYFUNCTION("""COMPUTED_VALUE"""),"I")</f>
        <v>I</v>
      </c>
      <c r="G548" s="202">
        <f ca="1">IFERROR(__xludf.DUMMYFUNCTION("""COMPUTED_VALUE"""),3)</f>
        <v>3</v>
      </c>
      <c r="H548" s="206">
        <v>81.349999999999994</v>
      </c>
      <c r="I548" s="206"/>
      <c r="J548" s="206" t="s">
        <v>121</v>
      </c>
      <c r="K548" s="206"/>
      <c r="L548" s="206" t="str">
        <v xml:space="preserve"> 81.35</v>
      </c>
      <c r="M548" s="206" t="str">
        <v/>
      </c>
    </row>
    <row r="549" spans="1:13" ht="14.4">
      <c r="A549" s="199" t="str">
        <f ca="1">IFERROR(__xludf.DUMMYFUNCTION("""COMPUTED_VALUE"""),"DR")</f>
        <v>DR</v>
      </c>
      <c r="B549" s="207" t="str">
        <f ca="1">IFERROR(__xludf.DUMMYFUNCTION("""COMPUTED_VALUE"""),"Keira Dunne")</f>
        <v>Keira Dunne</v>
      </c>
      <c r="C549" s="199">
        <f ca="1">IFERROR(__xludf.DUMMYFUNCTION("""COMPUTED_VALUE"""),11)</f>
        <v>11</v>
      </c>
      <c r="D549" s="199" t="str">
        <f ca="1">IFERROR(__xludf.DUMMYFUNCTION("""COMPUTED_VALUE"""),"G")</f>
        <v>G</v>
      </c>
      <c r="E549" s="202" t="str">
        <f ca="1">IFERROR(__xludf.DUMMYFUNCTION("""COMPUTED_VALUE"""),"J")</f>
        <v>J</v>
      </c>
      <c r="F549" s="202" t="str">
        <f ca="1">IFERROR(__xludf.DUMMYFUNCTION("""COMPUTED_VALUE"""),"I")</f>
        <v>I</v>
      </c>
      <c r="G549" s="202">
        <f ca="1">IFERROR(__xludf.DUMMYFUNCTION("""COMPUTED_VALUE"""),3)</f>
        <v>3</v>
      </c>
      <c r="H549" s="208"/>
      <c r="I549" s="208"/>
      <c r="J549" s="208"/>
      <c r="K549" s="208"/>
      <c r="L549" s="208" t="str">
        <v/>
      </c>
      <c r="M549" s="208" t="str">
        <v/>
      </c>
    </row>
    <row r="550" spans="1:13" ht="14.4">
      <c r="A550" s="199" t="str">
        <f ca="1">IFERROR(__xludf.DUMMYFUNCTION("""COMPUTED_VALUE"""),"DR")</f>
        <v>DR</v>
      </c>
      <c r="B550" s="207" t="str">
        <f ca="1">IFERROR(__xludf.DUMMYFUNCTION("""COMPUTED_VALUE"""),"Madeline Duong")</f>
        <v>Madeline Duong</v>
      </c>
      <c r="C550" s="199">
        <f ca="1">IFERROR(__xludf.DUMMYFUNCTION("""COMPUTED_VALUE"""),12)</f>
        <v>12</v>
      </c>
      <c r="D550" s="199" t="str">
        <f ca="1">IFERROR(__xludf.DUMMYFUNCTION("""COMPUTED_VALUE"""),"G")</f>
        <v>G</v>
      </c>
      <c r="E550" s="202" t="str">
        <f ca="1">IFERROR(__xludf.DUMMYFUNCTION("""COMPUTED_VALUE"""),"J")</f>
        <v>J</v>
      </c>
      <c r="F550" s="202" t="str">
        <f ca="1">IFERROR(__xludf.DUMMYFUNCTION("""COMPUTED_VALUE"""),"I")</f>
        <v>I</v>
      </c>
      <c r="G550" s="202">
        <f ca="1">IFERROR(__xludf.DUMMYFUNCTION("""COMPUTED_VALUE"""),3)</f>
        <v>3</v>
      </c>
      <c r="H550" s="208"/>
      <c r="I550" s="208"/>
      <c r="J550" s="208"/>
      <c r="K550" s="208"/>
      <c r="L550" s="208" t="str">
        <v/>
      </c>
      <c r="M550" s="208" t="str">
        <v/>
      </c>
    </row>
    <row r="551" spans="1:13" ht="14.4">
      <c r="A551" s="199" t="str">
        <f ca="1">IFERROR(__xludf.DUMMYFUNCTION("""COMPUTED_VALUE"""),"DR")</f>
        <v>DR</v>
      </c>
      <c r="B551" s="207" t="str">
        <f ca="1">IFERROR(__xludf.DUMMYFUNCTION("""COMPUTED_VALUE"""),"Nina Jaeckel")</f>
        <v>Nina Jaeckel</v>
      </c>
      <c r="C551" s="199">
        <f ca="1">IFERROR(__xludf.DUMMYFUNCTION("""COMPUTED_VALUE"""),11)</f>
        <v>11</v>
      </c>
      <c r="D551" s="199" t="str">
        <f ca="1">IFERROR(__xludf.DUMMYFUNCTION("""COMPUTED_VALUE"""),"G")</f>
        <v>G</v>
      </c>
      <c r="E551" s="202" t="str">
        <f ca="1">IFERROR(__xludf.DUMMYFUNCTION("""COMPUTED_VALUE"""),"J")</f>
        <v>J</v>
      </c>
      <c r="F551" s="202" t="str">
        <f ca="1">IFERROR(__xludf.DUMMYFUNCTION("""COMPUTED_VALUE"""),"I")</f>
        <v>I</v>
      </c>
      <c r="G551" s="202">
        <f ca="1">IFERROR(__xludf.DUMMYFUNCTION("""COMPUTED_VALUE"""),3)</f>
        <v>3</v>
      </c>
      <c r="H551" s="208"/>
      <c r="I551" s="208"/>
      <c r="J551" s="208"/>
      <c r="K551" s="208"/>
      <c r="L551" s="208" t="str">
        <v/>
      </c>
      <c r="M551" s="208" t="str">
        <v/>
      </c>
    </row>
    <row r="552" spans="1:13" ht="14.4">
      <c r="A552" s="199" t="str">
        <f ca="1">IFERROR(__xludf.DUMMYFUNCTION("""COMPUTED_VALUE"""),"DR")</f>
        <v>DR</v>
      </c>
      <c r="B552" s="207" t="str">
        <f ca="1">IFERROR(__xludf.DUMMYFUNCTION("""COMPUTED_VALUE"""),"Nora Elder")</f>
        <v>Nora Elder</v>
      </c>
      <c r="C552" s="199">
        <f ca="1">IFERROR(__xludf.DUMMYFUNCTION("""COMPUTED_VALUE"""),11)</f>
        <v>11</v>
      </c>
      <c r="D552" s="199" t="str">
        <f ca="1">IFERROR(__xludf.DUMMYFUNCTION("""COMPUTED_VALUE"""),"G")</f>
        <v>G</v>
      </c>
      <c r="E552" s="202" t="str">
        <f ca="1">IFERROR(__xludf.DUMMYFUNCTION("""COMPUTED_VALUE"""),"J")</f>
        <v>J</v>
      </c>
      <c r="F552" s="202" t="str">
        <f ca="1">IFERROR(__xludf.DUMMYFUNCTION("""COMPUTED_VALUE"""),"I")</f>
        <v>I</v>
      </c>
      <c r="G552" s="202">
        <f ca="1">IFERROR(__xludf.DUMMYFUNCTION("""COMPUTED_VALUE"""),3)</f>
        <v>3</v>
      </c>
      <c r="H552" s="208"/>
      <c r="I552" s="208"/>
      <c r="J552" s="208"/>
      <c r="K552" s="208"/>
      <c r="L552" s="208" t="str">
        <v/>
      </c>
      <c r="M552" s="208" t="str">
        <v/>
      </c>
    </row>
    <row r="553" spans="1:13" ht="14.4">
      <c r="A553" s="199" t="str">
        <f ca="1">IFERROR(__xludf.DUMMYFUNCTION("""COMPUTED_VALUE"""),"DR")</f>
        <v>DR</v>
      </c>
      <c r="B553" s="207" t="str">
        <f ca="1">IFERROR(__xludf.DUMMYFUNCTION("""COMPUTED_VALUE"""),"Riley McDonnell")</f>
        <v>Riley McDonnell</v>
      </c>
      <c r="C553" s="199">
        <f ca="1">IFERROR(__xludf.DUMMYFUNCTION("""COMPUTED_VALUE"""),12)</f>
        <v>12</v>
      </c>
      <c r="D553" s="199" t="str">
        <f ca="1">IFERROR(__xludf.DUMMYFUNCTION("""COMPUTED_VALUE"""),"G")</f>
        <v>G</v>
      </c>
      <c r="E553" s="202" t="str">
        <f ca="1">IFERROR(__xludf.DUMMYFUNCTION("""COMPUTED_VALUE"""),"J")</f>
        <v>J</v>
      </c>
      <c r="F553" s="202" t="str">
        <f ca="1">IFERROR(__xludf.DUMMYFUNCTION("""COMPUTED_VALUE"""),"I")</f>
        <v>I</v>
      </c>
      <c r="G553" s="202">
        <f ca="1">IFERROR(__xludf.DUMMYFUNCTION("""COMPUTED_VALUE"""),3)</f>
        <v>3</v>
      </c>
      <c r="H553" s="206"/>
      <c r="I553" s="206"/>
      <c r="J553" s="206"/>
      <c r="K553" s="206"/>
      <c r="L553" s="206" t="str">
        <v/>
      </c>
      <c r="M553" s="206" t="str">
        <v/>
      </c>
    </row>
    <row r="554" spans="1:13" ht="14.4">
      <c r="A554" s="199" t="str">
        <f ca="1">IFERROR(__xludf.DUMMYFUNCTION("""COMPUTED_VALUE"""),"DR")</f>
        <v>DR</v>
      </c>
      <c r="B554" s="207" t="str">
        <f ca="1">IFERROR(__xludf.DUMMYFUNCTION("""COMPUTED_VALUE"""),"Riley Wishneff")</f>
        <v>Riley Wishneff</v>
      </c>
      <c r="C554" s="199">
        <f ca="1">IFERROR(__xludf.DUMMYFUNCTION("""COMPUTED_VALUE"""),11)</f>
        <v>11</v>
      </c>
      <c r="D554" s="199" t="str">
        <f ca="1">IFERROR(__xludf.DUMMYFUNCTION("""COMPUTED_VALUE"""),"G")</f>
        <v>G</v>
      </c>
      <c r="E554" s="202" t="str">
        <f ca="1">IFERROR(__xludf.DUMMYFUNCTION("""COMPUTED_VALUE"""),"J")</f>
        <v>J</v>
      </c>
      <c r="F554" s="202" t="str">
        <f ca="1">IFERROR(__xludf.DUMMYFUNCTION("""COMPUTED_VALUE"""),"I")</f>
        <v>I</v>
      </c>
      <c r="G554" s="202">
        <f ca="1">IFERROR(__xludf.DUMMYFUNCTION("""COMPUTED_VALUE"""),3)</f>
        <v>3</v>
      </c>
      <c r="H554" s="206"/>
      <c r="I554" s="206"/>
      <c r="J554" s="206"/>
      <c r="K554" s="206"/>
      <c r="L554" s="206" t="str">
        <v/>
      </c>
      <c r="M554" s="206" t="str">
        <v/>
      </c>
    </row>
    <row r="555" spans="1:13" ht="14.4">
      <c r="A555" s="199" t="str">
        <f ca="1">IFERROR(__xludf.DUMMYFUNCTION("""COMPUTED_VALUE"""),"DR")</f>
        <v>DR</v>
      </c>
      <c r="B555" s="207" t="str">
        <f ca="1">IFERROR(__xludf.DUMMYFUNCTION("""COMPUTED_VALUE"""),"Ruth Eliot")</f>
        <v>Ruth Eliot</v>
      </c>
      <c r="C555" s="199">
        <f ca="1">IFERROR(__xludf.DUMMYFUNCTION("""COMPUTED_VALUE"""),11)</f>
        <v>11</v>
      </c>
      <c r="D555" s="199" t="str">
        <f ca="1">IFERROR(__xludf.DUMMYFUNCTION("""COMPUTED_VALUE"""),"G")</f>
        <v>G</v>
      </c>
      <c r="E555" s="202" t="str">
        <f ca="1">IFERROR(__xludf.DUMMYFUNCTION("""COMPUTED_VALUE"""),"J")</f>
        <v>J</v>
      </c>
      <c r="F555" s="202" t="str">
        <f ca="1">IFERROR(__xludf.DUMMYFUNCTION("""COMPUTED_VALUE"""),"I")</f>
        <v>I</v>
      </c>
      <c r="G555" s="202">
        <f ca="1">IFERROR(__xludf.DUMMYFUNCTION("""COMPUTED_VALUE"""),3)</f>
        <v>3</v>
      </c>
      <c r="H555" s="208">
        <v>60.55</v>
      </c>
      <c r="I555" s="208"/>
      <c r="J555" s="208" t="s">
        <v>121</v>
      </c>
      <c r="K555" s="208"/>
      <c r="L555" s="208" t="str">
        <v xml:space="preserve"> 60.55</v>
      </c>
      <c r="M555" s="208" t="str">
        <v/>
      </c>
    </row>
    <row r="556" spans="1:13" ht="14.4">
      <c r="A556" s="199" t="str">
        <f ca="1">IFERROR(__xludf.DUMMYFUNCTION("""COMPUTED_VALUE"""),"DR")</f>
        <v>DR</v>
      </c>
      <c r="B556" s="207" t="str">
        <f ca="1">IFERROR(__xludf.DUMMYFUNCTION("""COMPUTED_VALUE"""),"James Gray")</f>
        <v>James Gray</v>
      </c>
      <c r="C556" s="199">
        <f ca="1">IFERROR(__xludf.DUMMYFUNCTION("""COMPUTED_VALUE"""),19)</f>
        <v>19</v>
      </c>
      <c r="D556" s="199" t="str">
        <f ca="1">IFERROR(__xludf.DUMMYFUNCTION("""COMPUTED_VALUE"""),"B")</f>
        <v>B</v>
      </c>
      <c r="E556" s="202" t="str">
        <f ca="1">IFERROR(__xludf.DUMMYFUNCTION("""COMPUTED_VALUE"""),"S")</f>
        <v>S</v>
      </c>
      <c r="F556" s="202" t="str">
        <f ca="1">IFERROR(__xludf.DUMMYFUNCTION("""COMPUTED_VALUE"""),"S")</f>
        <v>S</v>
      </c>
      <c r="G556" s="202">
        <f ca="1">IFERROR(__xludf.DUMMYFUNCTION("""COMPUTED_VALUE"""),3)</f>
        <v>3</v>
      </c>
      <c r="H556" s="206"/>
      <c r="I556" s="206"/>
      <c r="J556" s="206"/>
      <c r="K556" s="206"/>
      <c r="L556" s="206" t="str">
        <v/>
      </c>
      <c r="M556" s="206" t="str">
        <v/>
      </c>
    </row>
    <row r="557" spans="1:13" ht="14.4">
      <c r="A557" s="199" t="str">
        <f ca="1">IFERROR(__xludf.DUMMYFUNCTION("""COMPUTED_VALUE"""),"DR")</f>
        <v>DR</v>
      </c>
      <c r="B557" s="207" t="str">
        <f ca="1">IFERROR(__xludf.DUMMYFUNCTION("""COMPUTED_VALUE"""),"William Parish")</f>
        <v>William Parish</v>
      </c>
      <c r="C557" s="199">
        <f ca="1">IFERROR(__xludf.DUMMYFUNCTION("""COMPUTED_VALUE"""),15)</f>
        <v>15</v>
      </c>
      <c r="D557" s="199" t="str">
        <f ca="1">IFERROR(__xludf.DUMMYFUNCTION("""COMPUTED_VALUE"""),"B")</f>
        <v>B</v>
      </c>
      <c r="E557" s="202" t="str">
        <f ca="1">IFERROR(__xludf.DUMMYFUNCTION("""COMPUTED_VALUE"""),"S")</f>
        <v>S</v>
      </c>
      <c r="F557" s="202" t="str">
        <f ca="1">IFERROR(__xludf.DUMMYFUNCTION("""COMPUTED_VALUE"""),"S")</f>
        <v>S</v>
      </c>
      <c r="G557" s="202">
        <f ca="1">IFERROR(__xludf.DUMMYFUNCTION("""COMPUTED_VALUE"""),3)</f>
        <v>3</v>
      </c>
      <c r="H557" s="206"/>
      <c r="I557" s="206">
        <v>224.7</v>
      </c>
      <c r="J557" s="206"/>
      <c r="K557" s="206" t="s">
        <v>121</v>
      </c>
      <c r="L557" s="206" t="str">
        <v xml:space="preserve"> 224.7</v>
      </c>
      <c r="M557" s="206" t="str">
        <v/>
      </c>
    </row>
    <row r="558" spans="1:13" ht="14.4">
      <c r="A558" s="199" t="str">
        <f ca="1">IFERROR(__xludf.DUMMYFUNCTION("""COMPUTED_VALUE"""),"DR")</f>
        <v>DR</v>
      </c>
      <c r="B558" s="207" t="str">
        <f ca="1">IFERROR(__xludf.DUMMYFUNCTION("""COMPUTED_VALUE"""),"Elise Maher")</f>
        <v>Elise Maher</v>
      </c>
      <c r="C558" s="199">
        <f ca="1">IFERROR(__xludf.DUMMYFUNCTION("""COMPUTED_VALUE"""),16)</f>
        <v>16</v>
      </c>
      <c r="D558" s="199" t="str">
        <f ca="1">IFERROR(__xludf.DUMMYFUNCTION("""COMPUTED_VALUE"""),"G")</f>
        <v>G</v>
      </c>
      <c r="E558" s="202" t="str">
        <f ca="1">IFERROR(__xludf.DUMMYFUNCTION("""COMPUTED_VALUE"""),"S")</f>
        <v>S</v>
      </c>
      <c r="F558" s="202" t="str">
        <f ca="1">IFERROR(__xludf.DUMMYFUNCTION("""COMPUTED_VALUE"""),"S")</f>
        <v>S</v>
      </c>
      <c r="G558" s="202">
        <f ca="1">IFERROR(__xludf.DUMMYFUNCTION("""COMPUTED_VALUE"""),3)</f>
        <v>3</v>
      </c>
      <c r="H558" s="206"/>
      <c r="I558" s="206"/>
      <c r="J558" s="206"/>
      <c r="K558" s="206"/>
      <c r="L558" s="206" t="str">
        <v/>
      </c>
      <c r="M558" s="206" t="str">
        <v/>
      </c>
    </row>
    <row r="559" spans="1:13" ht="14.4">
      <c r="A559" s="199" t="str">
        <f ca="1">IFERROR(__xludf.DUMMYFUNCTION("""COMPUTED_VALUE"""),"DR")</f>
        <v>DR</v>
      </c>
      <c r="B559" s="207" t="str">
        <f ca="1">IFERROR(__xludf.DUMMYFUNCTION("""COMPUTED_VALUE"""),"Ellie Simmons")</f>
        <v>Ellie Simmons</v>
      </c>
      <c r="C559" s="199">
        <f ca="1">IFERROR(__xludf.DUMMYFUNCTION("""COMPUTED_VALUE"""),17)</f>
        <v>17</v>
      </c>
      <c r="D559" s="199" t="str">
        <f ca="1">IFERROR(__xludf.DUMMYFUNCTION("""COMPUTED_VALUE"""),"G")</f>
        <v>G</v>
      </c>
      <c r="E559" s="202" t="str">
        <f ca="1">IFERROR(__xludf.DUMMYFUNCTION("""COMPUTED_VALUE"""),"S")</f>
        <v>S</v>
      </c>
      <c r="F559" s="202" t="str">
        <f ca="1">IFERROR(__xludf.DUMMYFUNCTION("""COMPUTED_VALUE"""),"S")</f>
        <v>S</v>
      </c>
      <c r="G559" s="202">
        <f ca="1">IFERROR(__xludf.DUMMYFUNCTION("""COMPUTED_VALUE"""),3)</f>
        <v>3</v>
      </c>
      <c r="H559" s="206">
        <v>204.2</v>
      </c>
      <c r="I559" s="206"/>
      <c r="J559" s="206" t="s">
        <v>121</v>
      </c>
      <c r="K559" s="206"/>
      <c r="L559" s="206" t="str">
        <v xml:space="preserve"> 204.2</v>
      </c>
      <c r="M559" s="206" t="str">
        <v/>
      </c>
    </row>
    <row r="560" spans="1:13" ht="14.4">
      <c r="A560" s="199" t="str">
        <f ca="1">IFERROR(__xludf.DUMMYFUNCTION("""COMPUTED_VALUE"""),"DR")</f>
        <v>DR</v>
      </c>
      <c r="B560" s="207" t="str">
        <f ca="1">IFERROR(__xludf.DUMMYFUNCTION("""COMPUTED_VALUE"""),"Emma Webb")</f>
        <v>Emma Webb</v>
      </c>
      <c r="C560" s="199">
        <f ca="1">IFERROR(__xludf.DUMMYFUNCTION("""COMPUTED_VALUE"""),16)</f>
        <v>16</v>
      </c>
      <c r="D560" s="199" t="str">
        <f ca="1">IFERROR(__xludf.DUMMYFUNCTION("""COMPUTED_VALUE"""),"G")</f>
        <v>G</v>
      </c>
      <c r="E560" s="202" t="str">
        <f ca="1">IFERROR(__xludf.DUMMYFUNCTION("""COMPUTED_VALUE"""),"S")</f>
        <v>S</v>
      </c>
      <c r="F560" s="202" t="str">
        <f ca="1">IFERROR(__xludf.DUMMYFUNCTION("""COMPUTED_VALUE"""),"S")</f>
        <v>S</v>
      </c>
      <c r="G560" s="202">
        <f ca="1">IFERROR(__xludf.DUMMYFUNCTION("""COMPUTED_VALUE"""),3)</f>
        <v>3</v>
      </c>
      <c r="H560" s="206">
        <v>173.05</v>
      </c>
      <c r="I560" s="206"/>
      <c r="J560" s="206" t="s">
        <v>121</v>
      </c>
      <c r="K560" s="206"/>
      <c r="L560" s="206" t="str">
        <v xml:space="preserve"> 173.05</v>
      </c>
      <c r="M560" s="206" t="str">
        <v/>
      </c>
    </row>
    <row r="561" spans="1:13" ht="14.4">
      <c r="A561" s="199" t="str">
        <f ca="1">IFERROR(__xludf.DUMMYFUNCTION("""COMPUTED_VALUE"""),"DR")</f>
        <v>DR</v>
      </c>
      <c r="B561" s="207" t="str">
        <f ca="1">IFERROR(__xludf.DUMMYFUNCTION("""COMPUTED_VALUE"""),"Noelle Samowich")</f>
        <v>Noelle Samowich</v>
      </c>
      <c r="C561" s="199">
        <f ca="1">IFERROR(__xludf.DUMMYFUNCTION("""COMPUTED_VALUE"""),15)</f>
        <v>15</v>
      </c>
      <c r="D561" s="199" t="str">
        <f ca="1">IFERROR(__xludf.DUMMYFUNCTION("""COMPUTED_VALUE"""),"G")</f>
        <v>G</v>
      </c>
      <c r="E561" s="202" t="str">
        <f ca="1">IFERROR(__xludf.DUMMYFUNCTION("""COMPUTED_VALUE"""),"S")</f>
        <v>S</v>
      </c>
      <c r="F561" s="202" t="str">
        <f ca="1">IFERROR(__xludf.DUMMYFUNCTION("""COMPUTED_VALUE"""),"S")</f>
        <v>S</v>
      </c>
      <c r="G561" s="202">
        <f ca="1">IFERROR(__xludf.DUMMYFUNCTION("""COMPUTED_VALUE"""),3)</f>
        <v>3</v>
      </c>
      <c r="H561" s="206">
        <v>150.1</v>
      </c>
      <c r="I561" s="206"/>
      <c r="J561" s="206" t="s">
        <v>121</v>
      </c>
      <c r="K561" s="206"/>
      <c r="L561" s="206" t="str">
        <v xml:space="preserve"> 150.1</v>
      </c>
      <c r="M561" s="206" t="str">
        <v/>
      </c>
    </row>
    <row r="562" spans="1:13" ht="14.4">
      <c r="A562" s="199" t="str">
        <f ca="1">IFERROR(__xludf.DUMMYFUNCTION("""COMPUTED_VALUE"""),"F")</f>
        <v>F</v>
      </c>
      <c r="B562" s="207" t="str">
        <f ca="1">IFERROR(__xludf.DUMMYFUNCTION("""COMPUTED_VALUE"""),"Alex Shea")</f>
        <v>Alex Shea</v>
      </c>
      <c r="C562" s="199">
        <f ca="1">IFERROR(__xludf.DUMMYFUNCTION("""COMPUTED_VALUE"""),10)</f>
        <v>10</v>
      </c>
      <c r="D562" s="199" t="str">
        <f ca="1">IFERROR(__xludf.DUMMYFUNCTION("""COMPUTED_VALUE"""),"B")</f>
        <v>B</v>
      </c>
      <c r="E562" s="202" t="str">
        <f ca="1">IFERROR(__xludf.DUMMYFUNCTION("""COMPUTED_VALUE"""),"F")</f>
        <v>F</v>
      </c>
      <c r="F562" s="202" t="str">
        <f ca="1">IFERROR(__xludf.DUMMYFUNCTION("""COMPUTED_VALUE"""),"J")</f>
        <v>J</v>
      </c>
      <c r="G562" s="202">
        <f ca="1">IFERROR(__xludf.DUMMYFUNCTION("""COMPUTED_VALUE"""),2)</f>
        <v>2</v>
      </c>
      <c r="H562" s="206"/>
      <c r="I562" s="206"/>
      <c r="J562" s="206"/>
      <c r="K562" s="206"/>
      <c r="L562" s="206" t="str">
        <v/>
      </c>
      <c r="M562" s="206" t="str">
        <v/>
      </c>
    </row>
    <row r="563" spans="1:13" ht="14.4">
      <c r="A563" s="199" t="str">
        <f ca="1">IFERROR(__xludf.DUMMYFUNCTION("""COMPUTED_VALUE"""),"F")</f>
        <v>F</v>
      </c>
      <c r="B563" s="207" t="str">
        <f ca="1">IFERROR(__xludf.DUMMYFUNCTION("""COMPUTED_VALUE"""),"Caiden Stark")</f>
        <v>Caiden Stark</v>
      </c>
      <c r="C563" s="199">
        <f ca="1">IFERROR(__xludf.DUMMYFUNCTION("""COMPUTED_VALUE"""),9)</f>
        <v>9</v>
      </c>
      <c r="D563" s="199" t="str">
        <f ca="1">IFERROR(__xludf.DUMMYFUNCTION("""COMPUTED_VALUE"""),"B")</f>
        <v>B</v>
      </c>
      <c r="E563" s="202" t="str">
        <f ca="1">IFERROR(__xludf.DUMMYFUNCTION("""COMPUTED_VALUE"""),"F")</f>
        <v>F</v>
      </c>
      <c r="F563" s="202" t="str">
        <f ca="1">IFERROR(__xludf.DUMMYFUNCTION("""COMPUTED_VALUE"""),"J")</f>
        <v>J</v>
      </c>
      <c r="G563" s="202">
        <f ca="1">IFERROR(__xludf.DUMMYFUNCTION("""COMPUTED_VALUE"""),2)</f>
        <v>2</v>
      </c>
      <c r="H563" s="206"/>
      <c r="I563" s="206"/>
      <c r="J563" s="206"/>
      <c r="K563" s="206"/>
      <c r="L563" s="206" t="str">
        <v/>
      </c>
      <c r="M563" s="206" t="str">
        <v/>
      </c>
    </row>
    <row r="564" spans="1:13" ht="14.4">
      <c r="A564" s="199" t="str">
        <f ca="1">IFERROR(__xludf.DUMMYFUNCTION("""COMPUTED_VALUE"""),"F")</f>
        <v>F</v>
      </c>
      <c r="B564" s="207" t="str">
        <f ca="1">IFERROR(__xludf.DUMMYFUNCTION("""COMPUTED_VALUE"""),"Calibro Dumas")</f>
        <v>Calibro Dumas</v>
      </c>
      <c r="C564" s="199">
        <f ca="1">IFERROR(__xludf.DUMMYFUNCTION("""COMPUTED_VALUE"""),6)</f>
        <v>6</v>
      </c>
      <c r="D564" s="199" t="str">
        <f ca="1">IFERROR(__xludf.DUMMYFUNCTION("""COMPUTED_VALUE"""),"B")</f>
        <v>B</v>
      </c>
      <c r="E564" s="202" t="str">
        <f ca="1">IFERROR(__xludf.DUMMYFUNCTION("""COMPUTED_VALUE"""),"F")</f>
        <v>F</v>
      </c>
      <c r="F564" s="202" t="str">
        <f ca="1">IFERROR(__xludf.DUMMYFUNCTION("""COMPUTED_VALUE"""),"J")</f>
        <v>J</v>
      </c>
      <c r="G564" s="202">
        <f ca="1">IFERROR(__xludf.DUMMYFUNCTION("""COMPUTED_VALUE"""),2)</f>
        <v>2</v>
      </c>
      <c r="H564" s="208"/>
      <c r="I564" s="208"/>
      <c r="J564" s="208"/>
      <c r="K564" s="208"/>
      <c r="L564" s="208" t="str">
        <v/>
      </c>
      <c r="M564" s="208" t="str">
        <v/>
      </c>
    </row>
    <row r="565" spans="1:13" ht="14.4">
      <c r="A565" s="199" t="str">
        <f ca="1">IFERROR(__xludf.DUMMYFUNCTION("""COMPUTED_VALUE"""),"F")</f>
        <v>F</v>
      </c>
      <c r="B565" s="207" t="str">
        <f ca="1">IFERROR(__xludf.DUMMYFUNCTION("""COMPUTED_VALUE"""),"Christopher Barron")</f>
        <v>Christopher Barron</v>
      </c>
      <c r="C565" s="199">
        <f ca="1">IFERROR(__xludf.DUMMYFUNCTION("""COMPUTED_VALUE"""),9)</f>
        <v>9</v>
      </c>
      <c r="D565" s="199" t="str">
        <f ca="1">IFERROR(__xludf.DUMMYFUNCTION("""COMPUTED_VALUE"""),"B")</f>
        <v>B</v>
      </c>
      <c r="E565" s="202" t="str">
        <f ca="1">IFERROR(__xludf.DUMMYFUNCTION("""COMPUTED_VALUE"""),"F")</f>
        <v>F</v>
      </c>
      <c r="F565" s="202" t="str">
        <f ca="1">IFERROR(__xludf.DUMMYFUNCTION("""COMPUTED_VALUE"""),"J")</f>
        <v>J</v>
      </c>
      <c r="G565" s="202">
        <f ca="1">IFERROR(__xludf.DUMMYFUNCTION("""COMPUTED_VALUE"""),2)</f>
        <v>2</v>
      </c>
      <c r="H565" s="208"/>
      <c r="I565" s="208">
        <v>48.05</v>
      </c>
      <c r="J565" s="208"/>
      <c r="K565" s="208" t="s">
        <v>121</v>
      </c>
      <c r="L565" s="208" t="str">
        <v xml:space="preserve"> 48.05</v>
      </c>
      <c r="M565" s="208" t="str">
        <v/>
      </c>
    </row>
    <row r="566" spans="1:13" ht="14.4">
      <c r="A566" s="199" t="str">
        <f ca="1">IFERROR(__xludf.DUMMYFUNCTION("""COMPUTED_VALUE"""),"F")</f>
        <v>F</v>
      </c>
      <c r="B566" s="207" t="str">
        <f ca="1">IFERROR(__xludf.DUMMYFUNCTION("""COMPUTED_VALUE"""),"Cian Stark")</f>
        <v>Cian Stark</v>
      </c>
      <c r="C566" s="199">
        <f ca="1">IFERROR(__xludf.DUMMYFUNCTION("""COMPUTED_VALUE"""),6)</f>
        <v>6</v>
      </c>
      <c r="D566" s="199" t="str">
        <f ca="1">IFERROR(__xludf.DUMMYFUNCTION("""COMPUTED_VALUE"""),"B")</f>
        <v>B</v>
      </c>
      <c r="E566" s="202" t="str">
        <f ca="1">IFERROR(__xludf.DUMMYFUNCTION("""COMPUTED_VALUE"""),"F")</f>
        <v>F</v>
      </c>
      <c r="F566" s="202" t="str">
        <f ca="1">IFERROR(__xludf.DUMMYFUNCTION("""COMPUTED_VALUE"""),"J")</f>
        <v>J</v>
      </c>
      <c r="G566" s="202">
        <f ca="1">IFERROR(__xludf.DUMMYFUNCTION("""COMPUTED_VALUE"""),2)</f>
        <v>2</v>
      </c>
      <c r="H566" s="208"/>
      <c r="I566" s="208"/>
      <c r="J566" s="208"/>
      <c r="K566" s="208"/>
      <c r="L566" s="208" t="str">
        <v/>
      </c>
      <c r="M566" s="208" t="str">
        <v/>
      </c>
    </row>
    <row r="567" spans="1:13" ht="14.4">
      <c r="A567" s="199" t="str">
        <f ca="1">IFERROR(__xludf.DUMMYFUNCTION("""COMPUTED_VALUE"""),"F")</f>
        <v>F</v>
      </c>
      <c r="B567" s="207" t="str">
        <f ca="1">IFERROR(__xludf.DUMMYFUNCTION("""COMPUTED_VALUE"""),"Connor Barron")</f>
        <v>Connor Barron</v>
      </c>
      <c r="C567" s="199">
        <f ca="1">IFERROR(__xludf.DUMMYFUNCTION("""COMPUTED_VALUE"""),7)</f>
        <v>7</v>
      </c>
      <c r="D567" s="199" t="str">
        <f ca="1">IFERROR(__xludf.DUMMYFUNCTION("""COMPUTED_VALUE"""),"B")</f>
        <v>B</v>
      </c>
      <c r="E567" s="202" t="str">
        <f ca="1">IFERROR(__xludf.DUMMYFUNCTION("""COMPUTED_VALUE"""),"F")</f>
        <v>F</v>
      </c>
      <c r="F567" s="202" t="str">
        <f ca="1">IFERROR(__xludf.DUMMYFUNCTION("""COMPUTED_VALUE"""),"J")</f>
        <v>J</v>
      </c>
      <c r="G567" s="202">
        <f ca="1">IFERROR(__xludf.DUMMYFUNCTION("""COMPUTED_VALUE"""),2)</f>
        <v>2</v>
      </c>
      <c r="H567" s="206"/>
      <c r="I567" s="206">
        <v>43.6</v>
      </c>
      <c r="J567" s="206"/>
      <c r="K567" s="206" t="s">
        <v>121</v>
      </c>
      <c r="L567" s="206" t="str">
        <v xml:space="preserve"> 43.6</v>
      </c>
      <c r="M567" s="206" t="str">
        <v/>
      </c>
    </row>
    <row r="568" spans="1:13" ht="14.4">
      <c r="A568" s="199" t="str">
        <f ca="1">IFERROR(__xludf.DUMMYFUNCTION("""COMPUTED_VALUE"""),"F")</f>
        <v>F</v>
      </c>
      <c r="B568" s="207" t="str">
        <f ca="1">IFERROR(__xludf.DUMMYFUNCTION("""COMPUTED_VALUE"""),"Deen Garbia")</f>
        <v>Deen Garbia</v>
      </c>
      <c r="C568" s="199">
        <f ca="1">IFERROR(__xludf.DUMMYFUNCTION("""COMPUTED_VALUE"""),10)</f>
        <v>10</v>
      </c>
      <c r="D568" s="199" t="str">
        <f ca="1">IFERROR(__xludf.DUMMYFUNCTION("""COMPUTED_VALUE"""),"B")</f>
        <v>B</v>
      </c>
      <c r="E568" s="202" t="str">
        <f ca="1">IFERROR(__xludf.DUMMYFUNCTION("""COMPUTED_VALUE"""),"F")</f>
        <v>F</v>
      </c>
      <c r="F568" s="202" t="str">
        <f ca="1">IFERROR(__xludf.DUMMYFUNCTION("""COMPUTED_VALUE"""),"J")</f>
        <v>J</v>
      </c>
      <c r="G568" s="202">
        <f ca="1">IFERROR(__xludf.DUMMYFUNCTION("""COMPUTED_VALUE"""),2)</f>
        <v>2</v>
      </c>
      <c r="H568" s="208"/>
      <c r="I568" s="208"/>
      <c r="J568" s="208"/>
      <c r="K568" s="208"/>
      <c r="L568" s="208" t="str">
        <v/>
      </c>
      <c r="M568" s="208" t="str">
        <v/>
      </c>
    </row>
    <row r="569" spans="1:13" ht="14.4">
      <c r="A569" s="199" t="str">
        <f ca="1">IFERROR(__xludf.DUMMYFUNCTION("""COMPUTED_VALUE"""),"F")</f>
        <v>F</v>
      </c>
      <c r="B569" s="207" t="str">
        <f ca="1">IFERROR(__xludf.DUMMYFUNCTION("""COMPUTED_VALUE"""),"Eli Stovall")</f>
        <v>Eli Stovall</v>
      </c>
      <c r="C569" s="199">
        <f ca="1">IFERROR(__xludf.DUMMYFUNCTION("""COMPUTED_VALUE"""),9)</f>
        <v>9</v>
      </c>
      <c r="D569" s="199" t="str">
        <f ca="1">IFERROR(__xludf.DUMMYFUNCTION("""COMPUTED_VALUE"""),"B")</f>
        <v>B</v>
      </c>
      <c r="E569" s="202" t="str">
        <f ca="1">IFERROR(__xludf.DUMMYFUNCTION("""COMPUTED_VALUE"""),"F")</f>
        <v>F</v>
      </c>
      <c r="F569" s="202" t="str">
        <f ca="1">IFERROR(__xludf.DUMMYFUNCTION("""COMPUTED_VALUE"""),"J")</f>
        <v>J</v>
      </c>
      <c r="G569" s="202">
        <f ca="1">IFERROR(__xludf.DUMMYFUNCTION("""COMPUTED_VALUE"""),2)</f>
        <v>2</v>
      </c>
      <c r="H569" s="206"/>
      <c r="I569" s="206"/>
      <c r="J569" s="206"/>
      <c r="K569" s="206"/>
      <c r="L569" s="206" t="str">
        <v/>
      </c>
      <c r="M569" s="206" t="str">
        <v/>
      </c>
    </row>
    <row r="570" spans="1:13" ht="14.4">
      <c r="A570" s="199" t="str">
        <f ca="1">IFERROR(__xludf.DUMMYFUNCTION("""COMPUTED_VALUE"""),"F")</f>
        <v>F</v>
      </c>
      <c r="B570" s="207" t="str">
        <f ca="1">IFERROR(__xludf.DUMMYFUNCTION("""COMPUTED_VALUE"""),"Jack Devlin")</f>
        <v>Jack Devlin</v>
      </c>
      <c r="C570" s="199">
        <f ca="1">IFERROR(__xludf.DUMMYFUNCTION("""COMPUTED_VALUE"""),7)</f>
        <v>7</v>
      </c>
      <c r="D570" s="199" t="str">
        <f ca="1">IFERROR(__xludf.DUMMYFUNCTION("""COMPUTED_VALUE"""),"B")</f>
        <v>B</v>
      </c>
      <c r="E570" s="202" t="str">
        <f ca="1">IFERROR(__xludf.DUMMYFUNCTION("""COMPUTED_VALUE"""),"F")</f>
        <v>F</v>
      </c>
      <c r="F570" s="202" t="str">
        <f ca="1">IFERROR(__xludf.DUMMYFUNCTION("""COMPUTED_VALUE"""),"J")</f>
        <v>J</v>
      </c>
      <c r="G570" s="202">
        <f ca="1">IFERROR(__xludf.DUMMYFUNCTION("""COMPUTED_VALUE"""),2)</f>
        <v>2</v>
      </c>
      <c r="H570" s="208"/>
      <c r="I570" s="208">
        <v>43.55</v>
      </c>
      <c r="J570" s="208"/>
      <c r="K570" s="208" t="s">
        <v>121</v>
      </c>
      <c r="L570" s="208" t="str">
        <v xml:space="preserve"> 43.55</v>
      </c>
      <c r="M570" s="208" t="str">
        <v/>
      </c>
    </row>
    <row r="571" spans="1:13" ht="14.4">
      <c r="A571" s="199" t="str">
        <f ca="1">IFERROR(__xludf.DUMMYFUNCTION("""COMPUTED_VALUE"""),"F")</f>
        <v>F</v>
      </c>
      <c r="B571" s="207" t="str">
        <f ca="1">IFERROR(__xludf.DUMMYFUNCTION("""COMPUTED_VALUE"""),"Jason Vericker")</f>
        <v>Jason Vericker</v>
      </c>
      <c r="C571" s="199">
        <f ca="1">IFERROR(__xludf.DUMMYFUNCTION("""COMPUTED_VALUE"""),8)</f>
        <v>8</v>
      </c>
      <c r="D571" s="199" t="str">
        <f ca="1">IFERROR(__xludf.DUMMYFUNCTION("""COMPUTED_VALUE"""),"B")</f>
        <v>B</v>
      </c>
      <c r="E571" s="202" t="str">
        <f ca="1">IFERROR(__xludf.DUMMYFUNCTION("""COMPUTED_VALUE"""),"F")</f>
        <v>F</v>
      </c>
      <c r="F571" s="202" t="str">
        <f ca="1">IFERROR(__xludf.DUMMYFUNCTION("""COMPUTED_VALUE"""),"J")</f>
        <v>J</v>
      </c>
      <c r="G571" s="202">
        <f ca="1">IFERROR(__xludf.DUMMYFUNCTION("""COMPUTED_VALUE"""),2)</f>
        <v>2</v>
      </c>
      <c r="H571" s="208"/>
      <c r="I571" s="208"/>
      <c r="J571" s="208"/>
      <c r="K571" s="208"/>
      <c r="L571" s="208" t="str">
        <v/>
      </c>
      <c r="M571" s="208" t="str">
        <v/>
      </c>
    </row>
    <row r="572" spans="1:13" ht="14.4">
      <c r="A572" s="199" t="str">
        <f ca="1">IFERROR(__xludf.DUMMYFUNCTION("""COMPUTED_VALUE"""),"F")</f>
        <v>F</v>
      </c>
      <c r="B572" s="207" t="str">
        <f ca="1">IFERROR(__xludf.DUMMYFUNCTION("""COMPUTED_VALUE"""),"Jaspar Carpenter")</f>
        <v>Jaspar Carpenter</v>
      </c>
      <c r="C572" s="199">
        <f ca="1">IFERROR(__xludf.DUMMYFUNCTION("""COMPUTED_VALUE"""),6)</f>
        <v>6</v>
      </c>
      <c r="D572" s="199" t="str">
        <f ca="1">IFERROR(__xludf.DUMMYFUNCTION("""COMPUTED_VALUE"""),"B")</f>
        <v>B</v>
      </c>
      <c r="E572" s="202" t="str">
        <f ca="1">IFERROR(__xludf.DUMMYFUNCTION("""COMPUTED_VALUE"""),"F")</f>
        <v>F</v>
      </c>
      <c r="F572" s="202" t="str">
        <f ca="1">IFERROR(__xludf.DUMMYFUNCTION("""COMPUTED_VALUE"""),"J")</f>
        <v>J</v>
      </c>
      <c r="G572" s="202">
        <f ca="1">IFERROR(__xludf.DUMMYFUNCTION("""COMPUTED_VALUE"""),2)</f>
        <v>2</v>
      </c>
      <c r="H572" s="208"/>
      <c r="I572" s="208">
        <v>37.799999999999997</v>
      </c>
      <c r="J572" s="208"/>
      <c r="K572" s="208" t="s">
        <v>121</v>
      </c>
      <c r="L572" s="208" t="str">
        <v xml:space="preserve"> 37.8</v>
      </c>
      <c r="M572" s="208" t="str">
        <v/>
      </c>
    </row>
    <row r="573" spans="1:13" ht="14.4">
      <c r="A573" s="199" t="str">
        <f ca="1">IFERROR(__xludf.DUMMYFUNCTION("""COMPUTED_VALUE"""),"F")</f>
        <v>F</v>
      </c>
      <c r="B573" s="207" t="str">
        <f ca="1">IFERROR(__xludf.DUMMYFUNCTION("""COMPUTED_VALUE"""),"Jonathan Shaffer")</f>
        <v>Jonathan Shaffer</v>
      </c>
      <c r="C573" s="199">
        <f ca="1">IFERROR(__xludf.DUMMYFUNCTION("""COMPUTED_VALUE"""),9)</f>
        <v>9</v>
      </c>
      <c r="D573" s="199" t="str">
        <f ca="1">IFERROR(__xludf.DUMMYFUNCTION("""COMPUTED_VALUE"""),"B")</f>
        <v>B</v>
      </c>
      <c r="E573" s="202" t="str">
        <f ca="1">IFERROR(__xludf.DUMMYFUNCTION("""COMPUTED_VALUE"""),"F")</f>
        <v>F</v>
      </c>
      <c r="F573" s="202" t="str">
        <f ca="1">IFERROR(__xludf.DUMMYFUNCTION("""COMPUTED_VALUE"""),"J")</f>
        <v>J</v>
      </c>
      <c r="G573" s="202">
        <f ca="1">IFERROR(__xludf.DUMMYFUNCTION("""COMPUTED_VALUE"""),2)</f>
        <v>2</v>
      </c>
      <c r="H573" s="208"/>
      <c r="I573" s="208"/>
      <c r="J573" s="208"/>
      <c r="K573" s="208"/>
      <c r="L573" s="208" t="str">
        <v/>
      </c>
      <c r="M573" s="208" t="str">
        <v/>
      </c>
    </row>
    <row r="574" spans="1:13" ht="14.4">
      <c r="A574" s="199" t="str">
        <f ca="1">IFERROR(__xludf.DUMMYFUNCTION("""COMPUTED_VALUE"""),"F")</f>
        <v>F</v>
      </c>
      <c r="B574" s="207" t="str">
        <f ca="1">IFERROR(__xludf.DUMMYFUNCTION("""COMPUTED_VALUE"""),"Jude Sbeih")</f>
        <v>Jude Sbeih</v>
      </c>
      <c r="C574" s="199">
        <f ca="1">IFERROR(__xludf.DUMMYFUNCTION("""COMPUTED_VALUE"""),10)</f>
        <v>10</v>
      </c>
      <c r="D574" s="199" t="str">
        <f ca="1">IFERROR(__xludf.DUMMYFUNCTION("""COMPUTED_VALUE"""),"B")</f>
        <v>B</v>
      </c>
      <c r="E574" s="202" t="str">
        <f ca="1">IFERROR(__xludf.DUMMYFUNCTION("""COMPUTED_VALUE"""),"F")</f>
        <v>F</v>
      </c>
      <c r="F574" s="202" t="str">
        <f ca="1">IFERROR(__xludf.DUMMYFUNCTION("""COMPUTED_VALUE"""),"J")</f>
        <v>J</v>
      </c>
      <c r="G574" s="202">
        <f ca="1">IFERROR(__xludf.DUMMYFUNCTION("""COMPUTED_VALUE"""),2)</f>
        <v>2</v>
      </c>
      <c r="H574" s="206"/>
      <c r="I574" s="206"/>
      <c r="J574" s="206"/>
      <c r="K574" s="206"/>
      <c r="L574" s="206" t="str">
        <v/>
      </c>
      <c r="M574" s="206" t="str">
        <v/>
      </c>
    </row>
    <row r="575" spans="1:13" ht="14.4">
      <c r="A575" s="199" t="str">
        <f ca="1">IFERROR(__xludf.DUMMYFUNCTION("""COMPUTED_VALUE"""),"F")</f>
        <v>F</v>
      </c>
      <c r="B575" s="207" t="str">
        <f ca="1">IFERROR(__xludf.DUMMYFUNCTION("""COMPUTED_VALUE"""),"Kai Lowery")</f>
        <v>Kai Lowery</v>
      </c>
      <c r="C575" s="199">
        <f ca="1">IFERROR(__xludf.DUMMYFUNCTION("""COMPUTED_VALUE"""),6)</f>
        <v>6</v>
      </c>
      <c r="D575" s="199" t="str">
        <f ca="1">IFERROR(__xludf.DUMMYFUNCTION("""COMPUTED_VALUE"""),"B")</f>
        <v>B</v>
      </c>
      <c r="E575" s="202" t="str">
        <f ca="1">IFERROR(__xludf.DUMMYFUNCTION("""COMPUTED_VALUE"""),"F")</f>
        <v>F</v>
      </c>
      <c r="F575" s="202" t="str">
        <f ca="1">IFERROR(__xludf.DUMMYFUNCTION("""COMPUTED_VALUE"""),"J")</f>
        <v>J</v>
      </c>
      <c r="G575" s="202">
        <f ca="1">IFERROR(__xludf.DUMMYFUNCTION("""COMPUTED_VALUE"""),2)</f>
        <v>2</v>
      </c>
      <c r="H575" s="208"/>
      <c r="I575" s="208"/>
      <c r="J575" s="208"/>
      <c r="K575" s="208"/>
      <c r="L575" s="208" t="str">
        <v/>
      </c>
      <c r="M575" s="208" t="str">
        <v/>
      </c>
    </row>
    <row r="576" spans="1:13" ht="14.4">
      <c r="A576" s="199" t="str">
        <f ca="1">IFERROR(__xludf.DUMMYFUNCTION("""COMPUTED_VALUE"""),"F")</f>
        <v>F</v>
      </c>
      <c r="B576" s="207" t="str">
        <f ca="1">IFERROR(__xludf.DUMMYFUNCTION("""COMPUTED_VALUE"""),"Nino Wells")</f>
        <v>Nino Wells</v>
      </c>
      <c r="C576" s="199">
        <f ca="1">IFERROR(__xludf.DUMMYFUNCTION("""COMPUTED_VALUE"""),8)</f>
        <v>8</v>
      </c>
      <c r="D576" s="199" t="str">
        <f ca="1">IFERROR(__xludf.DUMMYFUNCTION("""COMPUTED_VALUE"""),"B")</f>
        <v>B</v>
      </c>
      <c r="E576" s="202" t="str">
        <f ca="1">IFERROR(__xludf.DUMMYFUNCTION("""COMPUTED_VALUE"""),"F")</f>
        <v>F</v>
      </c>
      <c r="F576" s="202" t="str">
        <f ca="1">IFERROR(__xludf.DUMMYFUNCTION("""COMPUTED_VALUE"""),"J")</f>
        <v>J</v>
      </c>
      <c r="G576" s="202">
        <f ca="1">IFERROR(__xludf.DUMMYFUNCTION("""COMPUTED_VALUE"""),2)</f>
        <v>2</v>
      </c>
      <c r="H576" s="206"/>
      <c r="I576" s="206"/>
      <c r="J576" s="206"/>
      <c r="K576" s="206"/>
      <c r="L576" s="206" t="str">
        <v/>
      </c>
      <c r="M576" s="206" t="str">
        <v/>
      </c>
    </row>
    <row r="577" spans="1:13" ht="14.4">
      <c r="A577" s="199" t="str">
        <f ca="1">IFERROR(__xludf.DUMMYFUNCTION("""COMPUTED_VALUE"""),"F")</f>
        <v>F</v>
      </c>
      <c r="B577" s="207" t="str">
        <f ca="1">IFERROR(__xludf.DUMMYFUNCTION("""COMPUTED_VALUE"""),"Robert Stovall")</f>
        <v>Robert Stovall</v>
      </c>
      <c r="C577" s="199">
        <f ca="1">IFERROR(__xludf.DUMMYFUNCTION("""COMPUTED_VALUE"""),8)</f>
        <v>8</v>
      </c>
      <c r="D577" s="199" t="str">
        <f ca="1">IFERROR(__xludf.DUMMYFUNCTION("""COMPUTED_VALUE"""),"B")</f>
        <v>B</v>
      </c>
      <c r="E577" s="202" t="str">
        <f ca="1">IFERROR(__xludf.DUMMYFUNCTION("""COMPUTED_VALUE"""),"F")</f>
        <v>F</v>
      </c>
      <c r="F577" s="202" t="str">
        <f ca="1">IFERROR(__xludf.DUMMYFUNCTION("""COMPUTED_VALUE"""),"J")</f>
        <v>J</v>
      </c>
      <c r="G577" s="202">
        <f ca="1">IFERROR(__xludf.DUMMYFUNCTION("""COMPUTED_VALUE"""),2)</f>
        <v>2</v>
      </c>
      <c r="H577" s="206"/>
      <c r="I577" s="206"/>
      <c r="J577" s="206"/>
      <c r="K577" s="206"/>
      <c r="L577" s="206" t="str">
        <v/>
      </c>
      <c r="M577" s="206" t="str">
        <v/>
      </c>
    </row>
    <row r="578" spans="1:13" ht="14.4">
      <c r="A578" s="199" t="str">
        <f ca="1">IFERROR(__xludf.DUMMYFUNCTION("""COMPUTED_VALUE"""),"F")</f>
        <v>F</v>
      </c>
      <c r="B578" s="207" t="str">
        <f ca="1">IFERROR(__xludf.DUMMYFUNCTION("""COMPUTED_VALUE"""),"Sung Min Kim")</f>
        <v>Sung Min Kim</v>
      </c>
      <c r="C578" s="199">
        <f ca="1">IFERROR(__xludf.DUMMYFUNCTION("""COMPUTED_VALUE"""),8)</f>
        <v>8</v>
      </c>
      <c r="D578" s="199" t="str">
        <f ca="1">IFERROR(__xludf.DUMMYFUNCTION("""COMPUTED_VALUE"""),"B")</f>
        <v>B</v>
      </c>
      <c r="E578" s="202" t="str">
        <f ca="1">IFERROR(__xludf.DUMMYFUNCTION("""COMPUTED_VALUE"""),"F")</f>
        <v>F</v>
      </c>
      <c r="F578" s="202" t="str">
        <f ca="1">IFERROR(__xludf.DUMMYFUNCTION("""COMPUTED_VALUE"""),"J")</f>
        <v>J</v>
      </c>
      <c r="G578" s="202">
        <f ca="1">IFERROR(__xludf.DUMMYFUNCTION("""COMPUTED_VALUE"""),2)</f>
        <v>2</v>
      </c>
      <c r="H578" s="206"/>
      <c r="I578" s="206"/>
      <c r="J578" s="206"/>
      <c r="K578" s="206"/>
      <c r="L578" s="206" t="str">
        <v/>
      </c>
      <c r="M578" s="206" t="str">
        <v/>
      </c>
    </row>
    <row r="579" spans="1:13" ht="14.4">
      <c r="A579" s="199" t="str">
        <f ca="1">IFERROR(__xludf.DUMMYFUNCTION("""COMPUTED_VALUE"""),"F")</f>
        <v>F</v>
      </c>
      <c r="B579" s="207" t="str">
        <f ca="1">IFERROR(__xludf.DUMMYFUNCTION("""COMPUTED_VALUE"""),"Trey McIntosh")</f>
        <v>Trey McIntosh</v>
      </c>
      <c r="C579" s="199">
        <f ca="1">IFERROR(__xludf.DUMMYFUNCTION("""COMPUTED_VALUE"""),8)</f>
        <v>8</v>
      </c>
      <c r="D579" s="199" t="str">
        <f ca="1">IFERROR(__xludf.DUMMYFUNCTION("""COMPUTED_VALUE"""),"B")</f>
        <v>B</v>
      </c>
      <c r="E579" s="202" t="str">
        <f ca="1">IFERROR(__xludf.DUMMYFUNCTION("""COMPUTED_VALUE"""),"F")</f>
        <v>F</v>
      </c>
      <c r="F579" s="202" t="str">
        <f ca="1">IFERROR(__xludf.DUMMYFUNCTION("""COMPUTED_VALUE"""),"J")</f>
        <v>J</v>
      </c>
      <c r="G579" s="202">
        <f ca="1">IFERROR(__xludf.DUMMYFUNCTION("""COMPUTED_VALUE"""),2)</f>
        <v>2</v>
      </c>
      <c r="H579" s="206"/>
      <c r="I579" s="206">
        <v>50.1</v>
      </c>
      <c r="J579" s="206"/>
      <c r="K579" s="206" t="s">
        <v>121</v>
      </c>
      <c r="L579" s="206" t="str">
        <v xml:space="preserve"> 50.1</v>
      </c>
      <c r="M579" s="206" t="str">
        <v/>
      </c>
    </row>
    <row r="580" spans="1:13" ht="14.4">
      <c r="A580" s="199" t="str">
        <f ca="1">IFERROR(__xludf.DUMMYFUNCTION("""COMPUTED_VALUE"""),"F")</f>
        <v>F</v>
      </c>
      <c r="B580" s="207" t="str">
        <f ca="1">IFERROR(__xludf.DUMMYFUNCTION("""COMPUTED_VALUE"""),"Zachary Rodjom")</f>
        <v>Zachary Rodjom</v>
      </c>
      <c r="C580" s="199">
        <f ca="1">IFERROR(__xludf.DUMMYFUNCTION("""COMPUTED_VALUE"""),7)</f>
        <v>7</v>
      </c>
      <c r="D580" s="199" t="str">
        <f ca="1">IFERROR(__xludf.DUMMYFUNCTION("""COMPUTED_VALUE"""),"B")</f>
        <v>B</v>
      </c>
      <c r="E580" s="202" t="str">
        <f ca="1">IFERROR(__xludf.DUMMYFUNCTION("""COMPUTED_VALUE"""),"F")</f>
        <v>F</v>
      </c>
      <c r="F580" s="202" t="str">
        <f ca="1">IFERROR(__xludf.DUMMYFUNCTION("""COMPUTED_VALUE"""),"J")</f>
        <v>J</v>
      </c>
      <c r="G580" s="202">
        <f ca="1">IFERROR(__xludf.DUMMYFUNCTION("""COMPUTED_VALUE"""),2)</f>
        <v>2</v>
      </c>
      <c r="H580" s="206"/>
      <c r="I580" s="206"/>
      <c r="J580" s="206"/>
      <c r="K580" s="206"/>
      <c r="L580" s="206" t="str">
        <v/>
      </c>
      <c r="M580" s="206" t="str">
        <v/>
      </c>
    </row>
    <row r="581" spans="1:13" ht="14.4">
      <c r="A581" s="199" t="str">
        <f ca="1">IFERROR(__xludf.DUMMYFUNCTION("""COMPUTED_VALUE"""),"F")</f>
        <v>F</v>
      </c>
      <c r="B581" s="207" t="str">
        <f ca="1">IFERROR(__xludf.DUMMYFUNCTION("""COMPUTED_VALUE"""),"Zade Garbia")</f>
        <v>Zade Garbia</v>
      </c>
      <c r="C581" s="199">
        <f ca="1">IFERROR(__xludf.DUMMYFUNCTION("""COMPUTED_VALUE"""),8)</f>
        <v>8</v>
      </c>
      <c r="D581" s="199" t="str">
        <f ca="1">IFERROR(__xludf.DUMMYFUNCTION("""COMPUTED_VALUE"""),"B")</f>
        <v>B</v>
      </c>
      <c r="E581" s="202" t="str">
        <f ca="1">IFERROR(__xludf.DUMMYFUNCTION("""COMPUTED_VALUE"""),"F")</f>
        <v>F</v>
      </c>
      <c r="F581" s="202" t="str">
        <f ca="1">IFERROR(__xludf.DUMMYFUNCTION("""COMPUTED_VALUE"""),"J")</f>
        <v>J</v>
      </c>
      <c r="G581" s="202">
        <f ca="1">IFERROR(__xludf.DUMMYFUNCTION("""COMPUTED_VALUE"""),2)</f>
        <v>2</v>
      </c>
      <c r="H581" s="206"/>
      <c r="I581" s="206"/>
      <c r="J581" s="206"/>
      <c r="K581" s="206"/>
      <c r="L581" s="206" t="str">
        <v/>
      </c>
      <c r="M581" s="206" t="str">
        <v/>
      </c>
    </row>
    <row r="582" spans="1:13" ht="14.4">
      <c r="A582" s="199" t="str">
        <f ca="1">IFERROR(__xludf.DUMMYFUNCTION("""COMPUTED_VALUE"""),"F")</f>
        <v>F</v>
      </c>
      <c r="B582" s="207" t="str">
        <f ca="1">IFERROR(__xludf.DUMMYFUNCTION("""COMPUTED_VALUE"""),"Abbie Colwill")</f>
        <v>Abbie Colwill</v>
      </c>
      <c r="C582" s="199">
        <f ca="1">IFERROR(__xludf.DUMMYFUNCTION("""COMPUTED_VALUE"""),9)</f>
        <v>9</v>
      </c>
      <c r="D582" s="199" t="str">
        <f ca="1">IFERROR(__xludf.DUMMYFUNCTION("""COMPUTED_VALUE"""),"G")</f>
        <v>G</v>
      </c>
      <c r="E582" s="202" t="str">
        <f ca="1">IFERROR(__xludf.DUMMYFUNCTION("""COMPUTED_VALUE"""),"F")</f>
        <v>F</v>
      </c>
      <c r="F582" s="202" t="str">
        <f ca="1">IFERROR(__xludf.DUMMYFUNCTION("""COMPUTED_VALUE"""),"J")</f>
        <v>J</v>
      </c>
      <c r="G582" s="202">
        <f ca="1">IFERROR(__xludf.DUMMYFUNCTION("""COMPUTED_VALUE"""),2)</f>
        <v>2</v>
      </c>
      <c r="H582" s="208">
        <v>29.6</v>
      </c>
      <c r="I582" s="208"/>
      <c r="J582" s="208" t="s">
        <v>121</v>
      </c>
      <c r="K582" s="208"/>
      <c r="L582" s="208" t="str">
        <v xml:space="preserve"> 29.6</v>
      </c>
      <c r="M582" s="208" t="str">
        <v/>
      </c>
    </row>
    <row r="583" spans="1:13" ht="14.4">
      <c r="A583" s="199" t="str">
        <f ca="1">IFERROR(__xludf.DUMMYFUNCTION("""COMPUTED_VALUE"""),"F")</f>
        <v>F</v>
      </c>
      <c r="B583" s="207" t="str">
        <f ca="1">IFERROR(__xludf.DUMMYFUNCTION("""COMPUTED_VALUE"""),"Carleigh Devlin")</f>
        <v>Carleigh Devlin</v>
      </c>
      <c r="C583" s="199">
        <f ca="1">IFERROR(__xludf.DUMMYFUNCTION("""COMPUTED_VALUE"""),10)</f>
        <v>10</v>
      </c>
      <c r="D583" s="199" t="str">
        <f ca="1">IFERROR(__xludf.DUMMYFUNCTION("""COMPUTED_VALUE"""),"G")</f>
        <v>G</v>
      </c>
      <c r="E583" s="202" t="str">
        <f ca="1">IFERROR(__xludf.DUMMYFUNCTION("""COMPUTED_VALUE"""),"F")</f>
        <v>F</v>
      </c>
      <c r="F583" s="202" t="str">
        <f ca="1">IFERROR(__xludf.DUMMYFUNCTION("""COMPUTED_VALUE"""),"J")</f>
        <v>J</v>
      </c>
      <c r="G583" s="202">
        <f ca="1">IFERROR(__xludf.DUMMYFUNCTION("""COMPUTED_VALUE"""),2)</f>
        <v>2</v>
      </c>
      <c r="H583" s="208">
        <v>53.7</v>
      </c>
      <c r="I583" s="208"/>
      <c r="J583" s="208" t="s">
        <v>121</v>
      </c>
      <c r="K583" s="208"/>
      <c r="L583" s="208" t="str">
        <v xml:space="preserve"> 53.7</v>
      </c>
      <c r="M583" s="208" t="str">
        <v/>
      </c>
    </row>
    <row r="584" spans="1:13" ht="14.4">
      <c r="A584" s="199" t="str">
        <f ca="1">IFERROR(__xludf.DUMMYFUNCTION("""COMPUTED_VALUE"""),"F")</f>
        <v>F</v>
      </c>
      <c r="B584" s="207" t="str">
        <f ca="1">IFERROR(__xludf.DUMMYFUNCTION("""COMPUTED_VALUE"""),"Delaney Fructuoso")</f>
        <v>Delaney Fructuoso</v>
      </c>
      <c r="C584" s="199">
        <f ca="1">IFERROR(__xludf.DUMMYFUNCTION("""COMPUTED_VALUE"""),10)</f>
        <v>10</v>
      </c>
      <c r="D584" s="199" t="str">
        <f ca="1">IFERROR(__xludf.DUMMYFUNCTION("""COMPUTED_VALUE"""),"G")</f>
        <v>G</v>
      </c>
      <c r="E584" s="202" t="str">
        <f ca="1">IFERROR(__xludf.DUMMYFUNCTION("""COMPUTED_VALUE"""),"F")</f>
        <v>F</v>
      </c>
      <c r="F584" s="202" t="str">
        <f ca="1">IFERROR(__xludf.DUMMYFUNCTION("""COMPUTED_VALUE"""),"J")</f>
        <v>J</v>
      </c>
      <c r="G584" s="202">
        <f ca="1">IFERROR(__xludf.DUMMYFUNCTION("""COMPUTED_VALUE"""),2)</f>
        <v>2</v>
      </c>
      <c r="H584" s="206"/>
      <c r="I584" s="206"/>
      <c r="J584" s="206"/>
      <c r="K584" s="206"/>
      <c r="L584" s="206" t="str">
        <v/>
      </c>
      <c r="M584" s="206" t="str">
        <v/>
      </c>
    </row>
    <row r="585" spans="1:13" ht="14.4">
      <c r="A585" s="199" t="str">
        <f ca="1">IFERROR(__xludf.DUMMYFUNCTION("""COMPUTED_VALUE"""),"F")</f>
        <v>F</v>
      </c>
      <c r="B585" s="207" t="str">
        <f ca="1">IFERROR(__xludf.DUMMYFUNCTION("""COMPUTED_VALUE"""),"Emily Rodjom")</f>
        <v>Emily Rodjom</v>
      </c>
      <c r="C585" s="199">
        <f ca="1">IFERROR(__xludf.DUMMYFUNCTION("""COMPUTED_VALUE"""),10)</f>
        <v>10</v>
      </c>
      <c r="D585" s="199" t="str">
        <f ca="1">IFERROR(__xludf.DUMMYFUNCTION("""COMPUTED_VALUE"""),"G")</f>
        <v>G</v>
      </c>
      <c r="E585" s="202" t="str">
        <f ca="1">IFERROR(__xludf.DUMMYFUNCTION("""COMPUTED_VALUE"""),"F")</f>
        <v>F</v>
      </c>
      <c r="F585" s="202" t="str">
        <f ca="1">IFERROR(__xludf.DUMMYFUNCTION("""COMPUTED_VALUE"""),"J")</f>
        <v>J</v>
      </c>
      <c r="G585" s="202">
        <f ca="1">IFERROR(__xludf.DUMMYFUNCTION("""COMPUTED_VALUE"""),2)</f>
        <v>2</v>
      </c>
      <c r="H585" s="206"/>
      <c r="I585" s="206"/>
      <c r="J585" s="206"/>
      <c r="K585" s="206"/>
      <c r="L585" s="206" t="str">
        <v/>
      </c>
      <c r="M585" s="206" t="str">
        <v/>
      </c>
    </row>
    <row r="586" spans="1:13" ht="14.4">
      <c r="A586" s="199" t="str">
        <f ca="1">IFERROR(__xludf.DUMMYFUNCTION("""COMPUTED_VALUE"""),"F")</f>
        <v>F</v>
      </c>
      <c r="B586" s="207" t="str">
        <f ca="1">IFERROR(__xludf.DUMMYFUNCTION("""COMPUTED_VALUE"""),"Farah Stark")</f>
        <v>Farah Stark</v>
      </c>
      <c r="C586" s="199">
        <f ca="1">IFERROR(__xludf.DUMMYFUNCTION("""COMPUTED_VALUE"""),7)</f>
        <v>7</v>
      </c>
      <c r="D586" s="199" t="str">
        <f ca="1">IFERROR(__xludf.DUMMYFUNCTION("""COMPUTED_VALUE"""),"G")</f>
        <v>G</v>
      </c>
      <c r="E586" s="202" t="str">
        <f ca="1">IFERROR(__xludf.DUMMYFUNCTION("""COMPUTED_VALUE"""),"F")</f>
        <v>F</v>
      </c>
      <c r="F586" s="202" t="str">
        <f ca="1">IFERROR(__xludf.DUMMYFUNCTION("""COMPUTED_VALUE"""),"J")</f>
        <v>J</v>
      </c>
      <c r="G586" s="202">
        <f ca="1">IFERROR(__xludf.DUMMYFUNCTION("""COMPUTED_VALUE"""),2)</f>
        <v>2</v>
      </c>
      <c r="H586" s="208"/>
      <c r="I586" s="208"/>
      <c r="J586" s="208"/>
      <c r="K586" s="208"/>
      <c r="L586" s="208" t="str">
        <v/>
      </c>
      <c r="M586" s="208" t="str">
        <v/>
      </c>
    </row>
    <row r="587" spans="1:13" ht="14.4">
      <c r="A587" s="199" t="str">
        <f ca="1">IFERROR(__xludf.DUMMYFUNCTION("""COMPUTED_VALUE"""),"F")</f>
        <v>F</v>
      </c>
      <c r="B587" s="207" t="str">
        <f ca="1">IFERROR(__xludf.DUMMYFUNCTION("""COMPUTED_VALUE"""),"Lily Carpenter")</f>
        <v>Lily Carpenter</v>
      </c>
      <c r="C587" s="199">
        <f ca="1">IFERROR(__xludf.DUMMYFUNCTION("""COMPUTED_VALUE"""),8)</f>
        <v>8</v>
      </c>
      <c r="D587" s="199" t="str">
        <f ca="1">IFERROR(__xludf.DUMMYFUNCTION("""COMPUTED_VALUE"""),"G")</f>
        <v>G</v>
      </c>
      <c r="E587" s="202" t="str">
        <f ca="1">IFERROR(__xludf.DUMMYFUNCTION("""COMPUTED_VALUE"""),"F")</f>
        <v>F</v>
      </c>
      <c r="F587" s="202" t="str">
        <f ca="1">IFERROR(__xludf.DUMMYFUNCTION("""COMPUTED_VALUE"""),"J")</f>
        <v>J</v>
      </c>
      <c r="G587" s="202">
        <f ca="1">IFERROR(__xludf.DUMMYFUNCTION("""COMPUTED_VALUE"""),2)</f>
        <v>2</v>
      </c>
      <c r="H587" s="208">
        <v>48.25</v>
      </c>
      <c r="I587" s="208"/>
      <c r="J587" s="208" t="s">
        <v>121</v>
      </c>
      <c r="K587" s="208"/>
      <c r="L587" s="208" t="str">
        <v xml:space="preserve"> 48.25</v>
      </c>
      <c r="M587" s="208" t="str">
        <v/>
      </c>
    </row>
    <row r="588" spans="1:13" ht="14.4">
      <c r="A588" s="199" t="str">
        <f ca="1">IFERROR(__xludf.DUMMYFUNCTION("""COMPUTED_VALUE"""),"F")</f>
        <v>F</v>
      </c>
      <c r="B588" s="207" t="str">
        <f ca="1">IFERROR(__xludf.DUMMYFUNCTION("""COMPUTED_VALUE"""),"Maddie Laccone")</f>
        <v>Maddie Laccone</v>
      </c>
      <c r="C588" s="199">
        <f ca="1">IFERROR(__xludf.DUMMYFUNCTION("""COMPUTED_VALUE"""),9)</f>
        <v>9</v>
      </c>
      <c r="D588" s="199" t="str">
        <f ca="1">IFERROR(__xludf.DUMMYFUNCTION("""COMPUTED_VALUE"""),"G")</f>
        <v>G</v>
      </c>
      <c r="E588" s="202" t="str">
        <f ca="1">IFERROR(__xludf.DUMMYFUNCTION("""COMPUTED_VALUE"""),"F")</f>
        <v>F</v>
      </c>
      <c r="F588" s="202" t="str">
        <f ca="1">IFERROR(__xludf.DUMMYFUNCTION("""COMPUTED_VALUE"""),"J")</f>
        <v>J</v>
      </c>
      <c r="G588" s="202">
        <f ca="1">IFERROR(__xludf.DUMMYFUNCTION("""COMPUTED_VALUE"""),2)</f>
        <v>2</v>
      </c>
      <c r="H588" s="208"/>
      <c r="I588" s="208"/>
      <c r="J588" s="208"/>
      <c r="K588" s="208"/>
      <c r="L588" s="208" t="str">
        <v/>
      </c>
      <c r="M588" s="208" t="str">
        <v/>
      </c>
    </row>
    <row r="589" spans="1:13" ht="14.4">
      <c r="A589" s="199" t="str">
        <f ca="1">IFERROR(__xludf.DUMMYFUNCTION("""COMPUTED_VALUE"""),"F")</f>
        <v>F</v>
      </c>
      <c r="B589" s="207" t="str">
        <f ca="1">IFERROR(__xludf.DUMMYFUNCTION("""COMPUTED_VALUE"""),"Makayla Barnes")</f>
        <v>Makayla Barnes</v>
      </c>
      <c r="C589" s="199">
        <f ca="1">IFERROR(__xludf.DUMMYFUNCTION("""COMPUTED_VALUE"""),8)</f>
        <v>8</v>
      </c>
      <c r="D589" s="199" t="str">
        <f ca="1">IFERROR(__xludf.DUMMYFUNCTION("""COMPUTED_VALUE"""),"G")</f>
        <v>G</v>
      </c>
      <c r="E589" s="202" t="str">
        <f ca="1">IFERROR(__xludf.DUMMYFUNCTION("""COMPUTED_VALUE"""),"F")</f>
        <v>F</v>
      </c>
      <c r="F589" s="202" t="str">
        <f ca="1">IFERROR(__xludf.DUMMYFUNCTION("""COMPUTED_VALUE"""),"J")</f>
        <v>J</v>
      </c>
      <c r="G589" s="202">
        <f ca="1">IFERROR(__xludf.DUMMYFUNCTION("""COMPUTED_VALUE"""),2)</f>
        <v>2</v>
      </c>
      <c r="H589" s="208"/>
      <c r="I589" s="208"/>
      <c r="J589" s="208"/>
      <c r="K589" s="208"/>
      <c r="L589" s="208" t="str">
        <v/>
      </c>
      <c r="M589" s="208" t="str">
        <v/>
      </c>
    </row>
    <row r="590" spans="1:13" ht="14.4">
      <c r="A590" s="199" t="str">
        <f ca="1">IFERROR(__xludf.DUMMYFUNCTION("""COMPUTED_VALUE"""),"F")</f>
        <v>F</v>
      </c>
      <c r="B590" s="207" t="str">
        <f ca="1">IFERROR(__xludf.DUMMYFUNCTION("""COMPUTED_VALUE"""),"Marisa Rodjom")</f>
        <v>Marisa Rodjom</v>
      </c>
      <c r="C590" s="199">
        <f ca="1">IFERROR(__xludf.DUMMYFUNCTION("""COMPUTED_VALUE"""),10)</f>
        <v>10</v>
      </c>
      <c r="D590" s="199" t="str">
        <f ca="1">IFERROR(__xludf.DUMMYFUNCTION("""COMPUTED_VALUE"""),"G")</f>
        <v>G</v>
      </c>
      <c r="E590" s="202" t="str">
        <f ca="1">IFERROR(__xludf.DUMMYFUNCTION("""COMPUTED_VALUE"""),"F")</f>
        <v>F</v>
      </c>
      <c r="F590" s="202" t="str">
        <f ca="1">IFERROR(__xludf.DUMMYFUNCTION("""COMPUTED_VALUE"""),"J")</f>
        <v>J</v>
      </c>
      <c r="G590" s="202">
        <f ca="1">IFERROR(__xludf.DUMMYFUNCTION("""COMPUTED_VALUE"""),2)</f>
        <v>2</v>
      </c>
      <c r="H590" s="208"/>
      <c r="I590" s="208"/>
      <c r="J590" s="208"/>
      <c r="K590" s="208"/>
      <c r="L590" s="208" t="str">
        <v/>
      </c>
      <c r="M590" s="208" t="str">
        <v/>
      </c>
    </row>
    <row r="591" spans="1:13" ht="14.4">
      <c r="A591" s="199" t="str">
        <f ca="1">IFERROR(__xludf.DUMMYFUNCTION("""COMPUTED_VALUE"""),"F")</f>
        <v>F</v>
      </c>
      <c r="B591" s="207" t="str">
        <f ca="1">IFERROR(__xludf.DUMMYFUNCTION("""COMPUTED_VALUE"""),"Nya Lowery")</f>
        <v>Nya Lowery</v>
      </c>
      <c r="C591" s="199">
        <f ca="1">IFERROR(__xludf.DUMMYFUNCTION("""COMPUTED_VALUE"""),10)</f>
        <v>10</v>
      </c>
      <c r="D591" s="199" t="str">
        <f ca="1">IFERROR(__xludf.DUMMYFUNCTION("""COMPUTED_VALUE"""),"G")</f>
        <v>G</v>
      </c>
      <c r="E591" s="202" t="str">
        <f ca="1">IFERROR(__xludf.DUMMYFUNCTION("""COMPUTED_VALUE"""),"F")</f>
        <v>F</v>
      </c>
      <c r="F591" s="202" t="str">
        <f ca="1">IFERROR(__xludf.DUMMYFUNCTION("""COMPUTED_VALUE"""),"J")</f>
        <v>J</v>
      </c>
      <c r="G591" s="202">
        <f ca="1">IFERROR(__xludf.DUMMYFUNCTION("""COMPUTED_VALUE"""),2)</f>
        <v>2</v>
      </c>
      <c r="H591" s="206"/>
      <c r="I591" s="206"/>
      <c r="J591" s="206"/>
      <c r="K591" s="206"/>
      <c r="L591" s="206" t="str">
        <v/>
      </c>
      <c r="M591" s="206" t="str">
        <v/>
      </c>
    </row>
    <row r="592" spans="1:13" ht="14.4">
      <c r="A592" s="199" t="str">
        <f ca="1">IFERROR(__xludf.DUMMYFUNCTION("""COMPUTED_VALUE"""),"F")</f>
        <v>F</v>
      </c>
      <c r="B592" s="207" t="str">
        <f ca="1">IFERROR(__xludf.DUMMYFUNCTION("""COMPUTED_VALUE"""),"Riya Doshi")</f>
        <v>Riya Doshi</v>
      </c>
      <c r="C592" s="199">
        <f ca="1">IFERROR(__xludf.DUMMYFUNCTION("""COMPUTED_VALUE"""),9)</f>
        <v>9</v>
      </c>
      <c r="D592" s="199" t="str">
        <f ca="1">IFERROR(__xludf.DUMMYFUNCTION("""COMPUTED_VALUE"""),"G")</f>
        <v>G</v>
      </c>
      <c r="E592" s="202" t="str">
        <f ca="1">IFERROR(__xludf.DUMMYFUNCTION("""COMPUTED_VALUE"""),"F")</f>
        <v>F</v>
      </c>
      <c r="F592" s="202" t="str">
        <f ca="1">IFERROR(__xludf.DUMMYFUNCTION("""COMPUTED_VALUE"""),"J")</f>
        <v>J</v>
      </c>
      <c r="G592" s="202">
        <f ca="1">IFERROR(__xludf.DUMMYFUNCTION("""COMPUTED_VALUE"""),2)</f>
        <v>2</v>
      </c>
      <c r="H592" s="206"/>
      <c r="I592" s="206"/>
      <c r="J592" s="206"/>
      <c r="K592" s="206"/>
      <c r="L592" s="206" t="str">
        <v/>
      </c>
      <c r="M592" s="206" t="str">
        <v/>
      </c>
    </row>
    <row r="593" spans="1:13" ht="14.4">
      <c r="A593" s="199" t="str">
        <f ca="1">IFERROR(__xludf.DUMMYFUNCTION("""COMPUTED_VALUE"""),"F")</f>
        <v>F</v>
      </c>
      <c r="B593" s="207" t="str">
        <f ca="1">IFERROR(__xludf.DUMMYFUNCTION("""COMPUTED_VALUE"""),"Mikey Stechl")</f>
        <v>Mikey Stechl</v>
      </c>
      <c r="C593" s="199">
        <f ca="1">IFERROR(__xludf.DUMMYFUNCTION("""COMPUTED_VALUE"""),13)</f>
        <v>13</v>
      </c>
      <c r="D593" s="199" t="str">
        <f ca="1">IFERROR(__xludf.DUMMYFUNCTION("""COMPUTED_VALUE"""),"B")</f>
        <v>B</v>
      </c>
      <c r="E593" s="202" t="str">
        <f ca="1">IFERROR(__xludf.DUMMYFUNCTION("""COMPUTED_VALUE"""),"I")</f>
        <v>I</v>
      </c>
      <c r="F593" s="202" t="str">
        <f ca="1">IFERROR(__xludf.DUMMYFUNCTION("""COMPUTED_VALUE"""),"S")</f>
        <v>S</v>
      </c>
      <c r="G593" s="202">
        <f ca="1">IFERROR(__xludf.DUMMYFUNCTION("""COMPUTED_VALUE"""),2)</f>
        <v>2</v>
      </c>
      <c r="H593" s="206"/>
      <c r="I593" s="206">
        <v>102.9</v>
      </c>
      <c r="J593" s="206"/>
      <c r="K593" s="206" t="s">
        <v>121</v>
      </c>
      <c r="L593" s="206" t="str">
        <v xml:space="preserve"> 102.9</v>
      </c>
      <c r="M593" s="206" t="str">
        <v/>
      </c>
    </row>
    <row r="594" spans="1:13" ht="14.4">
      <c r="A594" s="199" t="str">
        <f ca="1">IFERROR(__xludf.DUMMYFUNCTION("""COMPUTED_VALUE"""),"F")</f>
        <v>F</v>
      </c>
      <c r="B594" s="207" t="str">
        <f ca="1">IFERROR(__xludf.DUMMYFUNCTION("""COMPUTED_VALUE"""),"Wade Winslow")</f>
        <v>Wade Winslow</v>
      </c>
      <c r="C594" s="199">
        <f ca="1">IFERROR(__xludf.DUMMYFUNCTION("""COMPUTED_VALUE"""),13)</f>
        <v>13</v>
      </c>
      <c r="D594" s="199" t="str">
        <f ca="1">IFERROR(__xludf.DUMMYFUNCTION("""COMPUTED_VALUE"""),"B")</f>
        <v>B</v>
      </c>
      <c r="E594" s="202" t="str">
        <f ca="1">IFERROR(__xludf.DUMMYFUNCTION("""COMPUTED_VALUE"""),"I")</f>
        <v>I</v>
      </c>
      <c r="F594" s="202" t="str">
        <f ca="1">IFERROR(__xludf.DUMMYFUNCTION("""COMPUTED_VALUE"""),"S")</f>
        <v>S</v>
      </c>
      <c r="G594" s="202">
        <f ca="1">IFERROR(__xludf.DUMMYFUNCTION("""COMPUTED_VALUE"""),2)</f>
        <v>2</v>
      </c>
      <c r="H594" s="206"/>
      <c r="I594" s="206">
        <v>103.5</v>
      </c>
      <c r="J594" s="206"/>
      <c r="K594" s="206" t="s">
        <v>121</v>
      </c>
      <c r="L594" s="206" t="str">
        <v xml:space="preserve"> 103.5</v>
      </c>
      <c r="M594" s="206" t="str">
        <v/>
      </c>
    </row>
    <row r="595" spans="1:13" ht="14.4">
      <c r="A595" s="199" t="str">
        <f ca="1">IFERROR(__xludf.DUMMYFUNCTION("""COMPUTED_VALUE"""),"F")</f>
        <v>F</v>
      </c>
      <c r="B595" s="207" t="str">
        <f ca="1">IFERROR(__xludf.DUMMYFUNCTION("""COMPUTED_VALUE"""),"Alexa Haynie")</f>
        <v>Alexa Haynie</v>
      </c>
      <c r="C595" s="199">
        <f ca="1">IFERROR(__xludf.DUMMYFUNCTION("""COMPUTED_VALUE"""),14)</f>
        <v>14</v>
      </c>
      <c r="D595" s="199" t="str">
        <f ca="1">IFERROR(__xludf.DUMMYFUNCTION("""COMPUTED_VALUE"""),"G")</f>
        <v>G</v>
      </c>
      <c r="E595" s="202" t="str">
        <f ca="1">IFERROR(__xludf.DUMMYFUNCTION("""COMPUTED_VALUE"""),"I")</f>
        <v>I</v>
      </c>
      <c r="F595" s="202" t="str">
        <f ca="1">IFERROR(__xludf.DUMMYFUNCTION("""COMPUTED_VALUE"""),"S")</f>
        <v>S</v>
      </c>
      <c r="G595" s="202">
        <f ca="1">IFERROR(__xludf.DUMMYFUNCTION("""COMPUTED_VALUE"""),2)</f>
        <v>2</v>
      </c>
      <c r="H595" s="208">
        <v>108.65</v>
      </c>
      <c r="I595" s="208"/>
      <c r="J595" s="208" t="s">
        <v>121</v>
      </c>
      <c r="K595" s="208"/>
      <c r="L595" s="208" t="str">
        <v xml:space="preserve"> 108.65</v>
      </c>
      <c r="M595" s="208" t="str">
        <v/>
      </c>
    </row>
    <row r="596" spans="1:13" ht="14.4">
      <c r="A596" s="199" t="str">
        <f ca="1">IFERROR(__xludf.DUMMYFUNCTION("""COMPUTED_VALUE"""),"F")</f>
        <v>F</v>
      </c>
      <c r="B596" s="207" t="str">
        <f ca="1">IFERROR(__xludf.DUMMYFUNCTION("""COMPUTED_VALUE"""),"Eve McLaury")</f>
        <v>Eve McLaury</v>
      </c>
      <c r="C596" s="199">
        <f ca="1">IFERROR(__xludf.DUMMYFUNCTION("""COMPUTED_VALUE"""),14)</f>
        <v>14</v>
      </c>
      <c r="D596" s="199" t="str">
        <f ca="1">IFERROR(__xludf.DUMMYFUNCTION("""COMPUTED_VALUE"""),"G")</f>
        <v>G</v>
      </c>
      <c r="E596" s="202" t="str">
        <f ca="1">IFERROR(__xludf.DUMMYFUNCTION("""COMPUTED_VALUE"""),"I")</f>
        <v>I</v>
      </c>
      <c r="F596" s="202" t="str">
        <f ca="1">IFERROR(__xludf.DUMMYFUNCTION("""COMPUTED_VALUE"""),"S")</f>
        <v>S</v>
      </c>
      <c r="G596" s="202">
        <f ca="1">IFERROR(__xludf.DUMMYFUNCTION("""COMPUTED_VALUE"""),2)</f>
        <v>2</v>
      </c>
      <c r="H596" s="208">
        <v>107.4</v>
      </c>
      <c r="I596" s="208"/>
      <c r="J596" s="208" t="s">
        <v>121</v>
      </c>
      <c r="K596" s="208"/>
      <c r="L596" s="208" t="str">
        <v xml:space="preserve"> 107.4</v>
      </c>
      <c r="M596" s="208" t="str">
        <v/>
      </c>
    </row>
    <row r="597" spans="1:13" ht="14.4">
      <c r="A597" s="199" t="str">
        <f ca="1">IFERROR(__xludf.DUMMYFUNCTION("""COMPUTED_VALUE"""),"F")</f>
        <v>F</v>
      </c>
      <c r="B597" s="207" t="str">
        <f ca="1">IFERROR(__xludf.DUMMYFUNCTION("""COMPUTED_VALUE"""),"Fiona Rice")</f>
        <v>Fiona Rice</v>
      </c>
      <c r="C597" s="199">
        <f ca="1">IFERROR(__xludf.DUMMYFUNCTION("""COMPUTED_VALUE"""),13)</f>
        <v>13</v>
      </c>
      <c r="D597" s="199" t="str">
        <f ca="1">IFERROR(__xludf.DUMMYFUNCTION("""COMPUTED_VALUE"""),"G")</f>
        <v>G</v>
      </c>
      <c r="E597" s="202" t="str">
        <f ca="1">IFERROR(__xludf.DUMMYFUNCTION("""COMPUTED_VALUE"""),"I")</f>
        <v>I</v>
      </c>
      <c r="F597" s="202" t="str">
        <f ca="1">IFERROR(__xludf.DUMMYFUNCTION("""COMPUTED_VALUE"""),"S")</f>
        <v>S</v>
      </c>
      <c r="G597" s="202">
        <f ca="1">IFERROR(__xludf.DUMMYFUNCTION("""COMPUTED_VALUE"""),2)</f>
        <v>2</v>
      </c>
      <c r="H597" s="208"/>
      <c r="I597" s="208"/>
      <c r="J597" s="208"/>
      <c r="K597" s="208"/>
      <c r="L597" s="208" t="str">
        <v/>
      </c>
      <c r="M597" s="208" t="str">
        <v/>
      </c>
    </row>
    <row r="598" spans="1:13" ht="14.4">
      <c r="A598" s="199" t="str">
        <f ca="1">IFERROR(__xludf.DUMMYFUNCTION("""COMPUTED_VALUE"""),"F")</f>
        <v>F</v>
      </c>
      <c r="B598" s="207" t="str">
        <f ca="1">IFERROR(__xludf.DUMMYFUNCTION("""COMPUTED_VALUE"""),"Holly Bailey")</f>
        <v>Holly Bailey</v>
      </c>
      <c r="C598" s="199">
        <f ca="1">IFERROR(__xludf.DUMMYFUNCTION("""COMPUTED_VALUE"""),13)</f>
        <v>13</v>
      </c>
      <c r="D598" s="199" t="str">
        <f ca="1">IFERROR(__xludf.DUMMYFUNCTION("""COMPUTED_VALUE"""),"G")</f>
        <v>G</v>
      </c>
      <c r="E598" s="202" t="str">
        <f ca="1">IFERROR(__xludf.DUMMYFUNCTION("""COMPUTED_VALUE"""),"I")</f>
        <v>I</v>
      </c>
      <c r="F598" s="202" t="str">
        <f ca="1">IFERROR(__xludf.DUMMYFUNCTION("""COMPUTED_VALUE"""),"S")</f>
        <v>S</v>
      </c>
      <c r="G598" s="202">
        <f ca="1">IFERROR(__xludf.DUMMYFUNCTION("""COMPUTED_VALUE"""),2)</f>
        <v>2</v>
      </c>
      <c r="H598" s="206"/>
      <c r="I598" s="206"/>
      <c r="J598" s="206"/>
      <c r="K598" s="206"/>
      <c r="L598" s="206" t="str">
        <v/>
      </c>
      <c r="M598" s="206" t="str">
        <v/>
      </c>
    </row>
    <row r="599" spans="1:13" ht="14.4">
      <c r="A599" s="199" t="str">
        <f ca="1">IFERROR(__xludf.DUMMYFUNCTION("""COMPUTED_VALUE"""),"F")</f>
        <v>F</v>
      </c>
      <c r="B599" s="207" t="str">
        <f ca="1">IFERROR(__xludf.DUMMYFUNCTION("""COMPUTED_VALUE"""),"Kamryn Kaye")</f>
        <v>Kamryn Kaye</v>
      </c>
      <c r="C599" s="199">
        <f ca="1">IFERROR(__xludf.DUMMYFUNCTION("""COMPUTED_VALUE"""),14)</f>
        <v>14</v>
      </c>
      <c r="D599" s="199" t="str">
        <f ca="1">IFERROR(__xludf.DUMMYFUNCTION("""COMPUTED_VALUE"""),"G")</f>
        <v>G</v>
      </c>
      <c r="E599" s="202" t="str">
        <f ca="1">IFERROR(__xludf.DUMMYFUNCTION("""COMPUTED_VALUE"""),"I")</f>
        <v>I</v>
      </c>
      <c r="F599" s="202" t="str">
        <f ca="1">IFERROR(__xludf.DUMMYFUNCTION("""COMPUTED_VALUE"""),"S")</f>
        <v>S</v>
      </c>
      <c r="G599" s="202">
        <f ca="1">IFERROR(__xludf.DUMMYFUNCTION("""COMPUTED_VALUE"""),2)</f>
        <v>2</v>
      </c>
      <c r="H599" s="208">
        <v>105.3</v>
      </c>
      <c r="I599" s="208"/>
      <c r="J599" s="208" t="s">
        <v>121</v>
      </c>
      <c r="K599" s="208"/>
      <c r="L599" s="208" t="str">
        <v xml:space="preserve"> 105.3</v>
      </c>
      <c r="M599" s="208" t="str">
        <v/>
      </c>
    </row>
    <row r="600" spans="1:13" ht="14.4">
      <c r="A600" s="199" t="str">
        <f ca="1">IFERROR(__xludf.DUMMYFUNCTION("""COMPUTED_VALUE"""),"F")</f>
        <v>F</v>
      </c>
      <c r="B600" s="207" t="str">
        <f ca="1">IFERROR(__xludf.DUMMYFUNCTION("""COMPUTED_VALUE"""),"Katie Wilson")</f>
        <v>Katie Wilson</v>
      </c>
      <c r="C600" s="199">
        <f ca="1">IFERROR(__xludf.DUMMYFUNCTION("""COMPUTED_VALUE"""),13)</f>
        <v>13</v>
      </c>
      <c r="D600" s="199" t="str">
        <f ca="1">IFERROR(__xludf.DUMMYFUNCTION("""COMPUTED_VALUE"""),"G")</f>
        <v>G</v>
      </c>
      <c r="E600" s="202" t="str">
        <f ca="1">IFERROR(__xludf.DUMMYFUNCTION("""COMPUTED_VALUE"""),"I")</f>
        <v>I</v>
      </c>
      <c r="F600" s="202" t="str">
        <f ca="1">IFERROR(__xludf.DUMMYFUNCTION("""COMPUTED_VALUE"""),"S")</f>
        <v>S</v>
      </c>
      <c r="G600" s="202">
        <f ca="1">IFERROR(__xludf.DUMMYFUNCTION("""COMPUTED_VALUE"""),2)</f>
        <v>2</v>
      </c>
      <c r="H600" s="208">
        <v>94.8</v>
      </c>
      <c r="I600" s="208"/>
      <c r="J600" s="208" t="s">
        <v>121</v>
      </c>
      <c r="K600" s="208"/>
      <c r="L600" s="208" t="str">
        <v xml:space="preserve"> 94.8</v>
      </c>
      <c r="M600" s="208" t="str">
        <v/>
      </c>
    </row>
    <row r="601" spans="1:13" ht="14.4">
      <c r="A601" s="199" t="str">
        <f ca="1">IFERROR(__xludf.DUMMYFUNCTION("""COMPUTED_VALUE"""),"F")</f>
        <v>F</v>
      </c>
      <c r="B601" s="207" t="str">
        <f ca="1">IFERROR(__xludf.DUMMYFUNCTION("""COMPUTED_VALUE"""),"Keri Hough")</f>
        <v>Keri Hough</v>
      </c>
      <c r="C601" s="199">
        <f ca="1">IFERROR(__xludf.DUMMYFUNCTION("""COMPUTED_VALUE"""),13)</f>
        <v>13</v>
      </c>
      <c r="D601" s="199" t="str">
        <f ca="1">IFERROR(__xludf.DUMMYFUNCTION("""COMPUTED_VALUE"""),"G")</f>
        <v>G</v>
      </c>
      <c r="E601" s="202" t="str">
        <f ca="1">IFERROR(__xludf.DUMMYFUNCTION("""COMPUTED_VALUE"""),"I")</f>
        <v>I</v>
      </c>
      <c r="F601" s="202" t="str">
        <f ca="1">IFERROR(__xludf.DUMMYFUNCTION("""COMPUTED_VALUE"""),"S")</f>
        <v>S</v>
      </c>
      <c r="G601" s="202">
        <f ca="1">IFERROR(__xludf.DUMMYFUNCTION("""COMPUTED_VALUE"""),2)</f>
        <v>2</v>
      </c>
      <c r="H601" s="206">
        <v>123.95</v>
      </c>
      <c r="I601" s="206"/>
      <c r="J601" s="206" t="s">
        <v>121</v>
      </c>
      <c r="K601" s="206"/>
      <c r="L601" s="206" t="str">
        <v xml:space="preserve"> 123.95</v>
      </c>
      <c r="M601" s="206" t="str">
        <v/>
      </c>
    </row>
    <row r="602" spans="1:13" ht="14.4">
      <c r="A602" s="199" t="str">
        <f ca="1">IFERROR(__xludf.DUMMYFUNCTION("""COMPUTED_VALUE"""),"F")</f>
        <v>F</v>
      </c>
      <c r="B602" s="207" t="str">
        <f ca="1">IFERROR(__xludf.DUMMYFUNCTION("""COMPUTED_VALUE"""),"Maddie Devlin")</f>
        <v>Maddie Devlin</v>
      </c>
      <c r="C602" s="199">
        <f ca="1">IFERROR(__xludf.DUMMYFUNCTION("""COMPUTED_VALUE"""),14)</f>
        <v>14</v>
      </c>
      <c r="D602" s="199" t="str">
        <f ca="1">IFERROR(__xludf.DUMMYFUNCTION("""COMPUTED_VALUE"""),"G")</f>
        <v>G</v>
      </c>
      <c r="E602" s="202" t="str">
        <f ca="1">IFERROR(__xludf.DUMMYFUNCTION("""COMPUTED_VALUE"""),"I")</f>
        <v>I</v>
      </c>
      <c r="F602" s="202" t="str">
        <f ca="1">IFERROR(__xludf.DUMMYFUNCTION("""COMPUTED_VALUE"""),"S")</f>
        <v>S</v>
      </c>
      <c r="G602" s="202">
        <f ca="1">IFERROR(__xludf.DUMMYFUNCTION("""COMPUTED_VALUE"""),2)</f>
        <v>2</v>
      </c>
      <c r="H602" s="206">
        <v>103.9</v>
      </c>
      <c r="I602" s="206"/>
      <c r="J602" s="206" t="s">
        <v>121</v>
      </c>
      <c r="K602" s="206"/>
      <c r="L602" s="206" t="str">
        <v xml:space="preserve"> 103.9</v>
      </c>
      <c r="M602" s="206" t="str">
        <v/>
      </c>
    </row>
    <row r="603" spans="1:13" ht="14.4">
      <c r="A603" s="199" t="str">
        <f ca="1">IFERROR(__xludf.DUMMYFUNCTION("""COMPUTED_VALUE"""),"F")</f>
        <v>F</v>
      </c>
      <c r="B603" s="207" t="str">
        <f ca="1">IFERROR(__xludf.DUMMYFUNCTION("""COMPUTED_VALUE"""),"Nesrine Harrache")</f>
        <v>Nesrine Harrache</v>
      </c>
      <c r="C603" s="199">
        <f ca="1">IFERROR(__xludf.DUMMYFUNCTION("""COMPUTED_VALUE"""),13)</f>
        <v>13</v>
      </c>
      <c r="D603" s="199" t="str">
        <f ca="1">IFERROR(__xludf.DUMMYFUNCTION("""COMPUTED_VALUE"""),"G")</f>
        <v>G</v>
      </c>
      <c r="E603" s="202" t="str">
        <f ca="1">IFERROR(__xludf.DUMMYFUNCTION("""COMPUTED_VALUE"""),"I")</f>
        <v>I</v>
      </c>
      <c r="F603" s="202" t="str">
        <f ca="1">IFERROR(__xludf.DUMMYFUNCTION("""COMPUTED_VALUE"""),"S")</f>
        <v>S</v>
      </c>
      <c r="G603" s="202">
        <f ca="1">IFERROR(__xludf.DUMMYFUNCTION("""COMPUTED_VALUE"""),2)</f>
        <v>2</v>
      </c>
      <c r="H603" s="208"/>
      <c r="I603" s="208"/>
      <c r="J603" s="208"/>
      <c r="K603" s="208"/>
      <c r="L603" s="208" t="str">
        <v/>
      </c>
      <c r="M603" s="208" t="str">
        <v/>
      </c>
    </row>
    <row r="604" spans="1:13" ht="14.4">
      <c r="A604" s="199" t="str">
        <f ca="1">IFERROR(__xludf.DUMMYFUNCTION("""COMPUTED_VALUE"""),"F")</f>
        <v>F</v>
      </c>
      <c r="B604" s="207" t="str">
        <f ca="1">IFERROR(__xludf.DUMMYFUNCTION("""COMPUTED_VALUE"""),"Adam Harchich")</f>
        <v>Adam Harchich</v>
      </c>
      <c r="C604" s="199">
        <f ca="1">IFERROR(__xludf.DUMMYFUNCTION("""COMPUTED_VALUE"""),12)</f>
        <v>12</v>
      </c>
      <c r="D604" s="199" t="str">
        <f ca="1">IFERROR(__xludf.DUMMYFUNCTION("""COMPUTED_VALUE"""),"B")</f>
        <v>B</v>
      </c>
      <c r="E604" s="202" t="str">
        <f ca="1">IFERROR(__xludf.DUMMYFUNCTION("""COMPUTED_VALUE"""),"J")</f>
        <v>J</v>
      </c>
      <c r="F604" s="202" t="str">
        <f ca="1">IFERROR(__xludf.DUMMYFUNCTION("""COMPUTED_VALUE"""),"I")</f>
        <v>I</v>
      </c>
      <c r="G604" s="202">
        <f ca="1">IFERROR(__xludf.DUMMYFUNCTION("""COMPUTED_VALUE"""),2)</f>
        <v>2</v>
      </c>
      <c r="H604" s="208"/>
      <c r="I604" s="208"/>
      <c r="J604" s="208"/>
      <c r="K604" s="208"/>
      <c r="L604" s="208" t="str">
        <v/>
      </c>
      <c r="M604" s="208" t="str">
        <v/>
      </c>
    </row>
    <row r="605" spans="1:13" ht="14.4">
      <c r="A605" s="199" t="str">
        <f ca="1">IFERROR(__xludf.DUMMYFUNCTION("""COMPUTED_VALUE"""),"F")</f>
        <v>F</v>
      </c>
      <c r="B605" s="207" t="str">
        <f ca="1">IFERROR(__xludf.DUMMYFUNCTION("""COMPUTED_VALUE"""),"Elzat Parhat")</f>
        <v>Elzat Parhat</v>
      </c>
      <c r="C605" s="199">
        <f ca="1">IFERROR(__xludf.DUMMYFUNCTION("""COMPUTED_VALUE"""),12)</f>
        <v>12</v>
      </c>
      <c r="D605" s="199" t="str">
        <f ca="1">IFERROR(__xludf.DUMMYFUNCTION("""COMPUTED_VALUE"""),"B")</f>
        <v>B</v>
      </c>
      <c r="E605" s="202" t="str">
        <f ca="1">IFERROR(__xludf.DUMMYFUNCTION("""COMPUTED_VALUE"""),"J")</f>
        <v>J</v>
      </c>
      <c r="F605" s="202" t="str">
        <f ca="1">IFERROR(__xludf.DUMMYFUNCTION("""COMPUTED_VALUE"""),"I")</f>
        <v>I</v>
      </c>
      <c r="G605" s="202">
        <f ca="1">IFERROR(__xludf.DUMMYFUNCTION("""COMPUTED_VALUE"""),2)</f>
        <v>2</v>
      </c>
      <c r="H605" s="208"/>
      <c r="I605" s="208"/>
      <c r="J605" s="208"/>
      <c r="K605" s="208"/>
      <c r="L605" s="208" t="str">
        <v/>
      </c>
      <c r="M605" s="208" t="str">
        <v/>
      </c>
    </row>
    <row r="606" spans="1:13" ht="14.4">
      <c r="A606" s="199" t="str">
        <f ca="1">IFERROR(__xludf.DUMMYFUNCTION("""COMPUTED_VALUE"""),"F")</f>
        <v>F</v>
      </c>
      <c r="B606" s="207" t="str">
        <f ca="1">IFERROR(__xludf.DUMMYFUNCTION("""COMPUTED_VALUE"""),"Ethan Hough")</f>
        <v>Ethan Hough</v>
      </c>
      <c r="C606" s="199">
        <f ca="1">IFERROR(__xludf.DUMMYFUNCTION("""COMPUTED_VALUE"""),11)</f>
        <v>11</v>
      </c>
      <c r="D606" s="199" t="str">
        <f ca="1">IFERROR(__xludf.DUMMYFUNCTION("""COMPUTED_VALUE"""),"B")</f>
        <v>B</v>
      </c>
      <c r="E606" s="202" t="str">
        <f ca="1">IFERROR(__xludf.DUMMYFUNCTION("""COMPUTED_VALUE"""),"J")</f>
        <v>J</v>
      </c>
      <c r="F606" s="202" t="str">
        <f ca="1">IFERROR(__xludf.DUMMYFUNCTION("""COMPUTED_VALUE"""),"I")</f>
        <v>I</v>
      </c>
      <c r="G606" s="202">
        <f ca="1">IFERROR(__xludf.DUMMYFUNCTION("""COMPUTED_VALUE"""),2)</f>
        <v>2</v>
      </c>
      <c r="H606" s="206"/>
      <c r="I606" s="206">
        <v>72.3</v>
      </c>
      <c r="J606" s="206"/>
      <c r="K606" s="206" t="s">
        <v>121</v>
      </c>
      <c r="L606" s="206" t="str">
        <v xml:space="preserve"> 72.3</v>
      </c>
      <c r="M606" s="206" t="str">
        <v/>
      </c>
    </row>
    <row r="607" spans="1:13" ht="14.4">
      <c r="A607" s="199" t="str">
        <f ca="1">IFERROR(__xludf.DUMMYFUNCTION("""COMPUTED_VALUE"""),"F")</f>
        <v>F</v>
      </c>
      <c r="B607" s="207" t="str">
        <f ca="1">IFERROR(__xludf.DUMMYFUNCTION("""COMPUTED_VALUE"""),"Noah Laccone")</f>
        <v>Noah Laccone</v>
      </c>
      <c r="C607" s="199">
        <f ca="1">IFERROR(__xludf.DUMMYFUNCTION("""COMPUTED_VALUE"""),11)</f>
        <v>11</v>
      </c>
      <c r="D607" s="199" t="str">
        <f ca="1">IFERROR(__xludf.DUMMYFUNCTION("""COMPUTED_VALUE"""),"B")</f>
        <v>B</v>
      </c>
      <c r="E607" s="202" t="str">
        <f ca="1">IFERROR(__xludf.DUMMYFUNCTION("""COMPUTED_VALUE"""),"J")</f>
        <v>J</v>
      </c>
      <c r="F607" s="202" t="str">
        <f ca="1">IFERROR(__xludf.DUMMYFUNCTION("""COMPUTED_VALUE"""),"I")</f>
        <v>I</v>
      </c>
      <c r="G607" s="202">
        <f ca="1">IFERROR(__xludf.DUMMYFUNCTION("""COMPUTED_VALUE"""),2)</f>
        <v>2</v>
      </c>
      <c r="H607" s="206"/>
      <c r="I607" s="206">
        <v>82.1</v>
      </c>
      <c r="J607" s="206"/>
      <c r="K607" s="206" t="s">
        <v>121</v>
      </c>
      <c r="L607" s="206" t="str">
        <v xml:space="preserve"> 82.1</v>
      </c>
      <c r="M607" s="206" t="str">
        <v/>
      </c>
    </row>
    <row r="608" spans="1:13" ht="14.4">
      <c r="A608" s="199" t="str">
        <f ca="1">IFERROR(__xludf.DUMMYFUNCTION("""COMPUTED_VALUE"""),"F")</f>
        <v>F</v>
      </c>
      <c r="B608" s="207" t="str">
        <f ca="1">IFERROR(__xludf.DUMMYFUNCTION("""COMPUTED_VALUE"""),"Oliver Cory")</f>
        <v>Oliver Cory</v>
      </c>
      <c r="C608" s="199">
        <f ca="1">IFERROR(__xludf.DUMMYFUNCTION("""COMPUTED_VALUE"""),11)</f>
        <v>11</v>
      </c>
      <c r="D608" s="199" t="str">
        <f ca="1">IFERROR(__xludf.DUMMYFUNCTION("""COMPUTED_VALUE"""),"B")</f>
        <v>B</v>
      </c>
      <c r="E608" s="202" t="str">
        <f ca="1">IFERROR(__xludf.DUMMYFUNCTION("""COMPUTED_VALUE"""),"J")</f>
        <v>J</v>
      </c>
      <c r="F608" s="202" t="str">
        <f ca="1">IFERROR(__xludf.DUMMYFUNCTION("""COMPUTED_VALUE"""),"I")</f>
        <v>I</v>
      </c>
      <c r="G608" s="202">
        <f ca="1">IFERROR(__xludf.DUMMYFUNCTION("""COMPUTED_VALUE"""),2)</f>
        <v>2</v>
      </c>
      <c r="H608" s="208"/>
      <c r="I608" s="208"/>
      <c r="J608" s="208"/>
      <c r="K608" s="208"/>
      <c r="L608" s="208" t="str">
        <v/>
      </c>
      <c r="M608" s="208" t="str">
        <v/>
      </c>
    </row>
    <row r="609" spans="1:13" ht="14.4">
      <c r="A609" s="199" t="str">
        <f ca="1">IFERROR(__xludf.DUMMYFUNCTION("""COMPUTED_VALUE"""),"F")</f>
        <v>F</v>
      </c>
      <c r="B609" s="207" t="str">
        <f ca="1">IFERROR(__xludf.DUMMYFUNCTION("""COMPUTED_VALUE"""),"Sung Joo Kim")</f>
        <v>Sung Joo Kim</v>
      </c>
      <c r="C609" s="199">
        <f ca="1">IFERROR(__xludf.DUMMYFUNCTION("""COMPUTED_VALUE"""),12)</f>
        <v>12</v>
      </c>
      <c r="D609" s="199" t="str">
        <f ca="1">IFERROR(__xludf.DUMMYFUNCTION("""COMPUTED_VALUE"""),"B")</f>
        <v>B</v>
      </c>
      <c r="E609" s="202" t="str">
        <f ca="1">IFERROR(__xludf.DUMMYFUNCTION("""COMPUTED_VALUE"""),"J")</f>
        <v>J</v>
      </c>
      <c r="F609" s="202" t="str">
        <f ca="1">IFERROR(__xludf.DUMMYFUNCTION("""COMPUTED_VALUE"""),"I")</f>
        <v>I</v>
      </c>
      <c r="G609" s="202">
        <f ca="1">IFERROR(__xludf.DUMMYFUNCTION("""COMPUTED_VALUE"""),2)</f>
        <v>2</v>
      </c>
      <c r="H609" s="208"/>
      <c r="I609" s="208"/>
      <c r="J609" s="208"/>
      <c r="K609" s="208"/>
      <c r="L609" s="208" t="str">
        <v/>
      </c>
      <c r="M609" s="208" t="str">
        <v/>
      </c>
    </row>
    <row r="610" spans="1:13" ht="14.4">
      <c r="A610" s="199" t="str">
        <f ca="1">IFERROR(__xludf.DUMMYFUNCTION("""COMPUTED_VALUE"""),"F")</f>
        <v>F</v>
      </c>
      <c r="B610" s="207" t="str">
        <f ca="1">IFERROR(__xludf.DUMMYFUNCTION("""COMPUTED_VALUE"""),"Wes Heard")</f>
        <v>Wes Heard</v>
      </c>
      <c r="C610" s="199">
        <f ca="1">IFERROR(__xludf.DUMMYFUNCTION("""COMPUTED_VALUE"""),11)</f>
        <v>11</v>
      </c>
      <c r="D610" s="199" t="str">
        <f ca="1">IFERROR(__xludf.DUMMYFUNCTION("""COMPUTED_VALUE"""),"B")</f>
        <v>B</v>
      </c>
      <c r="E610" s="202" t="str">
        <f ca="1">IFERROR(__xludf.DUMMYFUNCTION("""COMPUTED_VALUE"""),"J")</f>
        <v>J</v>
      </c>
      <c r="F610" s="202" t="str">
        <f ca="1">IFERROR(__xludf.DUMMYFUNCTION("""COMPUTED_VALUE"""),"I")</f>
        <v>I</v>
      </c>
      <c r="G610" s="202">
        <f ca="1">IFERROR(__xludf.DUMMYFUNCTION("""COMPUTED_VALUE"""),2)</f>
        <v>2</v>
      </c>
      <c r="H610" s="208"/>
      <c r="I610" s="208"/>
      <c r="J610" s="208"/>
      <c r="K610" s="208"/>
      <c r="L610" s="208" t="str">
        <v/>
      </c>
      <c r="M610" s="208" t="str">
        <v/>
      </c>
    </row>
    <row r="611" spans="1:13" ht="14.4">
      <c r="A611" s="199" t="str">
        <f ca="1">IFERROR(__xludf.DUMMYFUNCTION("""COMPUTED_VALUE"""),"F")</f>
        <v>F</v>
      </c>
      <c r="B611" s="207" t="str">
        <f ca="1">IFERROR(__xludf.DUMMYFUNCTION("""COMPUTED_VALUE"""),"Anna Bailey")</f>
        <v>Anna Bailey</v>
      </c>
      <c r="C611" s="199">
        <f ca="1">IFERROR(__xludf.DUMMYFUNCTION("""COMPUTED_VALUE"""),11)</f>
        <v>11</v>
      </c>
      <c r="D611" s="199" t="str">
        <f ca="1">IFERROR(__xludf.DUMMYFUNCTION("""COMPUTED_VALUE"""),"G")</f>
        <v>G</v>
      </c>
      <c r="E611" s="202" t="str">
        <f ca="1">IFERROR(__xludf.DUMMYFUNCTION("""COMPUTED_VALUE"""),"J")</f>
        <v>J</v>
      </c>
      <c r="F611" s="202" t="str">
        <f ca="1">IFERROR(__xludf.DUMMYFUNCTION("""COMPUTED_VALUE"""),"I")</f>
        <v>I</v>
      </c>
      <c r="G611" s="202">
        <f ca="1">IFERROR(__xludf.DUMMYFUNCTION("""COMPUTED_VALUE"""),2)</f>
        <v>2</v>
      </c>
      <c r="H611" s="208"/>
      <c r="I611" s="208"/>
      <c r="J611" s="208"/>
      <c r="K611" s="208"/>
      <c r="L611" s="208" t="str">
        <v/>
      </c>
      <c r="M611" s="208" t="str">
        <v/>
      </c>
    </row>
    <row r="612" spans="1:13" ht="14.4">
      <c r="A612" s="199" t="str">
        <f ca="1">IFERROR(__xludf.DUMMYFUNCTION("""COMPUTED_VALUE"""),"F")</f>
        <v>F</v>
      </c>
      <c r="B612" s="207" t="str">
        <f ca="1">IFERROR(__xludf.DUMMYFUNCTION("""COMPUTED_VALUE"""),"Ashlyn Connor")</f>
        <v>Ashlyn Connor</v>
      </c>
      <c r="C612" s="199">
        <f ca="1">IFERROR(__xludf.DUMMYFUNCTION("""COMPUTED_VALUE"""),12)</f>
        <v>12</v>
      </c>
      <c r="D612" s="199" t="str">
        <f ca="1">IFERROR(__xludf.DUMMYFUNCTION("""COMPUTED_VALUE"""),"G")</f>
        <v>G</v>
      </c>
      <c r="E612" s="202" t="str">
        <f ca="1">IFERROR(__xludf.DUMMYFUNCTION("""COMPUTED_VALUE"""),"J")</f>
        <v>J</v>
      </c>
      <c r="F612" s="202" t="str">
        <f ca="1">IFERROR(__xludf.DUMMYFUNCTION("""COMPUTED_VALUE"""),"I")</f>
        <v>I</v>
      </c>
      <c r="G612" s="202">
        <f ca="1">IFERROR(__xludf.DUMMYFUNCTION("""COMPUTED_VALUE"""),2)</f>
        <v>2</v>
      </c>
      <c r="H612" s="206">
        <v>91.15</v>
      </c>
      <c r="I612" s="206"/>
      <c r="J612" s="206" t="s">
        <v>121</v>
      </c>
      <c r="K612" s="206"/>
      <c r="L612" s="206" t="str">
        <v xml:space="preserve"> 91.15</v>
      </c>
      <c r="M612" s="206" t="str">
        <v/>
      </c>
    </row>
    <row r="613" spans="1:13" ht="14.4">
      <c r="A613" s="199" t="str">
        <f ca="1">IFERROR(__xludf.DUMMYFUNCTION("""COMPUTED_VALUE"""),"F")</f>
        <v>F</v>
      </c>
      <c r="B613" s="207" t="str">
        <f ca="1">IFERROR(__xludf.DUMMYFUNCTION("""COMPUTED_VALUE"""),"Cally Codding")</f>
        <v>Cally Codding</v>
      </c>
      <c r="C613" s="199">
        <f ca="1">IFERROR(__xludf.DUMMYFUNCTION("""COMPUTED_VALUE"""),11)</f>
        <v>11</v>
      </c>
      <c r="D613" s="199" t="str">
        <f ca="1">IFERROR(__xludf.DUMMYFUNCTION("""COMPUTED_VALUE"""),"G")</f>
        <v>G</v>
      </c>
      <c r="E613" s="202" t="str">
        <f ca="1">IFERROR(__xludf.DUMMYFUNCTION("""COMPUTED_VALUE"""),"J")</f>
        <v>J</v>
      </c>
      <c r="F613" s="202" t="str">
        <f ca="1">IFERROR(__xludf.DUMMYFUNCTION("""COMPUTED_VALUE"""),"I")</f>
        <v>I</v>
      </c>
      <c r="G613" s="202">
        <f ca="1">IFERROR(__xludf.DUMMYFUNCTION("""COMPUTED_VALUE"""),2)</f>
        <v>2</v>
      </c>
      <c r="H613" s="208">
        <v>98.25</v>
      </c>
      <c r="I613" s="208"/>
      <c r="J613" s="208" t="s">
        <v>121</v>
      </c>
      <c r="K613" s="208"/>
      <c r="L613" s="208" t="str">
        <v xml:space="preserve"> 98.25</v>
      </c>
      <c r="M613" s="208" t="str">
        <v/>
      </c>
    </row>
    <row r="614" spans="1:13" ht="14.4">
      <c r="A614" s="199" t="str">
        <f ca="1">IFERROR(__xludf.DUMMYFUNCTION("""COMPUTED_VALUE"""),"F")</f>
        <v>F</v>
      </c>
      <c r="B614" s="207" t="str">
        <f ca="1">IFERROR(__xludf.DUMMYFUNCTION("""COMPUTED_VALUE"""),"Clara Bruner")</f>
        <v>Clara Bruner</v>
      </c>
      <c r="C614" s="199">
        <f ca="1">IFERROR(__xludf.DUMMYFUNCTION("""COMPUTED_VALUE"""),11)</f>
        <v>11</v>
      </c>
      <c r="D614" s="199" t="str">
        <f ca="1">IFERROR(__xludf.DUMMYFUNCTION("""COMPUTED_VALUE"""),"G")</f>
        <v>G</v>
      </c>
      <c r="E614" s="202" t="str">
        <f ca="1">IFERROR(__xludf.DUMMYFUNCTION("""COMPUTED_VALUE"""),"J")</f>
        <v>J</v>
      </c>
      <c r="F614" s="202" t="str">
        <f ca="1">IFERROR(__xludf.DUMMYFUNCTION("""COMPUTED_VALUE"""),"I")</f>
        <v>I</v>
      </c>
      <c r="G614" s="202">
        <f ca="1">IFERROR(__xludf.DUMMYFUNCTION("""COMPUTED_VALUE"""),2)</f>
        <v>2</v>
      </c>
      <c r="H614" s="208"/>
      <c r="I614" s="208"/>
      <c r="J614" s="208"/>
      <c r="K614" s="208"/>
      <c r="L614" s="208" t="str">
        <v/>
      </c>
      <c r="M614" s="208" t="str">
        <v/>
      </c>
    </row>
    <row r="615" spans="1:13" ht="14.4">
      <c r="A615" s="199" t="str">
        <f ca="1">IFERROR(__xludf.DUMMYFUNCTION("""COMPUTED_VALUE"""),"F")</f>
        <v>F</v>
      </c>
      <c r="B615" s="207" t="str">
        <f ca="1">IFERROR(__xludf.DUMMYFUNCTION("""COMPUTED_VALUE"""),"Eldana Parhat")</f>
        <v>Eldana Parhat</v>
      </c>
      <c r="C615" s="199">
        <f ca="1">IFERROR(__xludf.DUMMYFUNCTION("""COMPUTED_VALUE"""),12)</f>
        <v>12</v>
      </c>
      <c r="D615" s="199" t="str">
        <f ca="1">IFERROR(__xludf.DUMMYFUNCTION("""COMPUTED_VALUE"""),"G")</f>
        <v>G</v>
      </c>
      <c r="E615" s="202" t="str">
        <f ca="1">IFERROR(__xludf.DUMMYFUNCTION("""COMPUTED_VALUE"""),"J")</f>
        <v>J</v>
      </c>
      <c r="F615" s="202" t="str">
        <f ca="1">IFERROR(__xludf.DUMMYFUNCTION("""COMPUTED_VALUE"""),"I")</f>
        <v>I</v>
      </c>
      <c r="G615" s="202">
        <f ca="1">IFERROR(__xludf.DUMMYFUNCTION("""COMPUTED_VALUE"""),2)</f>
        <v>2</v>
      </c>
      <c r="H615" s="208"/>
      <c r="I615" s="208"/>
      <c r="J615" s="208"/>
      <c r="K615" s="208"/>
      <c r="L615" s="208" t="str">
        <v/>
      </c>
      <c r="M615" s="208" t="str">
        <v/>
      </c>
    </row>
    <row r="616" spans="1:13" ht="14.4">
      <c r="A616" s="199" t="str">
        <f ca="1">IFERROR(__xludf.DUMMYFUNCTION("""COMPUTED_VALUE"""),"F")</f>
        <v>F</v>
      </c>
      <c r="B616" s="207" t="str">
        <f ca="1">IFERROR(__xludf.DUMMYFUNCTION("""COMPUTED_VALUE"""),"Gabrielle Leesing")</f>
        <v>Gabrielle Leesing</v>
      </c>
      <c r="C616" s="199">
        <f ca="1">IFERROR(__xludf.DUMMYFUNCTION("""COMPUTED_VALUE"""),12)</f>
        <v>12</v>
      </c>
      <c r="D616" s="199" t="str">
        <f ca="1">IFERROR(__xludf.DUMMYFUNCTION("""COMPUTED_VALUE"""),"G")</f>
        <v>G</v>
      </c>
      <c r="E616" s="202" t="str">
        <f ca="1">IFERROR(__xludf.DUMMYFUNCTION("""COMPUTED_VALUE"""),"J")</f>
        <v>J</v>
      </c>
      <c r="F616" s="202" t="str">
        <f ca="1">IFERROR(__xludf.DUMMYFUNCTION("""COMPUTED_VALUE"""),"I")</f>
        <v>I</v>
      </c>
      <c r="G616" s="202">
        <f ca="1">IFERROR(__xludf.DUMMYFUNCTION("""COMPUTED_VALUE"""),2)</f>
        <v>2</v>
      </c>
      <c r="H616" s="208">
        <v>78.3</v>
      </c>
      <c r="I616" s="208"/>
      <c r="J616" s="208" t="s">
        <v>121</v>
      </c>
      <c r="K616" s="208"/>
      <c r="L616" s="208" t="str">
        <v xml:space="preserve"> 78.3</v>
      </c>
      <c r="M616" s="208" t="str">
        <v/>
      </c>
    </row>
    <row r="617" spans="1:13" ht="14.4">
      <c r="A617" s="199" t="str">
        <f ca="1">IFERROR(__xludf.DUMMYFUNCTION("""COMPUTED_VALUE"""),"F")</f>
        <v>F</v>
      </c>
      <c r="B617" s="207" t="str">
        <f ca="1">IFERROR(__xludf.DUMMYFUNCTION("""COMPUTED_VALUE"""),"Jackie Colwill")</f>
        <v>Jackie Colwill</v>
      </c>
      <c r="C617" s="199">
        <f ca="1">IFERROR(__xludf.DUMMYFUNCTION("""COMPUTED_VALUE"""),11)</f>
        <v>11</v>
      </c>
      <c r="D617" s="199" t="str">
        <f ca="1">IFERROR(__xludf.DUMMYFUNCTION("""COMPUTED_VALUE"""),"G")</f>
        <v>G</v>
      </c>
      <c r="E617" s="202" t="str">
        <f ca="1">IFERROR(__xludf.DUMMYFUNCTION("""COMPUTED_VALUE"""),"J")</f>
        <v>J</v>
      </c>
      <c r="F617" s="202" t="str">
        <f ca="1">IFERROR(__xludf.DUMMYFUNCTION("""COMPUTED_VALUE"""),"I")</f>
        <v>I</v>
      </c>
      <c r="G617" s="202">
        <f ca="1">IFERROR(__xludf.DUMMYFUNCTION("""COMPUTED_VALUE"""),2)</f>
        <v>2</v>
      </c>
      <c r="H617" s="208">
        <v>67.95</v>
      </c>
      <c r="I617" s="208"/>
      <c r="J617" s="208" t="s">
        <v>121</v>
      </c>
      <c r="K617" s="208"/>
      <c r="L617" s="208" t="str">
        <v xml:space="preserve"> 67.95</v>
      </c>
      <c r="M617" s="208" t="str">
        <v/>
      </c>
    </row>
    <row r="618" spans="1:13" ht="14.4">
      <c r="A618" s="199" t="str">
        <f ca="1">IFERROR(__xludf.DUMMYFUNCTION("""COMPUTED_VALUE"""),"F")</f>
        <v>F</v>
      </c>
      <c r="B618" s="207" t="str">
        <f ca="1">IFERROR(__xludf.DUMMYFUNCTION("""COMPUTED_VALUE"""),"Kayleigh McCarthy")</f>
        <v>Kayleigh McCarthy</v>
      </c>
      <c r="C618" s="199">
        <f ca="1">IFERROR(__xludf.DUMMYFUNCTION("""COMPUTED_VALUE"""),12)</f>
        <v>12</v>
      </c>
      <c r="D618" s="199" t="str">
        <f ca="1">IFERROR(__xludf.DUMMYFUNCTION("""COMPUTED_VALUE"""),"G")</f>
        <v>G</v>
      </c>
      <c r="E618" s="202" t="str">
        <f ca="1">IFERROR(__xludf.DUMMYFUNCTION("""COMPUTED_VALUE"""),"J")</f>
        <v>J</v>
      </c>
      <c r="F618" s="202" t="str">
        <f ca="1">IFERROR(__xludf.DUMMYFUNCTION("""COMPUTED_VALUE"""),"I")</f>
        <v>I</v>
      </c>
      <c r="G618" s="202">
        <f ca="1">IFERROR(__xludf.DUMMYFUNCTION("""COMPUTED_VALUE"""),2)</f>
        <v>2</v>
      </c>
      <c r="H618" s="206">
        <v>85</v>
      </c>
      <c r="I618" s="206"/>
      <c r="J618" s="206" t="s">
        <v>121</v>
      </c>
      <c r="K618" s="206"/>
      <c r="L618" s="206" t="str">
        <v xml:space="preserve"> 85</v>
      </c>
      <c r="M618" s="206" t="str">
        <v/>
      </c>
    </row>
    <row r="619" spans="1:13" ht="14.4">
      <c r="A619" s="199" t="str">
        <f ca="1">IFERROR(__xludf.DUMMYFUNCTION("""COMPUTED_VALUE"""),"F")</f>
        <v>F</v>
      </c>
      <c r="B619" s="207" t="str">
        <f ca="1">IFERROR(__xludf.DUMMYFUNCTION("""COMPUTED_VALUE"""),"Lyla Devlin")</f>
        <v>Lyla Devlin</v>
      </c>
      <c r="C619" s="199">
        <f ca="1">IFERROR(__xludf.DUMMYFUNCTION("""COMPUTED_VALUE"""),12)</f>
        <v>12</v>
      </c>
      <c r="D619" s="199" t="str">
        <f ca="1">IFERROR(__xludf.DUMMYFUNCTION("""COMPUTED_VALUE"""),"G")</f>
        <v>G</v>
      </c>
      <c r="E619" s="202" t="str">
        <f ca="1">IFERROR(__xludf.DUMMYFUNCTION("""COMPUTED_VALUE"""),"J")</f>
        <v>J</v>
      </c>
      <c r="F619" s="202" t="str">
        <f ca="1">IFERROR(__xludf.DUMMYFUNCTION("""COMPUTED_VALUE"""),"I")</f>
        <v>I</v>
      </c>
      <c r="G619" s="202">
        <f ca="1">IFERROR(__xludf.DUMMYFUNCTION("""COMPUTED_VALUE"""),2)</f>
        <v>2</v>
      </c>
      <c r="H619" s="208">
        <v>78.05</v>
      </c>
      <c r="I619" s="208"/>
      <c r="J619" s="208" t="s">
        <v>121</v>
      </c>
      <c r="K619" s="208"/>
      <c r="L619" s="208" t="str">
        <v xml:space="preserve"> 78.05</v>
      </c>
      <c r="M619" s="208" t="str">
        <v/>
      </c>
    </row>
    <row r="620" spans="1:13" ht="14.4">
      <c r="A620" s="199" t="str">
        <f ca="1">IFERROR(__xludf.DUMMYFUNCTION("""COMPUTED_VALUE"""),"F")</f>
        <v>F</v>
      </c>
      <c r="B620" s="207" t="str">
        <f ca="1">IFERROR(__xludf.DUMMYFUNCTION("""COMPUTED_VALUE"""),"Mo Winslow")</f>
        <v>Mo Winslow</v>
      </c>
      <c r="C620" s="199">
        <f ca="1">IFERROR(__xludf.DUMMYFUNCTION("""COMPUTED_VALUE"""),12)</f>
        <v>12</v>
      </c>
      <c r="D620" s="199" t="str">
        <f ca="1">IFERROR(__xludf.DUMMYFUNCTION("""COMPUTED_VALUE"""),"G")</f>
        <v>G</v>
      </c>
      <c r="E620" s="202" t="str">
        <f ca="1">IFERROR(__xludf.DUMMYFUNCTION("""COMPUTED_VALUE"""),"J")</f>
        <v>J</v>
      </c>
      <c r="F620" s="202" t="str">
        <f ca="1">IFERROR(__xludf.DUMMYFUNCTION("""COMPUTED_VALUE"""),"I")</f>
        <v>I</v>
      </c>
      <c r="G620" s="202">
        <f ca="1">IFERROR(__xludf.DUMMYFUNCTION("""COMPUTED_VALUE"""),2)</f>
        <v>2</v>
      </c>
      <c r="H620" s="206"/>
      <c r="I620" s="206"/>
      <c r="J620" s="206"/>
      <c r="K620" s="206"/>
      <c r="L620" s="206" t="str">
        <v/>
      </c>
      <c r="M620" s="206" t="str">
        <v/>
      </c>
    </row>
    <row r="621" spans="1:13" ht="14.4">
      <c r="A621" s="199" t="str">
        <f ca="1">IFERROR(__xludf.DUMMYFUNCTION("""COMPUTED_VALUE"""),"F")</f>
        <v>F</v>
      </c>
      <c r="B621" s="207" t="str">
        <f ca="1">IFERROR(__xludf.DUMMYFUNCTION("""COMPUTED_VALUE"""),"Nyla Doshi")</f>
        <v>Nyla Doshi</v>
      </c>
      <c r="C621" s="199">
        <f ca="1">IFERROR(__xludf.DUMMYFUNCTION("""COMPUTED_VALUE"""),11)</f>
        <v>11</v>
      </c>
      <c r="D621" s="199" t="str">
        <f ca="1">IFERROR(__xludf.DUMMYFUNCTION("""COMPUTED_VALUE"""),"G")</f>
        <v>G</v>
      </c>
      <c r="E621" s="202" t="str">
        <f ca="1">IFERROR(__xludf.DUMMYFUNCTION("""COMPUTED_VALUE"""),"J")</f>
        <v>J</v>
      </c>
      <c r="F621" s="202" t="str">
        <f ca="1">IFERROR(__xludf.DUMMYFUNCTION("""COMPUTED_VALUE"""),"I")</f>
        <v>I</v>
      </c>
      <c r="G621" s="202">
        <f ca="1">IFERROR(__xludf.DUMMYFUNCTION("""COMPUTED_VALUE"""),2)</f>
        <v>2</v>
      </c>
      <c r="H621" s="206"/>
      <c r="I621" s="206"/>
      <c r="J621" s="206"/>
      <c r="K621" s="206"/>
      <c r="L621" s="206" t="str">
        <v/>
      </c>
      <c r="M621" s="206" t="str">
        <v/>
      </c>
    </row>
    <row r="622" spans="1:13" ht="14.4">
      <c r="A622" s="199" t="str">
        <f ca="1">IFERROR(__xludf.DUMMYFUNCTION("""COMPUTED_VALUE"""),"F")</f>
        <v>F</v>
      </c>
      <c r="B622" s="207" t="str">
        <f ca="1">IFERROR(__xludf.DUMMYFUNCTION("""COMPUTED_VALUE"""),"Olivia Ho")</f>
        <v>Olivia Ho</v>
      </c>
      <c r="C622" s="199">
        <f ca="1">IFERROR(__xludf.DUMMYFUNCTION("""COMPUTED_VALUE"""),11)</f>
        <v>11</v>
      </c>
      <c r="D622" s="199" t="str">
        <f ca="1">IFERROR(__xludf.DUMMYFUNCTION("""COMPUTED_VALUE"""),"G")</f>
        <v>G</v>
      </c>
      <c r="E622" s="202" t="str">
        <f ca="1">IFERROR(__xludf.DUMMYFUNCTION("""COMPUTED_VALUE"""),"J")</f>
        <v>J</v>
      </c>
      <c r="F622" s="202" t="str">
        <f ca="1">IFERROR(__xludf.DUMMYFUNCTION("""COMPUTED_VALUE"""),"I")</f>
        <v>I</v>
      </c>
      <c r="G622" s="202">
        <f ca="1">IFERROR(__xludf.DUMMYFUNCTION("""COMPUTED_VALUE"""),2)</f>
        <v>2</v>
      </c>
      <c r="H622" s="206"/>
      <c r="I622" s="206"/>
      <c r="J622" s="206"/>
      <c r="K622" s="206"/>
      <c r="L622" s="206" t="str">
        <v/>
      </c>
      <c r="M622" s="206" t="str">
        <v/>
      </c>
    </row>
    <row r="623" spans="1:13" ht="14.4">
      <c r="A623" s="199" t="str">
        <f ca="1">IFERROR(__xludf.DUMMYFUNCTION("""COMPUTED_VALUE"""),"F")</f>
        <v>F</v>
      </c>
      <c r="B623" s="207" t="str">
        <f ca="1">IFERROR(__xludf.DUMMYFUNCTION("""COMPUTED_VALUE"""),"Olivia Roca")</f>
        <v>Olivia Roca</v>
      </c>
      <c r="C623" s="199">
        <f ca="1">IFERROR(__xludf.DUMMYFUNCTION("""COMPUTED_VALUE"""),12)</f>
        <v>12</v>
      </c>
      <c r="D623" s="199" t="str">
        <f ca="1">IFERROR(__xludf.DUMMYFUNCTION("""COMPUTED_VALUE"""),"G")</f>
        <v>G</v>
      </c>
      <c r="E623" s="202" t="str">
        <f ca="1">IFERROR(__xludf.DUMMYFUNCTION("""COMPUTED_VALUE"""),"J")</f>
        <v>J</v>
      </c>
      <c r="F623" s="202" t="str">
        <f ca="1">IFERROR(__xludf.DUMMYFUNCTION("""COMPUTED_VALUE"""),"I")</f>
        <v>I</v>
      </c>
      <c r="G623" s="202">
        <f ca="1">IFERROR(__xludf.DUMMYFUNCTION("""COMPUTED_VALUE"""),2)</f>
        <v>2</v>
      </c>
      <c r="H623" s="208">
        <v>100.75</v>
      </c>
      <c r="I623" s="208"/>
      <c r="J623" s="208" t="s">
        <v>121</v>
      </c>
      <c r="K623" s="208"/>
      <c r="L623" s="208" t="str">
        <v xml:space="preserve"> 100.75</v>
      </c>
      <c r="M623" s="208" t="str">
        <v/>
      </c>
    </row>
    <row r="624" spans="1:13" ht="14.4">
      <c r="A624" s="199" t="str">
        <f ca="1">IFERROR(__xludf.DUMMYFUNCTION("""COMPUTED_VALUE"""),"F")</f>
        <v>F</v>
      </c>
      <c r="B624" s="207" t="str">
        <f ca="1">IFERROR(__xludf.DUMMYFUNCTION("""COMPUTED_VALUE"""),"Sadie Buckley")</f>
        <v>Sadie Buckley</v>
      </c>
      <c r="C624" s="199">
        <f ca="1">IFERROR(__xludf.DUMMYFUNCTION("""COMPUTED_VALUE"""),12)</f>
        <v>12</v>
      </c>
      <c r="D624" s="199" t="str">
        <f ca="1">IFERROR(__xludf.DUMMYFUNCTION("""COMPUTED_VALUE"""),"G")</f>
        <v>G</v>
      </c>
      <c r="E624" s="202" t="str">
        <f ca="1">IFERROR(__xludf.DUMMYFUNCTION("""COMPUTED_VALUE"""),"J")</f>
        <v>J</v>
      </c>
      <c r="F624" s="202" t="str">
        <f ca="1">IFERROR(__xludf.DUMMYFUNCTION("""COMPUTED_VALUE"""),"I")</f>
        <v>I</v>
      </c>
      <c r="G624" s="202">
        <f ca="1">IFERROR(__xludf.DUMMYFUNCTION("""COMPUTED_VALUE"""),2)</f>
        <v>2</v>
      </c>
      <c r="H624" s="208">
        <v>92.9</v>
      </c>
      <c r="I624" s="208"/>
      <c r="J624" s="208" t="s">
        <v>121</v>
      </c>
      <c r="K624" s="208"/>
      <c r="L624" s="208" t="str">
        <v xml:space="preserve"> 92.9</v>
      </c>
      <c r="M624" s="208" t="str">
        <v/>
      </c>
    </row>
    <row r="625" spans="1:13" ht="14.4">
      <c r="A625" s="199" t="str">
        <f ca="1">IFERROR(__xludf.DUMMYFUNCTION("""COMPUTED_VALUE"""),"F")</f>
        <v>F</v>
      </c>
      <c r="B625" s="207" t="str">
        <f ca="1">IFERROR(__xludf.DUMMYFUNCTION("""COMPUTED_VALUE"""),"Sophia Richmond")</f>
        <v>Sophia Richmond</v>
      </c>
      <c r="C625" s="199">
        <f ca="1">IFERROR(__xludf.DUMMYFUNCTION("""COMPUTED_VALUE"""),11)</f>
        <v>11</v>
      </c>
      <c r="D625" s="199" t="str">
        <f ca="1">IFERROR(__xludf.DUMMYFUNCTION("""COMPUTED_VALUE"""),"G")</f>
        <v>G</v>
      </c>
      <c r="E625" s="202" t="str">
        <f ca="1">IFERROR(__xludf.DUMMYFUNCTION("""COMPUTED_VALUE"""),"J")</f>
        <v>J</v>
      </c>
      <c r="F625" s="202" t="str">
        <f ca="1">IFERROR(__xludf.DUMMYFUNCTION("""COMPUTED_VALUE"""),"I")</f>
        <v>I</v>
      </c>
      <c r="G625" s="202">
        <f ca="1">IFERROR(__xludf.DUMMYFUNCTION("""COMPUTED_VALUE"""),2)</f>
        <v>2</v>
      </c>
      <c r="H625" s="208"/>
      <c r="I625" s="208"/>
      <c r="J625" s="208"/>
      <c r="K625" s="208"/>
      <c r="L625" s="208" t="str">
        <v/>
      </c>
      <c r="M625" s="208" t="str">
        <v/>
      </c>
    </row>
    <row r="626" spans="1:13" ht="14.4">
      <c r="A626" s="199" t="str">
        <f ca="1">IFERROR(__xludf.DUMMYFUNCTION("""COMPUTED_VALUE"""),"F")</f>
        <v>F</v>
      </c>
      <c r="B626" s="207" t="str">
        <f ca="1">IFERROR(__xludf.DUMMYFUNCTION("""COMPUTED_VALUE"""),"Sophia Vericker")</f>
        <v>Sophia Vericker</v>
      </c>
      <c r="C626" s="199">
        <f ca="1">IFERROR(__xludf.DUMMYFUNCTION("""COMPUTED_VALUE"""),11)</f>
        <v>11</v>
      </c>
      <c r="D626" s="199" t="str">
        <f ca="1">IFERROR(__xludf.DUMMYFUNCTION("""COMPUTED_VALUE"""),"G")</f>
        <v>G</v>
      </c>
      <c r="E626" s="202" t="str">
        <f ca="1">IFERROR(__xludf.DUMMYFUNCTION("""COMPUTED_VALUE"""),"J")</f>
        <v>J</v>
      </c>
      <c r="F626" s="202" t="str">
        <f ca="1">IFERROR(__xludf.DUMMYFUNCTION("""COMPUTED_VALUE"""),"I")</f>
        <v>I</v>
      </c>
      <c r="G626" s="202">
        <f ca="1">IFERROR(__xludf.DUMMYFUNCTION("""COMPUTED_VALUE"""),2)</f>
        <v>2</v>
      </c>
      <c r="H626" s="206"/>
      <c r="I626" s="206"/>
      <c r="J626" s="206"/>
      <c r="K626" s="206"/>
      <c r="L626" s="206" t="str">
        <v/>
      </c>
      <c r="M626" s="206" t="str">
        <v/>
      </c>
    </row>
    <row r="627" spans="1:13" ht="14.4">
      <c r="A627" s="199" t="str">
        <f ca="1">IFERROR(__xludf.DUMMYFUNCTION("""COMPUTED_VALUE"""),"F")</f>
        <v>F</v>
      </c>
      <c r="B627" s="207" t="str">
        <f ca="1">IFERROR(__xludf.DUMMYFUNCTION("""COMPUTED_VALUE"""),"Adam Crossin")</f>
        <v>Adam Crossin</v>
      </c>
      <c r="C627" s="199">
        <f ca="1">IFERROR(__xludf.DUMMYFUNCTION("""COMPUTED_VALUE"""),15)</f>
        <v>15</v>
      </c>
      <c r="D627" s="199" t="str">
        <f ca="1">IFERROR(__xludf.DUMMYFUNCTION("""COMPUTED_VALUE"""),"B")</f>
        <v>B</v>
      </c>
      <c r="E627" s="202" t="str">
        <f ca="1">IFERROR(__xludf.DUMMYFUNCTION("""COMPUTED_VALUE"""),"S")</f>
        <v>S</v>
      </c>
      <c r="F627" s="202" t="str">
        <f ca="1">IFERROR(__xludf.DUMMYFUNCTION("""COMPUTED_VALUE"""),"S")</f>
        <v>S</v>
      </c>
      <c r="G627" s="202">
        <f ca="1">IFERROR(__xludf.DUMMYFUNCTION("""COMPUTED_VALUE"""),2)</f>
        <v>2</v>
      </c>
      <c r="H627" s="208"/>
      <c r="I627" s="208"/>
      <c r="J627" s="208"/>
      <c r="K627" s="208"/>
      <c r="L627" s="208" t="str">
        <v/>
      </c>
      <c r="M627" s="208" t="str">
        <v/>
      </c>
    </row>
    <row r="628" spans="1:13" ht="14.4">
      <c r="A628" s="199" t="str">
        <f ca="1">IFERROR(__xludf.DUMMYFUNCTION("""COMPUTED_VALUE"""),"F")</f>
        <v>F</v>
      </c>
      <c r="B628" s="207" t="str">
        <f ca="1">IFERROR(__xludf.DUMMYFUNCTION("""COMPUTED_VALUE"""),"Christian Anderson")</f>
        <v>Christian Anderson</v>
      </c>
      <c r="C628" s="199">
        <f ca="1">IFERROR(__xludf.DUMMYFUNCTION("""COMPUTED_VALUE"""),16)</f>
        <v>16</v>
      </c>
      <c r="D628" s="199" t="str">
        <f ca="1">IFERROR(__xludf.DUMMYFUNCTION("""COMPUTED_VALUE"""),"B")</f>
        <v>B</v>
      </c>
      <c r="E628" s="202" t="str">
        <f ca="1">IFERROR(__xludf.DUMMYFUNCTION("""COMPUTED_VALUE"""),"S")</f>
        <v>S</v>
      </c>
      <c r="F628" s="202" t="str">
        <f ca="1">IFERROR(__xludf.DUMMYFUNCTION("""COMPUTED_VALUE"""),"S")</f>
        <v>S</v>
      </c>
      <c r="G628" s="202">
        <f ca="1">IFERROR(__xludf.DUMMYFUNCTION("""COMPUTED_VALUE"""),2)</f>
        <v>2</v>
      </c>
      <c r="H628" s="208"/>
      <c r="I628" s="208">
        <v>157.44999999999999</v>
      </c>
      <c r="J628" s="208"/>
      <c r="K628" s="208" t="s">
        <v>121</v>
      </c>
      <c r="L628" s="208" t="str">
        <v xml:space="preserve"> 157.45</v>
      </c>
      <c r="M628" s="208" t="str">
        <v/>
      </c>
    </row>
    <row r="629" spans="1:13" ht="14.4">
      <c r="A629" s="199" t="str">
        <f ca="1">IFERROR(__xludf.DUMMYFUNCTION("""COMPUTED_VALUE"""),"F")</f>
        <v>F</v>
      </c>
      <c r="B629" s="207" t="str">
        <f ca="1">IFERROR(__xludf.DUMMYFUNCTION("""COMPUTED_VALUE"""),"Jack McLaury")</f>
        <v>Jack McLaury</v>
      </c>
      <c r="C629" s="199">
        <f ca="1">IFERROR(__xludf.DUMMYFUNCTION("""COMPUTED_VALUE"""),16)</f>
        <v>16</v>
      </c>
      <c r="D629" s="199" t="str">
        <f ca="1">IFERROR(__xludf.DUMMYFUNCTION("""COMPUTED_VALUE"""),"B")</f>
        <v>B</v>
      </c>
      <c r="E629" s="202" t="str">
        <f ca="1">IFERROR(__xludf.DUMMYFUNCTION("""COMPUTED_VALUE"""),"S")</f>
        <v>S</v>
      </c>
      <c r="F629" s="202" t="str">
        <f ca="1">IFERROR(__xludf.DUMMYFUNCTION("""COMPUTED_VALUE"""),"S")</f>
        <v>S</v>
      </c>
      <c r="G629" s="202">
        <f ca="1">IFERROR(__xludf.DUMMYFUNCTION("""COMPUTED_VALUE"""),2)</f>
        <v>2</v>
      </c>
      <c r="H629" s="206"/>
      <c r="I629" s="206">
        <v>94.25</v>
      </c>
      <c r="J629" s="206"/>
      <c r="K629" s="206" t="s">
        <v>121</v>
      </c>
      <c r="L629" s="206" t="str">
        <v xml:space="preserve"> 94.25</v>
      </c>
      <c r="M629" s="206" t="str">
        <v/>
      </c>
    </row>
    <row r="630" spans="1:13" ht="14.4">
      <c r="A630" s="199" t="str">
        <f ca="1">IFERROR(__xludf.DUMMYFUNCTION("""COMPUTED_VALUE"""),"F")</f>
        <v>F</v>
      </c>
      <c r="B630" s="207" t="str">
        <f ca="1">IFERROR(__xludf.DUMMYFUNCTION("""COMPUTED_VALUE"""),"Mikey D'Alessandro")</f>
        <v>Mikey D'Alessandro</v>
      </c>
      <c r="C630" s="199">
        <f ca="1">IFERROR(__xludf.DUMMYFUNCTION("""COMPUTED_VALUE"""),18)</f>
        <v>18</v>
      </c>
      <c r="D630" s="199" t="str">
        <f ca="1">IFERROR(__xludf.DUMMYFUNCTION("""COMPUTED_VALUE"""),"B")</f>
        <v>B</v>
      </c>
      <c r="E630" s="202" t="str">
        <f ca="1">IFERROR(__xludf.DUMMYFUNCTION("""COMPUTED_VALUE"""),"S")</f>
        <v>S</v>
      </c>
      <c r="F630" s="202" t="str">
        <f ca="1">IFERROR(__xludf.DUMMYFUNCTION("""COMPUTED_VALUE"""),"S")</f>
        <v>S</v>
      </c>
      <c r="G630" s="202">
        <f ca="1">IFERROR(__xludf.DUMMYFUNCTION("""COMPUTED_VALUE"""),2)</f>
        <v>2</v>
      </c>
      <c r="H630" s="208"/>
      <c r="I630" s="208">
        <v>111.65</v>
      </c>
      <c r="J630" s="208"/>
      <c r="K630" s="208" t="s">
        <v>121</v>
      </c>
      <c r="L630" s="208" t="str">
        <v xml:space="preserve"> 111.65</v>
      </c>
      <c r="M630" s="208" t="str">
        <v/>
      </c>
    </row>
    <row r="631" spans="1:13" ht="14.4">
      <c r="A631" s="199" t="str">
        <f ca="1">IFERROR(__xludf.DUMMYFUNCTION("""COMPUTED_VALUE"""),"F")</f>
        <v>F</v>
      </c>
      <c r="B631" s="207" t="str">
        <f ca="1">IFERROR(__xludf.DUMMYFUNCTION("""COMPUTED_VALUE"""),"Ryan Hough")</f>
        <v>Ryan Hough</v>
      </c>
      <c r="C631" s="199">
        <f ca="1">IFERROR(__xludf.DUMMYFUNCTION("""COMPUTED_VALUE"""),15)</f>
        <v>15</v>
      </c>
      <c r="D631" s="199" t="str">
        <f ca="1">IFERROR(__xludf.DUMMYFUNCTION("""COMPUTED_VALUE"""),"B")</f>
        <v>B</v>
      </c>
      <c r="E631" s="202" t="str">
        <f ca="1">IFERROR(__xludf.DUMMYFUNCTION("""COMPUTED_VALUE"""),"S")</f>
        <v>S</v>
      </c>
      <c r="F631" s="202" t="str">
        <f ca="1">IFERROR(__xludf.DUMMYFUNCTION("""COMPUTED_VALUE"""),"S")</f>
        <v>S</v>
      </c>
      <c r="G631" s="202">
        <f ca="1">IFERROR(__xludf.DUMMYFUNCTION("""COMPUTED_VALUE"""),2)</f>
        <v>2</v>
      </c>
      <c r="H631" s="206"/>
      <c r="I631" s="206">
        <v>82.05</v>
      </c>
      <c r="J631" s="206"/>
      <c r="K631" s="206" t="s">
        <v>121</v>
      </c>
      <c r="L631" s="206" t="str">
        <v xml:space="preserve"> 82.05</v>
      </c>
      <c r="M631" s="206" t="str">
        <v/>
      </c>
    </row>
    <row r="632" spans="1:13" ht="14.4">
      <c r="A632" s="199" t="str">
        <f ca="1">IFERROR(__xludf.DUMMYFUNCTION("""COMPUTED_VALUE"""),"F")</f>
        <v>F</v>
      </c>
      <c r="B632" s="207" t="str">
        <f ca="1">IFERROR(__xludf.DUMMYFUNCTION("""COMPUTED_VALUE"""),"Will McLaury.")</f>
        <v>Will McLaury.</v>
      </c>
      <c r="C632" s="199">
        <f ca="1">IFERROR(__xludf.DUMMYFUNCTION("""COMPUTED_VALUE"""),18)</f>
        <v>18</v>
      </c>
      <c r="D632" s="199" t="str">
        <f ca="1">IFERROR(__xludf.DUMMYFUNCTION("""COMPUTED_VALUE"""),"B")</f>
        <v>B</v>
      </c>
      <c r="E632" s="202" t="str">
        <f ca="1">IFERROR(__xludf.DUMMYFUNCTION("""COMPUTED_VALUE"""),"S")</f>
        <v>S</v>
      </c>
      <c r="F632" s="202" t="str">
        <f ca="1">IFERROR(__xludf.DUMMYFUNCTION("""COMPUTED_VALUE"""),"S")</f>
        <v>S</v>
      </c>
      <c r="G632" s="202">
        <f ca="1">IFERROR(__xludf.DUMMYFUNCTION("""COMPUTED_VALUE"""),2)</f>
        <v>2</v>
      </c>
      <c r="H632" s="206"/>
      <c r="I632" s="206"/>
      <c r="J632" s="206"/>
      <c r="K632" s="206"/>
      <c r="L632" s="206" t="str">
        <v/>
      </c>
      <c r="M632" s="206" t="str">
        <v/>
      </c>
    </row>
    <row r="633" spans="1:13" ht="14.4">
      <c r="A633" s="199" t="str">
        <f ca="1">IFERROR(__xludf.DUMMYFUNCTION("""COMPUTED_VALUE"""),"F")</f>
        <v>F</v>
      </c>
      <c r="B633" s="207" t="str">
        <f ca="1">IFERROR(__xludf.DUMMYFUNCTION("""COMPUTED_VALUE"""),"Ellie Shriver")</f>
        <v>Ellie Shriver</v>
      </c>
      <c r="C633" s="199">
        <f ca="1">IFERROR(__xludf.DUMMYFUNCTION("""COMPUTED_VALUE"""),19)</f>
        <v>19</v>
      </c>
      <c r="D633" s="199" t="str">
        <f ca="1">IFERROR(__xludf.DUMMYFUNCTION("""COMPUTED_VALUE"""),"G")</f>
        <v>G</v>
      </c>
      <c r="E633" s="202" t="str">
        <f ca="1">IFERROR(__xludf.DUMMYFUNCTION("""COMPUTED_VALUE"""),"S")</f>
        <v>S</v>
      </c>
      <c r="F633" s="202" t="str">
        <f ca="1">IFERROR(__xludf.DUMMYFUNCTION("""COMPUTED_VALUE"""),"S")</f>
        <v>S</v>
      </c>
      <c r="G633" s="202">
        <f ca="1">IFERROR(__xludf.DUMMYFUNCTION("""COMPUTED_VALUE"""),2)</f>
        <v>2</v>
      </c>
      <c r="H633" s="208">
        <v>141.9</v>
      </c>
      <c r="I633" s="208"/>
      <c r="J633" s="208" t="s">
        <v>121</v>
      </c>
      <c r="K633" s="208"/>
      <c r="L633" s="208" t="str">
        <v xml:space="preserve"> 141.9</v>
      </c>
      <c r="M633" s="208" t="str">
        <v/>
      </c>
    </row>
    <row r="634" spans="1:13" ht="14.4">
      <c r="A634" s="199" t="str">
        <f ca="1">IFERROR(__xludf.DUMMYFUNCTION("""COMPUTED_VALUE"""),"F")</f>
        <v>F</v>
      </c>
      <c r="B634" s="207" t="str">
        <f ca="1">IFERROR(__xludf.DUMMYFUNCTION("""COMPUTED_VALUE"""),"Faith Hoyle")</f>
        <v>Faith Hoyle</v>
      </c>
      <c r="C634" s="199">
        <f ca="1">IFERROR(__xludf.DUMMYFUNCTION("""COMPUTED_VALUE"""),16)</f>
        <v>16</v>
      </c>
      <c r="D634" s="199" t="str">
        <f ca="1">IFERROR(__xludf.DUMMYFUNCTION("""COMPUTED_VALUE"""),"G")</f>
        <v>G</v>
      </c>
      <c r="E634" s="202" t="str">
        <f ca="1">IFERROR(__xludf.DUMMYFUNCTION("""COMPUTED_VALUE"""),"S")</f>
        <v>S</v>
      </c>
      <c r="F634" s="202" t="str">
        <f ca="1">IFERROR(__xludf.DUMMYFUNCTION("""COMPUTED_VALUE"""),"S")</f>
        <v>S</v>
      </c>
      <c r="G634" s="202">
        <f ca="1">IFERROR(__xludf.DUMMYFUNCTION("""COMPUTED_VALUE"""),2)</f>
        <v>2</v>
      </c>
      <c r="H634" s="208"/>
      <c r="I634" s="208"/>
      <c r="J634" s="208"/>
      <c r="K634" s="208"/>
      <c r="L634" s="208" t="str">
        <v/>
      </c>
      <c r="M634" s="208" t="str">
        <v/>
      </c>
    </row>
    <row r="635" spans="1:13" ht="14.4">
      <c r="A635" s="199" t="str">
        <f ca="1">IFERROR(__xludf.DUMMYFUNCTION("""COMPUTED_VALUE"""),"F")</f>
        <v>F</v>
      </c>
      <c r="B635" s="207" t="str">
        <f ca="1">IFERROR(__xludf.DUMMYFUNCTION("""COMPUTED_VALUE"""),"Greer Dempster")</f>
        <v>Greer Dempster</v>
      </c>
      <c r="C635" s="199">
        <f ca="1">IFERROR(__xludf.DUMMYFUNCTION("""COMPUTED_VALUE"""),15)</f>
        <v>15</v>
      </c>
      <c r="D635" s="199" t="str">
        <f ca="1">IFERROR(__xludf.DUMMYFUNCTION("""COMPUTED_VALUE"""),"G")</f>
        <v>G</v>
      </c>
      <c r="E635" s="202" t="str">
        <f ca="1">IFERROR(__xludf.DUMMYFUNCTION("""COMPUTED_VALUE"""),"S")</f>
        <v>S</v>
      </c>
      <c r="F635" s="202" t="str">
        <f ca="1">IFERROR(__xludf.DUMMYFUNCTION("""COMPUTED_VALUE"""),"S")</f>
        <v>S</v>
      </c>
      <c r="G635" s="202">
        <f ca="1">IFERROR(__xludf.DUMMYFUNCTION("""COMPUTED_VALUE"""),2)</f>
        <v>2</v>
      </c>
      <c r="H635" s="208"/>
      <c r="I635" s="208"/>
      <c r="J635" s="208"/>
      <c r="K635" s="208"/>
      <c r="L635" s="208" t="str">
        <v/>
      </c>
      <c r="M635" s="208" t="str">
        <v/>
      </c>
    </row>
    <row r="636" spans="1:13" ht="14.4">
      <c r="A636" s="199" t="str">
        <f ca="1">IFERROR(__xludf.DUMMYFUNCTION("""COMPUTED_VALUE"""),"F")</f>
        <v>F</v>
      </c>
      <c r="B636" s="207" t="str">
        <f ca="1">IFERROR(__xludf.DUMMYFUNCTION("""COMPUTED_VALUE"""),"Yesmine Harrache")</f>
        <v>Yesmine Harrache</v>
      </c>
      <c r="C636" s="199">
        <f ca="1">IFERROR(__xludf.DUMMYFUNCTION("""COMPUTED_VALUE"""),16)</f>
        <v>16</v>
      </c>
      <c r="D636" s="199" t="str">
        <f ca="1">IFERROR(__xludf.DUMMYFUNCTION("""COMPUTED_VALUE"""),"G")</f>
        <v>G</v>
      </c>
      <c r="E636" s="202" t="str">
        <f ca="1">IFERROR(__xludf.DUMMYFUNCTION("""COMPUTED_VALUE"""),"S")</f>
        <v>S</v>
      </c>
      <c r="F636" s="202" t="str">
        <f ca="1">IFERROR(__xludf.DUMMYFUNCTION("""COMPUTED_VALUE"""),"S")</f>
        <v>S</v>
      </c>
      <c r="G636" s="202">
        <f ca="1">IFERROR(__xludf.DUMMYFUNCTION("""COMPUTED_VALUE"""),2)</f>
        <v>2</v>
      </c>
      <c r="H636" s="208">
        <v>124.8</v>
      </c>
      <c r="I636" s="208"/>
      <c r="J636" s="208" t="s">
        <v>121</v>
      </c>
      <c r="K636" s="208"/>
      <c r="L636" s="208" t="str">
        <v xml:space="preserve"> 124.8</v>
      </c>
      <c r="M636" s="208" t="str">
        <v/>
      </c>
    </row>
    <row r="637" spans="1:13" ht="14.4">
      <c r="A637" s="199" t="str">
        <f ca="1">IFERROR(__xludf.DUMMYFUNCTION("""COMPUTED_VALUE"""),"FS")</f>
        <v>FS</v>
      </c>
      <c r="B637" s="207" t="str">
        <f ca="1">IFERROR(__xludf.DUMMYFUNCTION("""COMPUTED_VALUE"""),"Andrew Parente")</f>
        <v>Andrew Parente</v>
      </c>
      <c r="C637" s="199">
        <f ca="1">IFERROR(__xludf.DUMMYFUNCTION("""COMPUTED_VALUE"""),10)</f>
        <v>10</v>
      </c>
      <c r="D637" s="199" t="str">
        <f ca="1">IFERROR(__xludf.DUMMYFUNCTION("""COMPUTED_VALUE"""),"B")</f>
        <v>B</v>
      </c>
      <c r="E637" s="202" t="str">
        <f ca="1">IFERROR(__xludf.DUMMYFUNCTION("""COMPUTED_VALUE"""),"F")</f>
        <v>F</v>
      </c>
      <c r="F637" s="202" t="str">
        <f ca="1">IFERROR(__xludf.DUMMYFUNCTION("""COMPUTED_VALUE"""),"J")</f>
        <v>J</v>
      </c>
      <c r="G637" s="202">
        <f ca="1">IFERROR(__xludf.DUMMYFUNCTION("""COMPUTED_VALUE"""),6)</f>
        <v>6</v>
      </c>
      <c r="H637" s="206"/>
      <c r="I637" s="206">
        <v>58.8</v>
      </c>
      <c r="J637" s="206"/>
      <c r="K637" s="206" t="s">
        <v>121</v>
      </c>
      <c r="L637" s="206" t="str">
        <v xml:space="preserve"> 58.8</v>
      </c>
      <c r="M637" s="206" t="str">
        <v/>
      </c>
    </row>
    <row r="638" spans="1:13" ht="14.4">
      <c r="A638" s="199" t="str">
        <f ca="1">IFERROR(__xludf.DUMMYFUNCTION("""COMPUTED_VALUE"""),"FS")</f>
        <v>FS</v>
      </c>
      <c r="B638" s="207" t="str">
        <f ca="1">IFERROR(__xludf.DUMMYFUNCTION("""COMPUTED_VALUE"""),"Boone Dean")</f>
        <v>Boone Dean</v>
      </c>
      <c r="C638" s="199">
        <f ca="1">IFERROR(__xludf.DUMMYFUNCTION("""COMPUTED_VALUE"""),10)</f>
        <v>10</v>
      </c>
      <c r="D638" s="199" t="str">
        <f ca="1">IFERROR(__xludf.DUMMYFUNCTION("""COMPUTED_VALUE"""),"B")</f>
        <v>B</v>
      </c>
      <c r="E638" s="202" t="str">
        <f ca="1">IFERROR(__xludf.DUMMYFUNCTION("""COMPUTED_VALUE"""),"F")</f>
        <v>F</v>
      </c>
      <c r="F638" s="202" t="str">
        <f ca="1">IFERROR(__xludf.DUMMYFUNCTION("""COMPUTED_VALUE"""),"J")</f>
        <v>J</v>
      </c>
      <c r="G638" s="202">
        <f ca="1">IFERROR(__xludf.DUMMYFUNCTION("""COMPUTED_VALUE"""),6)</f>
        <v>6</v>
      </c>
      <c r="H638" s="208"/>
      <c r="I638" s="208">
        <v>44.4</v>
      </c>
      <c r="J638" s="208"/>
      <c r="K638" s="208" t="s">
        <v>121</v>
      </c>
      <c r="L638" s="208" t="str">
        <v xml:space="preserve"> 44.4</v>
      </c>
      <c r="M638" s="208" t="str">
        <v/>
      </c>
    </row>
    <row r="639" spans="1:13" ht="14.4">
      <c r="A639" s="199" t="str">
        <f ca="1">IFERROR(__xludf.DUMMYFUNCTION("""COMPUTED_VALUE"""),"FS")</f>
        <v>FS</v>
      </c>
      <c r="B639" s="207" t="str">
        <f ca="1">IFERROR(__xludf.DUMMYFUNCTION("""COMPUTED_VALUE"""),"Cavan Telleen")</f>
        <v>Cavan Telleen</v>
      </c>
      <c r="C639" s="199">
        <f ca="1">IFERROR(__xludf.DUMMYFUNCTION("""COMPUTED_VALUE"""),6)</f>
        <v>6</v>
      </c>
      <c r="D639" s="199" t="str">
        <f ca="1">IFERROR(__xludf.DUMMYFUNCTION("""COMPUTED_VALUE"""),"B")</f>
        <v>B</v>
      </c>
      <c r="E639" s="202" t="str">
        <f ca="1">IFERROR(__xludf.DUMMYFUNCTION("""COMPUTED_VALUE"""),"F")</f>
        <v>F</v>
      </c>
      <c r="F639" s="202" t="str">
        <f ca="1">IFERROR(__xludf.DUMMYFUNCTION("""COMPUTED_VALUE"""),"J")</f>
        <v>J</v>
      </c>
      <c r="G639" s="202">
        <f ca="1">IFERROR(__xludf.DUMMYFUNCTION("""COMPUTED_VALUE"""),6)</f>
        <v>6</v>
      </c>
      <c r="H639" s="208"/>
      <c r="I639" s="208">
        <v>19.600000000000001</v>
      </c>
      <c r="J639" s="208"/>
      <c r="K639" s="208" t="s">
        <v>121</v>
      </c>
      <c r="L639" s="208" t="str">
        <v xml:space="preserve"> 19.6</v>
      </c>
      <c r="M639" s="208" t="str">
        <v/>
      </c>
    </row>
    <row r="640" spans="1:13" ht="14.4">
      <c r="A640" s="199" t="str">
        <f ca="1">IFERROR(__xludf.DUMMYFUNCTION("""COMPUTED_VALUE"""),"FS")</f>
        <v>FS</v>
      </c>
      <c r="B640" s="207" t="str">
        <f ca="1">IFERROR(__xludf.DUMMYFUNCTION("""COMPUTED_VALUE"""),"Chace Majiros")</f>
        <v>Chace Majiros</v>
      </c>
      <c r="C640" s="199">
        <f ca="1">IFERROR(__xludf.DUMMYFUNCTION("""COMPUTED_VALUE"""),10)</f>
        <v>10</v>
      </c>
      <c r="D640" s="199" t="str">
        <f ca="1">IFERROR(__xludf.DUMMYFUNCTION("""COMPUTED_VALUE"""),"B")</f>
        <v>B</v>
      </c>
      <c r="E640" s="202" t="str">
        <f ca="1">IFERROR(__xludf.DUMMYFUNCTION("""COMPUTED_VALUE"""),"F")</f>
        <v>F</v>
      </c>
      <c r="F640" s="202" t="str">
        <f ca="1">IFERROR(__xludf.DUMMYFUNCTION("""COMPUTED_VALUE"""),"J")</f>
        <v>J</v>
      </c>
      <c r="G640" s="202">
        <f ca="1">IFERROR(__xludf.DUMMYFUNCTION("""COMPUTED_VALUE"""),6)</f>
        <v>6</v>
      </c>
      <c r="H640" s="208"/>
      <c r="I640" s="208">
        <v>37.15</v>
      </c>
      <c r="J640" s="208"/>
      <c r="K640" s="208" t="s">
        <v>121</v>
      </c>
      <c r="L640" s="208" t="str">
        <v xml:space="preserve"> 37.15</v>
      </c>
      <c r="M640" s="208" t="str">
        <v/>
      </c>
    </row>
    <row r="641" spans="1:13" ht="14.4">
      <c r="A641" s="199" t="str">
        <f ca="1">IFERROR(__xludf.DUMMYFUNCTION("""COMPUTED_VALUE"""),"FS")</f>
        <v>FS</v>
      </c>
      <c r="B641" s="207" t="str">
        <f ca="1">IFERROR(__xludf.DUMMYFUNCTION("""COMPUTED_VALUE"""),"Charlie Mahoney")</f>
        <v>Charlie Mahoney</v>
      </c>
      <c r="C641" s="199">
        <f ca="1">IFERROR(__xludf.DUMMYFUNCTION("""COMPUTED_VALUE"""),8)</f>
        <v>8</v>
      </c>
      <c r="D641" s="199" t="str">
        <f ca="1">IFERROR(__xludf.DUMMYFUNCTION("""COMPUTED_VALUE"""),"B")</f>
        <v>B</v>
      </c>
      <c r="E641" s="202" t="str">
        <f ca="1">IFERROR(__xludf.DUMMYFUNCTION("""COMPUTED_VALUE"""),"F")</f>
        <v>F</v>
      </c>
      <c r="F641" s="202" t="str">
        <f ca="1">IFERROR(__xludf.DUMMYFUNCTION("""COMPUTED_VALUE"""),"J")</f>
        <v>J</v>
      </c>
      <c r="G641" s="202">
        <f ca="1">IFERROR(__xludf.DUMMYFUNCTION("""COMPUTED_VALUE"""),6)</f>
        <v>6</v>
      </c>
      <c r="H641" s="208"/>
      <c r="I641" s="208"/>
      <c r="J641" s="208"/>
      <c r="K641" s="208"/>
      <c r="L641" s="208" t="str">
        <v/>
      </c>
      <c r="M641" s="208" t="str">
        <v/>
      </c>
    </row>
    <row r="642" spans="1:13" ht="14.4">
      <c r="A642" s="199" t="str">
        <f ca="1">IFERROR(__xludf.DUMMYFUNCTION("""COMPUTED_VALUE"""),"FS")</f>
        <v>FS</v>
      </c>
      <c r="B642" s="207" t="str">
        <f ca="1">IFERROR(__xludf.DUMMYFUNCTION("""COMPUTED_VALUE"""),"Ebenezer Louie")</f>
        <v>Ebenezer Louie</v>
      </c>
      <c r="C642" s="199">
        <f ca="1">IFERROR(__xludf.DUMMYFUNCTION("""COMPUTED_VALUE"""),6)</f>
        <v>6</v>
      </c>
      <c r="D642" s="199" t="str">
        <f ca="1">IFERROR(__xludf.DUMMYFUNCTION("""COMPUTED_VALUE"""),"B")</f>
        <v>B</v>
      </c>
      <c r="E642" s="202" t="str">
        <f ca="1">IFERROR(__xludf.DUMMYFUNCTION("""COMPUTED_VALUE"""),"F")</f>
        <v>F</v>
      </c>
      <c r="F642" s="202" t="str">
        <f ca="1">IFERROR(__xludf.DUMMYFUNCTION("""COMPUTED_VALUE"""),"J")</f>
        <v>J</v>
      </c>
      <c r="G642" s="202">
        <f ca="1">IFERROR(__xludf.DUMMYFUNCTION("""COMPUTED_VALUE"""),6)</f>
        <v>6</v>
      </c>
      <c r="H642" s="208"/>
      <c r="I642" s="208"/>
      <c r="J642" s="208"/>
      <c r="K642" s="208"/>
      <c r="L642" s="208" t="str">
        <v/>
      </c>
      <c r="M642" s="208" t="str">
        <v/>
      </c>
    </row>
    <row r="643" spans="1:13" ht="14.4">
      <c r="A643" s="199" t="str">
        <f ca="1">IFERROR(__xludf.DUMMYFUNCTION("""COMPUTED_VALUE"""),"FS")</f>
        <v>FS</v>
      </c>
      <c r="B643" s="207" t="str">
        <f ca="1">IFERROR(__xludf.DUMMYFUNCTION("""COMPUTED_VALUE"""),"Henry Perkowski")</f>
        <v>Henry Perkowski</v>
      </c>
      <c r="C643" s="199">
        <f ca="1">IFERROR(__xludf.DUMMYFUNCTION("""COMPUTED_VALUE"""),9)</f>
        <v>9</v>
      </c>
      <c r="D643" s="199" t="str">
        <f ca="1">IFERROR(__xludf.DUMMYFUNCTION("""COMPUTED_VALUE"""),"B")</f>
        <v>B</v>
      </c>
      <c r="E643" s="202" t="str">
        <f ca="1">IFERROR(__xludf.DUMMYFUNCTION("""COMPUTED_VALUE"""),"F")</f>
        <v>F</v>
      </c>
      <c r="F643" s="202" t="str">
        <f ca="1">IFERROR(__xludf.DUMMYFUNCTION("""COMPUTED_VALUE"""),"J")</f>
        <v>J</v>
      </c>
      <c r="G643" s="202">
        <f ca="1">IFERROR(__xludf.DUMMYFUNCTION("""COMPUTED_VALUE"""),6)</f>
        <v>6</v>
      </c>
      <c r="H643" s="208"/>
      <c r="I643" s="208"/>
      <c r="J643" s="208"/>
      <c r="K643" s="208"/>
      <c r="L643" s="208" t="str">
        <v/>
      </c>
      <c r="M643" s="208" t="str">
        <v/>
      </c>
    </row>
    <row r="644" spans="1:13" ht="14.4">
      <c r="A644" s="199" t="str">
        <f ca="1">IFERROR(__xludf.DUMMYFUNCTION("""COMPUTED_VALUE"""),"FS")</f>
        <v>FS</v>
      </c>
      <c r="B644" s="207" t="str">
        <f ca="1">IFERROR(__xludf.DUMMYFUNCTION("""COMPUTED_VALUE"""),"Isaiah Meredith")</f>
        <v>Isaiah Meredith</v>
      </c>
      <c r="C644" s="199">
        <f ca="1">IFERROR(__xludf.DUMMYFUNCTION("""COMPUTED_VALUE"""),9)</f>
        <v>9</v>
      </c>
      <c r="D644" s="199" t="str">
        <f ca="1">IFERROR(__xludf.DUMMYFUNCTION("""COMPUTED_VALUE"""),"B")</f>
        <v>B</v>
      </c>
      <c r="E644" s="202" t="str">
        <f ca="1">IFERROR(__xludf.DUMMYFUNCTION("""COMPUTED_VALUE"""),"F")</f>
        <v>F</v>
      </c>
      <c r="F644" s="202" t="str">
        <f ca="1">IFERROR(__xludf.DUMMYFUNCTION("""COMPUTED_VALUE"""),"J")</f>
        <v>J</v>
      </c>
      <c r="G644" s="202">
        <f ca="1">IFERROR(__xludf.DUMMYFUNCTION("""COMPUTED_VALUE"""),6)</f>
        <v>6</v>
      </c>
      <c r="H644" s="208"/>
      <c r="I644" s="208"/>
      <c r="J644" s="208"/>
      <c r="K644" s="208"/>
      <c r="L644" s="208" t="str">
        <v/>
      </c>
      <c r="M644" s="208" t="str">
        <v/>
      </c>
    </row>
    <row r="645" spans="1:13" ht="14.4">
      <c r="A645" s="199" t="str">
        <f ca="1">IFERROR(__xludf.DUMMYFUNCTION("""COMPUTED_VALUE"""),"FS")</f>
        <v>FS</v>
      </c>
      <c r="B645" s="207" t="str">
        <f ca="1">IFERROR(__xludf.DUMMYFUNCTION("""COMPUTED_VALUE"""),"Levi Lundeby")</f>
        <v>Levi Lundeby</v>
      </c>
      <c r="C645" s="199">
        <f ca="1">IFERROR(__xludf.DUMMYFUNCTION("""COMPUTED_VALUE"""),10)</f>
        <v>10</v>
      </c>
      <c r="D645" s="199" t="str">
        <f ca="1">IFERROR(__xludf.DUMMYFUNCTION("""COMPUTED_VALUE"""),"B")</f>
        <v>B</v>
      </c>
      <c r="E645" s="202" t="str">
        <f ca="1">IFERROR(__xludf.DUMMYFUNCTION("""COMPUTED_VALUE"""),"F")</f>
        <v>F</v>
      </c>
      <c r="F645" s="202" t="str">
        <f ca="1">IFERROR(__xludf.DUMMYFUNCTION("""COMPUTED_VALUE"""),"J")</f>
        <v>J</v>
      </c>
      <c r="G645" s="202">
        <f ca="1">IFERROR(__xludf.DUMMYFUNCTION("""COMPUTED_VALUE"""),6)</f>
        <v>6</v>
      </c>
      <c r="H645" s="208"/>
      <c r="I645" s="208">
        <v>72.150000000000006</v>
      </c>
      <c r="J645" s="208"/>
      <c r="K645" s="208" t="s">
        <v>121</v>
      </c>
      <c r="L645" s="208" t="str">
        <v xml:space="preserve"> 72.15</v>
      </c>
      <c r="M645" s="208" t="str">
        <v/>
      </c>
    </row>
    <row r="646" spans="1:13" ht="14.4">
      <c r="A646" s="199" t="str">
        <f ca="1">IFERROR(__xludf.DUMMYFUNCTION("""COMPUTED_VALUE"""),"FS")</f>
        <v>FS</v>
      </c>
      <c r="B646" s="207" t="str">
        <f ca="1">IFERROR(__xludf.DUMMYFUNCTION("""COMPUTED_VALUE"""),"RoRo Siegmund")</f>
        <v>RoRo Siegmund</v>
      </c>
      <c r="C646" s="199">
        <f ca="1">IFERROR(__xludf.DUMMYFUNCTION("""COMPUTED_VALUE"""),7)</f>
        <v>7</v>
      </c>
      <c r="D646" s="199" t="str">
        <f ca="1">IFERROR(__xludf.DUMMYFUNCTION("""COMPUTED_VALUE"""),"B")</f>
        <v>B</v>
      </c>
      <c r="E646" s="202" t="str">
        <f ca="1">IFERROR(__xludf.DUMMYFUNCTION("""COMPUTED_VALUE"""),"F")</f>
        <v>F</v>
      </c>
      <c r="F646" s="202" t="str">
        <f ca="1">IFERROR(__xludf.DUMMYFUNCTION("""COMPUTED_VALUE"""),"J")</f>
        <v>J</v>
      </c>
      <c r="G646" s="202">
        <f ca="1">IFERROR(__xludf.DUMMYFUNCTION("""COMPUTED_VALUE"""),6)</f>
        <v>6</v>
      </c>
      <c r="H646" s="208"/>
      <c r="I646" s="208">
        <v>31.7</v>
      </c>
      <c r="J646" s="208"/>
      <c r="K646" s="208" t="s">
        <v>121</v>
      </c>
      <c r="L646" s="208" t="str">
        <v xml:space="preserve"> 31.7</v>
      </c>
      <c r="M646" s="208" t="str">
        <v/>
      </c>
    </row>
    <row r="647" spans="1:13" ht="14.4">
      <c r="A647" s="199" t="str">
        <f ca="1">IFERROR(__xludf.DUMMYFUNCTION("""COMPUTED_VALUE"""),"FS")</f>
        <v>FS</v>
      </c>
      <c r="B647" s="207" t="str">
        <f ca="1">IFERROR(__xludf.DUMMYFUNCTION("""COMPUTED_VALUE"""),"Simon Brooks")</f>
        <v>Simon Brooks</v>
      </c>
      <c r="C647" s="199">
        <f ca="1">IFERROR(__xludf.DUMMYFUNCTION("""COMPUTED_VALUE"""),5)</f>
        <v>5</v>
      </c>
      <c r="D647" s="199" t="str">
        <f ca="1">IFERROR(__xludf.DUMMYFUNCTION("""COMPUTED_VALUE"""),"B")</f>
        <v>B</v>
      </c>
      <c r="E647" s="202" t="str">
        <f ca="1">IFERROR(__xludf.DUMMYFUNCTION("""COMPUTED_VALUE"""),"F")</f>
        <v>F</v>
      </c>
      <c r="F647" s="202" t="str">
        <f ca="1">IFERROR(__xludf.DUMMYFUNCTION("""COMPUTED_VALUE"""),"J")</f>
        <v>J</v>
      </c>
      <c r="G647" s="202">
        <f ca="1">IFERROR(__xludf.DUMMYFUNCTION("""COMPUTED_VALUE"""),6)</f>
        <v>6</v>
      </c>
      <c r="H647" s="206"/>
      <c r="I647" s="206"/>
      <c r="J647" s="206"/>
      <c r="K647" s="206"/>
      <c r="L647" s="206" t="str">
        <v/>
      </c>
      <c r="M647" s="206" t="str">
        <v/>
      </c>
    </row>
    <row r="648" spans="1:13" ht="14.4">
      <c r="A648" s="199" t="str">
        <f ca="1">IFERROR(__xludf.DUMMYFUNCTION("""COMPUTED_VALUE"""),"FS")</f>
        <v>FS</v>
      </c>
      <c r="B648" s="207" t="str">
        <f ca="1">IFERROR(__xludf.DUMMYFUNCTION("""COMPUTED_VALUE"""),"Travis Wittekind")</f>
        <v>Travis Wittekind</v>
      </c>
      <c r="C648" s="199">
        <f ca="1">IFERROR(__xludf.DUMMYFUNCTION("""COMPUTED_VALUE"""),8)</f>
        <v>8</v>
      </c>
      <c r="D648" s="199" t="str">
        <f ca="1">IFERROR(__xludf.DUMMYFUNCTION("""COMPUTED_VALUE"""),"B")</f>
        <v>B</v>
      </c>
      <c r="E648" s="202" t="str">
        <f ca="1">IFERROR(__xludf.DUMMYFUNCTION("""COMPUTED_VALUE"""),"F")</f>
        <v>F</v>
      </c>
      <c r="F648" s="202" t="str">
        <f ca="1">IFERROR(__xludf.DUMMYFUNCTION("""COMPUTED_VALUE"""),"J")</f>
        <v>J</v>
      </c>
      <c r="G648" s="202">
        <f ca="1">IFERROR(__xludf.DUMMYFUNCTION("""COMPUTED_VALUE"""),6)</f>
        <v>6</v>
      </c>
      <c r="H648" s="208"/>
      <c r="I648" s="208">
        <v>16.100000000000001</v>
      </c>
      <c r="J648" s="208"/>
      <c r="K648" s="208" t="s">
        <v>121</v>
      </c>
      <c r="L648" s="208" t="str">
        <v xml:space="preserve"> 16.1</v>
      </c>
      <c r="M648" s="208" t="str">
        <v/>
      </c>
    </row>
    <row r="649" spans="1:13" ht="14.4">
      <c r="A649" s="199" t="str">
        <f ca="1">IFERROR(__xludf.DUMMYFUNCTION("""COMPUTED_VALUE"""),"FS")</f>
        <v>FS</v>
      </c>
      <c r="B649" s="207" t="str">
        <f ca="1">IFERROR(__xludf.DUMMYFUNCTION("""COMPUTED_VALUE"""),"William Clark")</f>
        <v>William Clark</v>
      </c>
      <c r="C649" s="199">
        <f ca="1">IFERROR(__xludf.DUMMYFUNCTION("""COMPUTED_VALUE"""),9)</f>
        <v>9</v>
      </c>
      <c r="D649" s="199" t="str">
        <f ca="1">IFERROR(__xludf.DUMMYFUNCTION("""COMPUTED_VALUE"""),"B")</f>
        <v>B</v>
      </c>
      <c r="E649" s="202" t="str">
        <f ca="1">IFERROR(__xludf.DUMMYFUNCTION("""COMPUTED_VALUE"""),"F")</f>
        <v>F</v>
      </c>
      <c r="F649" s="202" t="str">
        <f ca="1">IFERROR(__xludf.DUMMYFUNCTION("""COMPUTED_VALUE"""),"J")</f>
        <v>J</v>
      </c>
      <c r="G649" s="202">
        <f ca="1">IFERROR(__xludf.DUMMYFUNCTION("""COMPUTED_VALUE"""),6)</f>
        <v>6</v>
      </c>
      <c r="H649" s="206"/>
      <c r="I649" s="206"/>
      <c r="J649" s="206"/>
      <c r="K649" s="206"/>
      <c r="L649" s="206" t="str">
        <v/>
      </c>
      <c r="M649" s="206" t="str">
        <v/>
      </c>
    </row>
    <row r="650" spans="1:13" ht="14.4">
      <c r="A650" s="199" t="str">
        <f ca="1">IFERROR(__xludf.DUMMYFUNCTION("""COMPUTED_VALUE"""),"FS")</f>
        <v>FS</v>
      </c>
      <c r="B650" s="207" t="str">
        <f ca="1">IFERROR(__xludf.DUMMYFUNCTION("""COMPUTED_VALUE"""),"Zeke Louie")</f>
        <v>Zeke Louie</v>
      </c>
      <c r="C650" s="199">
        <f ca="1">IFERROR(__xludf.DUMMYFUNCTION("""COMPUTED_VALUE"""),9)</f>
        <v>9</v>
      </c>
      <c r="D650" s="199" t="str">
        <f ca="1">IFERROR(__xludf.DUMMYFUNCTION("""COMPUTED_VALUE"""),"B")</f>
        <v>B</v>
      </c>
      <c r="E650" s="202" t="str">
        <f ca="1">IFERROR(__xludf.DUMMYFUNCTION("""COMPUTED_VALUE"""),"F")</f>
        <v>F</v>
      </c>
      <c r="F650" s="202" t="str">
        <f ca="1">IFERROR(__xludf.DUMMYFUNCTION("""COMPUTED_VALUE"""),"J")</f>
        <v>J</v>
      </c>
      <c r="G650" s="202">
        <f ca="1">IFERROR(__xludf.DUMMYFUNCTION("""COMPUTED_VALUE"""),6)</f>
        <v>6</v>
      </c>
      <c r="H650" s="206"/>
      <c r="I650" s="206">
        <v>19</v>
      </c>
      <c r="J650" s="206"/>
      <c r="K650" s="206" t="s">
        <v>121</v>
      </c>
      <c r="L650" s="206" t="str">
        <v xml:space="preserve"> 19</v>
      </c>
      <c r="M650" s="206" t="str">
        <v/>
      </c>
    </row>
    <row r="651" spans="1:13" ht="14.4">
      <c r="A651" s="199" t="str">
        <f ca="1">IFERROR(__xludf.DUMMYFUNCTION("""COMPUTED_VALUE"""),"FS")</f>
        <v>FS</v>
      </c>
      <c r="B651" s="207" t="str">
        <f ca="1">IFERROR(__xludf.DUMMYFUNCTION("""COMPUTED_VALUE"""),"Abby Reilly")</f>
        <v>Abby Reilly</v>
      </c>
      <c r="C651" s="199">
        <f ca="1">IFERROR(__xludf.DUMMYFUNCTION("""COMPUTED_VALUE"""),9)</f>
        <v>9</v>
      </c>
      <c r="D651" s="199" t="str">
        <f ca="1">IFERROR(__xludf.DUMMYFUNCTION("""COMPUTED_VALUE"""),"G")</f>
        <v>G</v>
      </c>
      <c r="E651" s="202" t="str">
        <f ca="1">IFERROR(__xludf.DUMMYFUNCTION("""COMPUTED_VALUE"""),"F")</f>
        <v>F</v>
      </c>
      <c r="F651" s="202" t="str">
        <f ca="1">IFERROR(__xludf.DUMMYFUNCTION("""COMPUTED_VALUE"""),"J")</f>
        <v>J</v>
      </c>
      <c r="G651" s="202">
        <f ca="1">IFERROR(__xludf.DUMMYFUNCTION("""COMPUTED_VALUE"""),6)</f>
        <v>6</v>
      </c>
      <c r="H651" s="206"/>
      <c r="I651" s="206"/>
      <c r="J651" s="206"/>
      <c r="K651" s="206"/>
      <c r="L651" s="206" t="str">
        <v/>
      </c>
      <c r="M651" s="206" t="str">
        <v/>
      </c>
    </row>
    <row r="652" spans="1:13" ht="14.4">
      <c r="A652" s="199" t="str">
        <f ca="1">IFERROR(__xludf.DUMMYFUNCTION("""COMPUTED_VALUE"""),"FS")</f>
        <v>FS</v>
      </c>
      <c r="B652" s="207" t="str">
        <f ca="1">IFERROR(__xludf.DUMMYFUNCTION("""COMPUTED_VALUE"""),"Alice Siegmund")</f>
        <v>Alice Siegmund</v>
      </c>
      <c r="C652" s="199">
        <f ca="1">IFERROR(__xludf.DUMMYFUNCTION("""COMPUTED_VALUE"""),9)</f>
        <v>9</v>
      </c>
      <c r="D652" s="199" t="str">
        <f ca="1">IFERROR(__xludf.DUMMYFUNCTION("""COMPUTED_VALUE"""),"G")</f>
        <v>G</v>
      </c>
      <c r="E652" s="202" t="str">
        <f ca="1">IFERROR(__xludf.DUMMYFUNCTION("""COMPUTED_VALUE"""),"F")</f>
        <v>F</v>
      </c>
      <c r="F652" s="202" t="str">
        <f ca="1">IFERROR(__xludf.DUMMYFUNCTION("""COMPUTED_VALUE"""),"J")</f>
        <v>J</v>
      </c>
      <c r="G652" s="202">
        <f ca="1">IFERROR(__xludf.DUMMYFUNCTION("""COMPUTED_VALUE"""),6)</f>
        <v>6</v>
      </c>
      <c r="H652" s="208">
        <v>32.299999999999997</v>
      </c>
      <c r="I652" s="208"/>
      <c r="J652" s="208" t="s">
        <v>121</v>
      </c>
      <c r="K652" s="208"/>
      <c r="L652" s="208" t="str">
        <v xml:space="preserve"> 32.3</v>
      </c>
      <c r="M652" s="208" t="str">
        <v/>
      </c>
    </row>
    <row r="653" spans="1:13" ht="14.4">
      <c r="A653" s="199" t="str">
        <f ca="1">IFERROR(__xludf.DUMMYFUNCTION("""COMPUTED_VALUE"""),"FS")</f>
        <v>FS</v>
      </c>
      <c r="B653" s="207" t="str">
        <f ca="1">IFERROR(__xludf.DUMMYFUNCTION("""COMPUTED_VALUE"""),"Amelia Brooks")</f>
        <v>Amelia Brooks</v>
      </c>
      <c r="C653" s="199">
        <f ca="1">IFERROR(__xludf.DUMMYFUNCTION("""COMPUTED_VALUE"""),5)</f>
        <v>5</v>
      </c>
      <c r="D653" s="199" t="str">
        <f ca="1">IFERROR(__xludf.DUMMYFUNCTION("""COMPUTED_VALUE"""),"G")</f>
        <v>G</v>
      </c>
      <c r="E653" s="202" t="str">
        <f ca="1">IFERROR(__xludf.DUMMYFUNCTION("""COMPUTED_VALUE"""),"F")</f>
        <v>F</v>
      </c>
      <c r="F653" s="202" t="str">
        <f ca="1">IFERROR(__xludf.DUMMYFUNCTION("""COMPUTED_VALUE"""),"J")</f>
        <v>J</v>
      </c>
      <c r="G653" s="202">
        <f ca="1">IFERROR(__xludf.DUMMYFUNCTION("""COMPUTED_VALUE"""),6)</f>
        <v>6</v>
      </c>
      <c r="H653" s="206"/>
      <c r="I653" s="206"/>
      <c r="J653" s="206"/>
      <c r="K653" s="206"/>
      <c r="L653" s="206" t="str">
        <v/>
      </c>
      <c r="M653" s="206" t="str">
        <v/>
      </c>
    </row>
    <row r="654" spans="1:13" ht="14.4">
      <c r="A654" s="199" t="str">
        <f ca="1">IFERROR(__xludf.DUMMYFUNCTION("""COMPUTED_VALUE"""),"FS")</f>
        <v>FS</v>
      </c>
      <c r="B654" s="207" t="str">
        <f ca="1">IFERROR(__xludf.DUMMYFUNCTION("""COMPUTED_VALUE"""),"Anna Haigh")</f>
        <v>Anna Haigh</v>
      </c>
      <c r="C654" s="199">
        <f ca="1">IFERROR(__xludf.DUMMYFUNCTION("""COMPUTED_VALUE"""),10)</f>
        <v>10</v>
      </c>
      <c r="D654" s="199" t="str">
        <f ca="1">IFERROR(__xludf.DUMMYFUNCTION("""COMPUTED_VALUE"""),"G")</f>
        <v>G</v>
      </c>
      <c r="E654" s="202" t="str">
        <f ca="1">IFERROR(__xludf.DUMMYFUNCTION("""COMPUTED_VALUE"""),"F")</f>
        <v>F</v>
      </c>
      <c r="F654" s="202" t="str">
        <f ca="1">IFERROR(__xludf.DUMMYFUNCTION("""COMPUTED_VALUE"""),"J")</f>
        <v>J</v>
      </c>
      <c r="G654" s="202">
        <f ca="1">IFERROR(__xludf.DUMMYFUNCTION("""COMPUTED_VALUE"""),6)</f>
        <v>6</v>
      </c>
      <c r="H654" s="206"/>
      <c r="I654" s="206"/>
      <c r="J654" s="206"/>
      <c r="K654" s="206"/>
      <c r="L654" s="206" t="str">
        <v/>
      </c>
      <c r="M654" s="206" t="str">
        <v/>
      </c>
    </row>
    <row r="655" spans="1:13" ht="14.4">
      <c r="A655" s="199" t="str">
        <f ca="1">IFERROR(__xludf.DUMMYFUNCTION("""COMPUTED_VALUE"""),"FS")</f>
        <v>FS</v>
      </c>
      <c r="B655" s="207" t="str">
        <f ca="1">IFERROR(__xludf.DUMMYFUNCTION("""COMPUTED_VALUE"""),"Antonella Salcedo")</f>
        <v>Antonella Salcedo</v>
      </c>
      <c r="C655" s="199">
        <f ca="1">IFERROR(__xludf.DUMMYFUNCTION("""COMPUTED_VALUE"""),8)</f>
        <v>8</v>
      </c>
      <c r="D655" s="199" t="str">
        <f ca="1">IFERROR(__xludf.DUMMYFUNCTION("""COMPUTED_VALUE"""),"G")</f>
        <v>G</v>
      </c>
      <c r="E655" s="202" t="str">
        <f ca="1">IFERROR(__xludf.DUMMYFUNCTION("""COMPUTED_VALUE"""),"F")</f>
        <v>F</v>
      </c>
      <c r="F655" s="202" t="str">
        <f ca="1">IFERROR(__xludf.DUMMYFUNCTION("""COMPUTED_VALUE"""),"J")</f>
        <v>J</v>
      </c>
      <c r="G655" s="202">
        <f ca="1">IFERROR(__xludf.DUMMYFUNCTION("""COMPUTED_VALUE"""),6)</f>
        <v>6</v>
      </c>
      <c r="H655" s="208"/>
      <c r="I655" s="208"/>
      <c r="J655" s="208"/>
      <c r="K655" s="208"/>
      <c r="L655" s="208" t="str">
        <v/>
      </c>
      <c r="M655" s="208" t="str">
        <v/>
      </c>
    </row>
    <row r="656" spans="1:13" ht="14.4">
      <c r="A656" s="199" t="str">
        <f ca="1">IFERROR(__xludf.DUMMYFUNCTION("""COMPUTED_VALUE"""),"FS")</f>
        <v>FS</v>
      </c>
      <c r="B656" s="207" t="str">
        <f ca="1">IFERROR(__xludf.DUMMYFUNCTION("""COMPUTED_VALUE"""),"April Jensen")</f>
        <v>April Jensen</v>
      </c>
      <c r="C656" s="199">
        <f ca="1">IFERROR(__xludf.DUMMYFUNCTION("""COMPUTED_VALUE"""),7)</f>
        <v>7</v>
      </c>
      <c r="D656" s="199" t="str">
        <f ca="1">IFERROR(__xludf.DUMMYFUNCTION("""COMPUTED_VALUE"""),"G")</f>
        <v>G</v>
      </c>
      <c r="E656" s="202" t="str">
        <f ca="1">IFERROR(__xludf.DUMMYFUNCTION("""COMPUTED_VALUE"""),"F")</f>
        <v>F</v>
      </c>
      <c r="F656" s="202" t="str">
        <f ca="1">IFERROR(__xludf.DUMMYFUNCTION("""COMPUTED_VALUE"""),"J")</f>
        <v>J</v>
      </c>
      <c r="G656" s="202">
        <f ca="1">IFERROR(__xludf.DUMMYFUNCTION("""COMPUTED_VALUE"""),6)</f>
        <v>6</v>
      </c>
      <c r="H656" s="208"/>
      <c r="I656" s="208"/>
      <c r="J656" s="208"/>
      <c r="K656" s="208"/>
      <c r="L656" s="208" t="str">
        <v/>
      </c>
      <c r="M656" s="208" t="str">
        <v/>
      </c>
    </row>
    <row r="657" spans="1:13" ht="14.4">
      <c r="A657" s="199" t="str">
        <f ca="1">IFERROR(__xludf.DUMMYFUNCTION("""COMPUTED_VALUE"""),"FS")</f>
        <v>FS</v>
      </c>
      <c r="B657" s="207" t="str">
        <f ca="1">IFERROR(__xludf.DUMMYFUNCTION("""COMPUTED_VALUE"""),"Aria Giarraputo")</f>
        <v>Aria Giarraputo</v>
      </c>
      <c r="C657" s="199">
        <f ca="1">IFERROR(__xludf.DUMMYFUNCTION("""COMPUTED_VALUE"""),9)</f>
        <v>9</v>
      </c>
      <c r="D657" s="199" t="str">
        <f ca="1">IFERROR(__xludf.DUMMYFUNCTION("""COMPUTED_VALUE"""),"G")</f>
        <v>G</v>
      </c>
      <c r="E657" s="202" t="str">
        <f ca="1">IFERROR(__xludf.DUMMYFUNCTION("""COMPUTED_VALUE"""),"F")</f>
        <v>F</v>
      </c>
      <c r="F657" s="202" t="str">
        <f ca="1">IFERROR(__xludf.DUMMYFUNCTION("""COMPUTED_VALUE"""),"J")</f>
        <v>J</v>
      </c>
      <c r="G657" s="202">
        <f ca="1">IFERROR(__xludf.DUMMYFUNCTION("""COMPUTED_VALUE"""),6)</f>
        <v>6</v>
      </c>
      <c r="H657" s="206">
        <v>56.95</v>
      </c>
      <c r="I657" s="206"/>
      <c r="J657" s="206" t="s">
        <v>121</v>
      </c>
      <c r="K657" s="206"/>
      <c r="L657" s="206" t="str">
        <v xml:space="preserve"> 56.95</v>
      </c>
      <c r="M657" s="206" t="str">
        <v/>
      </c>
    </row>
    <row r="658" spans="1:13" ht="14.4">
      <c r="A658" s="199" t="str">
        <f ca="1">IFERROR(__xludf.DUMMYFUNCTION("""COMPUTED_VALUE"""),"FS")</f>
        <v>FS</v>
      </c>
      <c r="B658" s="207" t="str">
        <f ca="1">IFERROR(__xludf.DUMMYFUNCTION("""COMPUTED_VALUE"""),"Betsy Trollinger")</f>
        <v>Betsy Trollinger</v>
      </c>
      <c r="C658" s="199">
        <f ca="1">IFERROR(__xludf.DUMMYFUNCTION("""COMPUTED_VALUE"""),9)</f>
        <v>9</v>
      </c>
      <c r="D658" s="199" t="str">
        <f ca="1">IFERROR(__xludf.DUMMYFUNCTION("""COMPUTED_VALUE"""),"G")</f>
        <v>G</v>
      </c>
      <c r="E658" s="202" t="str">
        <f ca="1">IFERROR(__xludf.DUMMYFUNCTION("""COMPUTED_VALUE"""),"F")</f>
        <v>F</v>
      </c>
      <c r="F658" s="202" t="str">
        <f ca="1">IFERROR(__xludf.DUMMYFUNCTION("""COMPUTED_VALUE"""),"J")</f>
        <v>J</v>
      </c>
      <c r="G658" s="202">
        <f ca="1">IFERROR(__xludf.DUMMYFUNCTION("""COMPUTED_VALUE"""),6)</f>
        <v>6</v>
      </c>
      <c r="H658" s="206"/>
      <c r="I658" s="206"/>
      <c r="J658" s="206"/>
      <c r="K658" s="206"/>
      <c r="L658" s="206" t="str">
        <v/>
      </c>
      <c r="M658" s="206" t="str">
        <v/>
      </c>
    </row>
    <row r="659" spans="1:13" ht="14.4">
      <c r="A659" s="199" t="str">
        <f ca="1">IFERROR(__xludf.DUMMYFUNCTION("""COMPUTED_VALUE"""),"FS")</f>
        <v>FS</v>
      </c>
      <c r="B659" s="207" t="str">
        <f ca="1">IFERROR(__xludf.DUMMYFUNCTION("""COMPUTED_VALUE"""),"Elza Jones")</f>
        <v>Elza Jones</v>
      </c>
      <c r="C659" s="199">
        <f ca="1">IFERROR(__xludf.DUMMYFUNCTION("""COMPUTED_VALUE"""),10)</f>
        <v>10</v>
      </c>
      <c r="D659" s="199" t="str">
        <f ca="1">IFERROR(__xludf.DUMMYFUNCTION("""COMPUTED_VALUE"""),"G")</f>
        <v>G</v>
      </c>
      <c r="E659" s="202" t="str">
        <f ca="1">IFERROR(__xludf.DUMMYFUNCTION("""COMPUTED_VALUE"""),"F")</f>
        <v>F</v>
      </c>
      <c r="F659" s="202" t="str">
        <f ca="1">IFERROR(__xludf.DUMMYFUNCTION("""COMPUTED_VALUE"""),"J")</f>
        <v>J</v>
      </c>
      <c r="G659" s="202">
        <f ca="1">IFERROR(__xludf.DUMMYFUNCTION("""COMPUTED_VALUE"""),6)</f>
        <v>6</v>
      </c>
      <c r="H659" s="208">
        <v>46.15</v>
      </c>
      <c r="I659" s="208"/>
      <c r="J659" s="208" t="s">
        <v>121</v>
      </c>
      <c r="K659" s="208"/>
      <c r="L659" s="208" t="str">
        <v xml:space="preserve"> 46.15</v>
      </c>
      <c r="M659" s="208" t="str">
        <v/>
      </c>
    </row>
    <row r="660" spans="1:13" ht="14.4">
      <c r="A660" s="199" t="str">
        <f ca="1">IFERROR(__xludf.DUMMYFUNCTION("""COMPUTED_VALUE"""),"FS")</f>
        <v>FS</v>
      </c>
      <c r="B660" s="207" t="str">
        <f ca="1">IFERROR(__xludf.DUMMYFUNCTION("""COMPUTED_VALUE"""),"Emersyn Wilbur")</f>
        <v>Emersyn Wilbur</v>
      </c>
      <c r="C660" s="199">
        <f ca="1">IFERROR(__xludf.DUMMYFUNCTION("""COMPUTED_VALUE"""),9)</f>
        <v>9</v>
      </c>
      <c r="D660" s="199" t="str">
        <f ca="1">IFERROR(__xludf.DUMMYFUNCTION("""COMPUTED_VALUE"""),"G")</f>
        <v>G</v>
      </c>
      <c r="E660" s="202" t="str">
        <f ca="1">IFERROR(__xludf.DUMMYFUNCTION("""COMPUTED_VALUE"""),"F")</f>
        <v>F</v>
      </c>
      <c r="F660" s="202" t="str">
        <f ca="1">IFERROR(__xludf.DUMMYFUNCTION("""COMPUTED_VALUE"""),"J")</f>
        <v>J</v>
      </c>
      <c r="G660" s="202">
        <f ca="1">IFERROR(__xludf.DUMMYFUNCTION("""COMPUTED_VALUE"""),6)</f>
        <v>6</v>
      </c>
      <c r="H660" s="208"/>
      <c r="I660" s="208"/>
      <c r="J660" s="208"/>
      <c r="K660" s="208"/>
      <c r="L660" s="208" t="str">
        <v/>
      </c>
      <c r="M660" s="208" t="str">
        <v/>
      </c>
    </row>
    <row r="661" spans="1:13" ht="14.4">
      <c r="A661" s="199" t="str">
        <f ca="1">IFERROR(__xludf.DUMMYFUNCTION("""COMPUTED_VALUE"""),"FS")</f>
        <v>FS</v>
      </c>
      <c r="B661" s="207" t="str">
        <f ca="1">IFERROR(__xludf.DUMMYFUNCTION("""COMPUTED_VALUE"""),"Gaia Salcedo")</f>
        <v>Gaia Salcedo</v>
      </c>
      <c r="C661" s="199">
        <f ca="1">IFERROR(__xludf.DUMMYFUNCTION("""COMPUTED_VALUE"""),7)</f>
        <v>7</v>
      </c>
      <c r="D661" s="199" t="str">
        <f ca="1">IFERROR(__xludf.DUMMYFUNCTION("""COMPUTED_VALUE"""),"G")</f>
        <v>G</v>
      </c>
      <c r="E661" s="202" t="str">
        <f ca="1">IFERROR(__xludf.DUMMYFUNCTION("""COMPUTED_VALUE"""),"F")</f>
        <v>F</v>
      </c>
      <c r="F661" s="202" t="str">
        <f ca="1">IFERROR(__xludf.DUMMYFUNCTION("""COMPUTED_VALUE"""),"J")</f>
        <v>J</v>
      </c>
      <c r="G661" s="202">
        <f ca="1">IFERROR(__xludf.DUMMYFUNCTION("""COMPUTED_VALUE"""),6)</f>
        <v>6</v>
      </c>
      <c r="H661" s="206"/>
      <c r="I661" s="206"/>
      <c r="J661" s="206"/>
      <c r="K661" s="206"/>
      <c r="L661" s="206" t="str">
        <v/>
      </c>
      <c r="M661" s="206" t="str">
        <v/>
      </c>
    </row>
    <row r="662" spans="1:13" ht="14.4">
      <c r="A662" s="199" t="str">
        <f ca="1">IFERROR(__xludf.DUMMYFUNCTION("""COMPUTED_VALUE"""),"FS")</f>
        <v>FS</v>
      </c>
      <c r="B662" s="207" t="str">
        <f ca="1">IFERROR(__xludf.DUMMYFUNCTION("""COMPUTED_VALUE"""),"Gwyn Howard")</f>
        <v>Gwyn Howard</v>
      </c>
      <c r="C662" s="199">
        <f ca="1">IFERROR(__xludf.DUMMYFUNCTION("""COMPUTED_VALUE"""),10)</f>
        <v>10</v>
      </c>
      <c r="D662" s="199" t="str">
        <f ca="1">IFERROR(__xludf.DUMMYFUNCTION("""COMPUTED_VALUE"""),"G")</f>
        <v>G</v>
      </c>
      <c r="E662" s="202" t="str">
        <f ca="1">IFERROR(__xludf.DUMMYFUNCTION("""COMPUTED_VALUE"""),"F")</f>
        <v>F</v>
      </c>
      <c r="F662" s="202" t="str">
        <f ca="1">IFERROR(__xludf.DUMMYFUNCTION("""COMPUTED_VALUE"""),"J")</f>
        <v>J</v>
      </c>
      <c r="G662" s="202">
        <f ca="1">IFERROR(__xludf.DUMMYFUNCTION("""COMPUTED_VALUE"""),6)</f>
        <v>6</v>
      </c>
      <c r="H662" s="208">
        <v>39.799999999999997</v>
      </c>
      <c r="I662" s="208"/>
      <c r="J662" s="208" t="s">
        <v>121</v>
      </c>
      <c r="K662" s="208"/>
      <c r="L662" s="208" t="str">
        <v xml:space="preserve"> 39.8</v>
      </c>
      <c r="M662" s="208" t="str">
        <v/>
      </c>
    </row>
    <row r="663" spans="1:13" ht="14.4">
      <c r="A663" s="199" t="str">
        <f ca="1">IFERROR(__xludf.DUMMYFUNCTION("""COMPUTED_VALUE"""),"FS")</f>
        <v>FS</v>
      </c>
      <c r="B663" s="207" t="str">
        <f ca="1">IFERROR(__xludf.DUMMYFUNCTION("""COMPUTED_VALUE"""),"Harper LoBosco")</f>
        <v>Harper LoBosco</v>
      </c>
      <c r="C663" s="199">
        <f ca="1">IFERROR(__xludf.DUMMYFUNCTION("""COMPUTED_VALUE"""),9)</f>
        <v>9</v>
      </c>
      <c r="D663" s="199" t="str">
        <f ca="1">IFERROR(__xludf.DUMMYFUNCTION("""COMPUTED_VALUE"""),"G")</f>
        <v>G</v>
      </c>
      <c r="E663" s="202" t="str">
        <f ca="1">IFERROR(__xludf.DUMMYFUNCTION("""COMPUTED_VALUE"""),"F")</f>
        <v>F</v>
      </c>
      <c r="F663" s="202" t="str">
        <f ca="1">IFERROR(__xludf.DUMMYFUNCTION("""COMPUTED_VALUE"""),"J")</f>
        <v>J</v>
      </c>
      <c r="G663" s="202">
        <f ca="1">IFERROR(__xludf.DUMMYFUNCTION("""COMPUTED_VALUE"""),6)</f>
        <v>6</v>
      </c>
      <c r="H663" s="208"/>
      <c r="I663" s="208"/>
      <c r="J663" s="208"/>
      <c r="K663" s="208"/>
      <c r="L663" s="208" t="str">
        <v/>
      </c>
      <c r="M663" s="208" t="str">
        <v/>
      </c>
    </row>
    <row r="664" spans="1:13" ht="14.4">
      <c r="A664" s="199" t="str">
        <f ca="1">IFERROR(__xludf.DUMMYFUNCTION("""COMPUTED_VALUE"""),"FS")</f>
        <v>FS</v>
      </c>
      <c r="B664" s="207" t="str">
        <f ca="1">IFERROR(__xludf.DUMMYFUNCTION("""COMPUTED_VALUE"""),"Jacqueline Potter")</f>
        <v>Jacqueline Potter</v>
      </c>
      <c r="C664" s="199">
        <f ca="1">IFERROR(__xludf.DUMMYFUNCTION("""COMPUTED_VALUE"""),10)</f>
        <v>10</v>
      </c>
      <c r="D664" s="199" t="str">
        <f ca="1">IFERROR(__xludf.DUMMYFUNCTION("""COMPUTED_VALUE"""),"G")</f>
        <v>G</v>
      </c>
      <c r="E664" s="202" t="str">
        <f ca="1">IFERROR(__xludf.DUMMYFUNCTION("""COMPUTED_VALUE"""),"F")</f>
        <v>F</v>
      </c>
      <c r="F664" s="202" t="str">
        <f ca="1">IFERROR(__xludf.DUMMYFUNCTION("""COMPUTED_VALUE"""),"J")</f>
        <v>J</v>
      </c>
      <c r="G664" s="202">
        <f ca="1">IFERROR(__xludf.DUMMYFUNCTION("""COMPUTED_VALUE"""),6)</f>
        <v>6</v>
      </c>
      <c r="H664" s="206">
        <v>29.55</v>
      </c>
      <c r="I664" s="206"/>
      <c r="J664" s="206" t="s">
        <v>121</v>
      </c>
      <c r="K664" s="206"/>
      <c r="L664" s="206" t="str">
        <v xml:space="preserve"> 29.55</v>
      </c>
      <c r="M664" s="206" t="str">
        <v/>
      </c>
    </row>
    <row r="665" spans="1:13" ht="14.4">
      <c r="A665" s="199" t="str">
        <f ca="1">IFERROR(__xludf.DUMMYFUNCTION("""COMPUTED_VALUE"""),"FS")</f>
        <v>FS</v>
      </c>
      <c r="B665" s="207" t="str">
        <f ca="1">IFERROR(__xludf.DUMMYFUNCTION("""COMPUTED_VALUE"""),"Jocelyn Myers")</f>
        <v>Jocelyn Myers</v>
      </c>
      <c r="C665" s="199">
        <f ca="1">IFERROR(__xludf.DUMMYFUNCTION("""COMPUTED_VALUE"""),8)</f>
        <v>8</v>
      </c>
      <c r="D665" s="199" t="str">
        <f ca="1">IFERROR(__xludf.DUMMYFUNCTION("""COMPUTED_VALUE"""),"G")</f>
        <v>G</v>
      </c>
      <c r="E665" s="202" t="str">
        <f ca="1">IFERROR(__xludf.DUMMYFUNCTION("""COMPUTED_VALUE"""),"F")</f>
        <v>F</v>
      </c>
      <c r="F665" s="202" t="str">
        <f ca="1">IFERROR(__xludf.DUMMYFUNCTION("""COMPUTED_VALUE"""),"J")</f>
        <v>J</v>
      </c>
      <c r="G665" s="202">
        <f ca="1">IFERROR(__xludf.DUMMYFUNCTION("""COMPUTED_VALUE"""),6)</f>
        <v>6</v>
      </c>
      <c r="H665" s="206"/>
      <c r="I665" s="206"/>
      <c r="J665" s="206"/>
      <c r="K665" s="206"/>
      <c r="L665" s="206" t="str">
        <v/>
      </c>
      <c r="M665" s="206" t="str">
        <v/>
      </c>
    </row>
    <row r="666" spans="1:13" ht="14.4">
      <c r="A666" s="199" t="str">
        <f ca="1">IFERROR(__xludf.DUMMYFUNCTION("""COMPUTED_VALUE"""),"FS")</f>
        <v>FS</v>
      </c>
      <c r="B666" s="207" t="str">
        <f ca="1">IFERROR(__xludf.DUMMYFUNCTION("""COMPUTED_VALUE"""),"Jocelyn Schermer")</f>
        <v>Jocelyn Schermer</v>
      </c>
      <c r="C666" s="199">
        <f ca="1">IFERROR(__xludf.DUMMYFUNCTION("""COMPUTED_VALUE"""),10)</f>
        <v>10</v>
      </c>
      <c r="D666" s="199" t="str">
        <f ca="1">IFERROR(__xludf.DUMMYFUNCTION("""COMPUTED_VALUE"""),"G")</f>
        <v>G</v>
      </c>
      <c r="E666" s="202" t="str">
        <f ca="1">IFERROR(__xludf.DUMMYFUNCTION("""COMPUTED_VALUE"""),"F")</f>
        <v>F</v>
      </c>
      <c r="F666" s="202" t="str">
        <f ca="1">IFERROR(__xludf.DUMMYFUNCTION("""COMPUTED_VALUE"""),"J")</f>
        <v>J</v>
      </c>
      <c r="G666" s="202">
        <f ca="1">IFERROR(__xludf.DUMMYFUNCTION("""COMPUTED_VALUE"""),6)</f>
        <v>6</v>
      </c>
      <c r="H666" s="206"/>
      <c r="I666" s="206"/>
      <c r="J666" s="206"/>
      <c r="K666" s="206"/>
      <c r="L666" s="206" t="str">
        <v/>
      </c>
      <c r="M666" s="206" t="str">
        <v/>
      </c>
    </row>
    <row r="667" spans="1:13" ht="14.4">
      <c r="A667" s="199" t="str">
        <f ca="1">IFERROR(__xludf.DUMMYFUNCTION("""COMPUTED_VALUE"""),"FS")</f>
        <v>FS</v>
      </c>
      <c r="B667" s="207" t="str">
        <f ca="1">IFERROR(__xludf.DUMMYFUNCTION("""COMPUTED_VALUE"""),"Lillian Haigh")</f>
        <v>Lillian Haigh</v>
      </c>
      <c r="C667" s="199">
        <f ca="1">IFERROR(__xludf.DUMMYFUNCTION("""COMPUTED_VALUE"""),8)</f>
        <v>8</v>
      </c>
      <c r="D667" s="199" t="str">
        <f ca="1">IFERROR(__xludf.DUMMYFUNCTION("""COMPUTED_VALUE"""),"G")</f>
        <v>G</v>
      </c>
      <c r="E667" s="202" t="str">
        <f ca="1">IFERROR(__xludf.DUMMYFUNCTION("""COMPUTED_VALUE"""),"F")</f>
        <v>F</v>
      </c>
      <c r="F667" s="202" t="str">
        <f ca="1">IFERROR(__xludf.DUMMYFUNCTION("""COMPUTED_VALUE"""),"J")</f>
        <v>J</v>
      </c>
      <c r="G667" s="202">
        <f ca="1">IFERROR(__xludf.DUMMYFUNCTION("""COMPUTED_VALUE"""),6)</f>
        <v>6</v>
      </c>
      <c r="H667" s="208"/>
      <c r="I667" s="208"/>
      <c r="J667" s="208"/>
      <c r="K667" s="208"/>
      <c r="L667" s="208" t="str">
        <v/>
      </c>
      <c r="M667" s="208" t="str">
        <v/>
      </c>
    </row>
    <row r="668" spans="1:13" ht="14.4">
      <c r="A668" s="199" t="str">
        <f ca="1">IFERROR(__xludf.DUMMYFUNCTION("""COMPUTED_VALUE"""),"FS")</f>
        <v>FS</v>
      </c>
      <c r="B668" s="207" t="str">
        <f ca="1">IFERROR(__xludf.DUMMYFUNCTION("""COMPUTED_VALUE"""),"Mady McCormack")</f>
        <v>Mady McCormack</v>
      </c>
      <c r="C668" s="199">
        <f ca="1">IFERROR(__xludf.DUMMYFUNCTION("""COMPUTED_VALUE"""),9)</f>
        <v>9</v>
      </c>
      <c r="D668" s="199" t="str">
        <f ca="1">IFERROR(__xludf.DUMMYFUNCTION("""COMPUTED_VALUE"""),"G")</f>
        <v>G</v>
      </c>
      <c r="E668" s="202" t="str">
        <f ca="1">IFERROR(__xludf.DUMMYFUNCTION("""COMPUTED_VALUE"""),"F")</f>
        <v>F</v>
      </c>
      <c r="F668" s="202" t="str">
        <f ca="1">IFERROR(__xludf.DUMMYFUNCTION("""COMPUTED_VALUE"""),"J")</f>
        <v>J</v>
      </c>
      <c r="G668" s="202">
        <f ca="1">IFERROR(__xludf.DUMMYFUNCTION("""COMPUTED_VALUE"""),6)</f>
        <v>6</v>
      </c>
      <c r="H668" s="208">
        <v>39.25</v>
      </c>
      <c r="I668" s="208"/>
      <c r="J668" s="208" t="s">
        <v>121</v>
      </c>
      <c r="K668" s="208"/>
      <c r="L668" s="208" t="str">
        <v xml:space="preserve"> 39.25</v>
      </c>
      <c r="M668" s="208" t="str">
        <v/>
      </c>
    </row>
    <row r="669" spans="1:13" ht="14.4">
      <c r="A669" s="199" t="str">
        <f ca="1">IFERROR(__xludf.DUMMYFUNCTION("""COMPUTED_VALUE"""),"FS")</f>
        <v>FS</v>
      </c>
      <c r="B669" s="207" t="str">
        <f ca="1">IFERROR(__xludf.DUMMYFUNCTION("""COMPUTED_VALUE"""),"Noelle Telleen")</f>
        <v>Noelle Telleen</v>
      </c>
      <c r="C669" s="199">
        <f ca="1">IFERROR(__xludf.DUMMYFUNCTION("""COMPUTED_VALUE"""),9)</f>
        <v>9</v>
      </c>
      <c r="D669" s="199" t="str">
        <f ca="1">IFERROR(__xludf.DUMMYFUNCTION("""COMPUTED_VALUE"""),"G")</f>
        <v>G</v>
      </c>
      <c r="E669" s="202" t="str">
        <f ca="1">IFERROR(__xludf.DUMMYFUNCTION("""COMPUTED_VALUE"""),"F")</f>
        <v>F</v>
      </c>
      <c r="F669" s="202" t="str">
        <f ca="1">IFERROR(__xludf.DUMMYFUNCTION("""COMPUTED_VALUE"""),"J")</f>
        <v>J</v>
      </c>
      <c r="G669" s="202">
        <f ca="1">IFERROR(__xludf.DUMMYFUNCTION("""COMPUTED_VALUE"""),6)</f>
        <v>6</v>
      </c>
      <c r="H669" s="206">
        <v>46.1</v>
      </c>
      <c r="I669" s="206"/>
      <c r="J669" s="206" t="s">
        <v>121</v>
      </c>
      <c r="K669" s="206"/>
      <c r="L669" s="206" t="str">
        <v xml:space="preserve"> 46.1</v>
      </c>
      <c r="M669" s="206" t="str">
        <v/>
      </c>
    </row>
    <row r="670" spans="1:13" ht="14.4">
      <c r="A670" s="199" t="str">
        <f ca="1">IFERROR(__xludf.DUMMYFUNCTION("""COMPUTED_VALUE"""),"FS")</f>
        <v>FS</v>
      </c>
      <c r="B670" s="207" t="str">
        <f ca="1">IFERROR(__xludf.DUMMYFUNCTION("""COMPUTED_VALUE"""),"Olive Schuppin")</f>
        <v>Olive Schuppin</v>
      </c>
      <c r="C670" s="199">
        <f ca="1">IFERROR(__xludf.DUMMYFUNCTION("""COMPUTED_VALUE"""),4)</f>
        <v>4</v>
      </c>
      <c r="D670" s="199" t="str">
        <f ca="1">IFERROR(__xludf.DUMMYFUNCTION("""COMPUTED_VALUE"""),"G")</f>
        <v>G</v>
      </c>
      <c r="E670" s="202" t="str">
        <f ca="1">IFERROR(__xludf.DUMMYFUNCTION("""COMPUTED_VALUE"""),"F")</f>
        <v>F</v>
      </c>
      <c r="F670" s="202" t="str">
        <f ca="1">IFERROR(__xludf.DUMMYFUNCTION("""COMPUTED_VALUE"""),"J")</f>
        <v>J</v>
      </c>
      <c r="G670" s="202">
        <f ca="1">IFERROR(__xludf.DUMMYFUNCTION("""COMPUTED_VALUE"""),6)</f>
        <v>6</v>
      </c>
      <c r="H670" s="208"/>
      <c r="I670" s="208"/>
      <c r="J670" s="208"/>
      <c r="K670" s="208"/>
      <c r="L670" s="208" t="str">
        <v/>
      </c>
      <c r="M670" s="208" t="str">
        <v/>
      </c>
    </row>
    <row r="671" spans="1:13" ht="14.4">
      <c r="A671" s="199" t="str">
        <f ca="1">IFERROR(__xludf.DUMMYFUNCTION("""COMPUTED_VALUE"""),"FS")</f>
        <v>FS</v>
      </c>
      <c r="B671" s="207" t="str">
        <f ca="1">IFERROR(__xludf.DUMMYFUNCTION("""COMPUTED_VALUE"""),"Olivia Hilliard")</f>
        <v>Olivia Hilliard</v>
      </c>
      <c r="C671" s="199">
        <f ca="1">IFERROR(__xludf.DUMMYFUNCTION("""COMPUTED_VALUE"""),10)</f>
        <v>10</v>
      </c>
      <c r="D671" s="199" t="str">
        <f ca="1">IFERROR(__xludf.DUMMYFUNCTION("""COMPUTED_VALUE"""),"G")</f>
        <v>G</v>
      </c>
      <c r="E671" s="202" t="str">
        <f ca="1">IFERROR(__xludf.DUMMYFUNCTION("""COMPUTED_VALUE"""),"F")</f>
        <v>F</v>
      </c>
      <c r="F671" s="202" t="str">
        <f ca="1">IFERROR(__xludf.DUMMYFUNCTION("""COMPUTED_VALUE"""),"J")</f>
        <v>J</v>
      </c>
      <c r="G671" s="202">
        <f ca="1">IFERROR(__xludf.DUMMYFUNCTION("""COMPUTED_VALUE"""),6)</f>
        <v>6</v>
      </c>
      <c r="H671" s="208"/>
      <c r="I671" s="208"/>
      <c r="J671" s="208"/>
      <c r="K671" s="208"/>
      <c r="L671" s="208" t="str">
        <v/>
      </c>
      <c r="M671" s="208" t="str">
        <v/>
      </c>
    </row>
    <row r="672" spans="1:13" ht="14.4">
      <c r="A672" s="199" t="str">
        <f ca="1">IFERROR(__xludf.DUMMYFUNCTION("""COMPUTED_VALUE"""),"FS")</f>
        <v>FS</v>
      </c>
      <c r="B672" s="207" t="str">
        <f ca="1">IFERROR(__xludf.DUMMYFUNCTION("""COMPUTED_VALUE"""),"Serena Howard")</f>
        <v>Serena Howard</v>
      </c>
      <c r="C672" s="199">
        <f ca="1">IFERROR(__xludf.DUMMYFUNCTION("""COMPUTED_VALUE"""),8)</f>
        <v>8</v>
      </c>
      <c r="D672" s="199" t="str">
        <f ca="1">IFERROR(__xludf.DUMMYFUNCTION("""COMPUTED_VALUE"""),"G")</f>
        <v>G</v>
      </c>
      <c r="E672" s="202" t="str">
        <f ca="1">IFERROR(__xludf.DUMMYFUNCTION("""COMPUTED_VALUE"""),"F")</f>
        <v>F</v>
      </c>
      <c r="F672" s="202" t="str">
        <f ca="1">IFERROR(__xludf.DUMMYFUNCTION("""COMPUTED_VALUE"""),"J")</f>
        <v>J</v>
      </c>
      <c r="G672" s="202">
        <f ca="1">IFERROR(__xludf.DUMMYFUNCTION("""COMPUTED_VALUE"""),6)</f>
        <v>6</v>
      </c>
      <c r="H672" s="206">
        <v>38.15</v>
      </c>
      <c r="I672" s="206"/>
      <c r="J672" s="206" t="s">
        <v>121</v>
      </c>
      <c r="K672" s="206"/>
      <c r="L672" s="206" t="str">
        <v xml:space="preserve"> 38.15</v>
      </c>
      <c r="M672" s="206" t="str">
        <v/>
      </c>
    </row>
    <row r="673" spans="1:13" ht="14.4">
      <c r="A673" s="199" t="str">
        <f ca="1">IFERROR(__xludf.DUMMYFUNCTION("""COMPUTED_VALUE"""),"FS")</f>
        <v>FS</v>
      </c>
      <c r="B673" s="207" t="str">
        <f ca="1">IFERROR(__xludf.DUMMYFUNCTION("""COMPUTED_VALUE"""),"Stella Budiu")</f>
        <v>Stella Budiu</v>
      </c>
      <c r="C673" s="199">
        <f ca="1">IFERROR(__xludf.DUMMYFUNCTION("""COMPUTED_VALUE"""),10)</f>
        <v>10</v>
      </c>
      <c r="D673" s="199" t="str">
        <f ca="1">IFERROR(__xludf.DUMMYFUNCTION("""COMPUTED_VALUE"""),"G")</f>
        <v>G</v>
      </c>
      <c r="E673" s="202" t="str">
        <f ca="1">IFERROR(__xludf.DUMMYFUNCTION("""COMPUTED_VALUE"""),"F")</f>
        <v>F</v>
      </c>
      <c r="F673" s="202" t="str">
        <f ca="1">IFERROR(__xludf.DUMMYFUNCTION("""COMPUTED_VALUE"""),"J")</f>
        <v>J</v>
      </c>
      <c r="G673" s="202">
        <f ca="1">IFERROR(__xludf.DUMMYFUNCTION("""COMPUTED_VALUE"""),6)</f>
        <v>6</v>
      </c>
      <c r="H673" s="206">
        <v>60.1</v>
      </c>
      <c r="I673" s="206"/>
      <c r="J673" s="206" t="s">
        <v>121</v>
      </c>
      <c r="K673" s="206"/>
      <c r="L673" s="206" t="str">
        <v xml:space="preserve"> 60.1</v>
      </c>
      <c r="M673" s="206" t="str">
        <v/>
      </c>
    </row>
    <row r="674" spans="1:13" ht="14.4">
      <c r="A674" s="199" t="str">
        <f ca="1">IFERROR(__xludf.DUMMYFUNCTION("""COMPUTED_VALUE"""),"FS")</f>
        <v>FS</v>
      </c>
      <c r="B674" s="207" t="str">
        <f ca="1">IFERROR(__xludf.DUMMYFUNCTION("""COMPUTED_VALUE"""),"Teresa Matiasek")</f>
        <v>Teresa Matiasek</v>
      </c>
      <c r="C674" s="199">
        <f ca="1">IFERROR(__xludf.DUMMYFUNCTION("""COMPUTED_VALUE"""),8)</f>
        <v>8</v>
      </c>
      <c r="D674" s="199" t="str">
        <f ca="1">IFERROR(__xludf.DUMMYFUNCTION("""COMPUTED_VALUE"""),"G")</f>
        <v>G</v>
      </c>
      <c r="E674" s="202" t="str">
        <f ca="1">IFERROR(__xludf.DUMMYFUNCTION("""COMPUTED_VALUE"""),"F")</f>
        <v>F</v>
      </c>
      <c r="F674" s="202" t="str">
        <f ca="1">IFERROR(__xludf.DUMMYFUNCTION("""COMPUTED_VALUE"""),"J")</f>
        <v>J</v>
      </c>
      <c r="G674" s="202">
        <f ca="1">IFERROR(__xludf.DUMMYFUNCTION("""COMPUTED_VALUE"""),6)</f>
        <v>6</v>
      </c>
      <c r="H674" s="206"/>
      <c r="I674" s="206"/>
      <c r="J674" s="206"/>
      <c r="K674" s="206"/>
      <c r="L674" s="206" t="str">
        <v/>
      </c>
      <c r="M674" s="206" t="str">
        <v/>
      </c>
    </row>
    <row r="675" spans="1:13" ht="14.4">
      <c r="A675" s="199" t="str">
        <f ca="1">IFERROR(__xludf.DUMMYFUNCTION("""COMPUTED_VALUE"""),"FS")</f>
        <v>FS</v>
      </c>
      <c r="B675" s="207" t="str">
        <f ca="1">IFERROR(__xludf.DUMMYFUNCTION("""COMPUTED_VALUE"""),"Victoria Williams")</f>
        <v>Victoria Williams</v>
      </c>
      <c r="C675" s="199">
        <f ca="1">IFERROR(__xludf.DUMMYFUNCTION("""COMPUTED_VALUE"""),7)</f>
        <v>7</v>
      </c>
      <c r="D675" s="199" t="str">
        <f ca="1">IFERROR(__xludf.DUMMYFUNCTION("""COMPUTED_VALUE"""),"G")</f>
        <v>G</v>
      </c>
      <c r="E675" s="202" t="str">
        <f ca="1">IFERROR(__xludf.DUMMYFUNCTION("""COMPUTED_VALUE"""),"F")</f>
        <v>F</v>
      </c>
      <c r="F675" s="202" t="str">
        <f ca="1">IFERROR(__xludf.DUMMYFUNCTION("""COMPUTED_VALUE"""),"J")</f>
        <v>J</v>
      </c>
      <c r="G675" s="202">
        <f ca="1">IFERROR(__xludf.DUMMYFUNCTION("""COMPUTED_VALUE"""),6)</f>
        <v>6</v>
      </c>
      <c r="H675" s="206"/>
      <c r="I675" s="206"/>
      <c r="J675" s="206"/>
      <c r="K675" s="206"/>
      <c r="L675" s="206" t="str">
        <v/>
      </c>
      <c r="M675" s="206" t="str">
        <v/>
      </c>
    </row>
    <row r="676" spans="1:13" ht="14.4">
      <c r="A676" s="199" t="str">
        <f ca="1">IFERROR(__xludf.DUMMYFUNCTION("""COMPUTED_VALUE"""),"FS")</f>
        <v>FS</v>
      </c>
      <c r="B676" s="207" t="str">
        <f ca="1">IFERROR(__xludf.DUMMYFUNCTION("""COMPUTED_VALUE"""),"Charles Schuppin")</f>
        <v>Charles Schuppin</v>
      </c>
      <c r="C676" s="199">
        <f ca="1">IFERROR(__xludf.DUMMYFUNCTION("""COMPUTED_VALUE"""),13)</f>
        <v>13</v>
      </c>
      <c r="D676" s="199" t="str">
        <f ca="1">IFERROR(__xludf.DUMMYFUNCTION("""COMPUTED_VALUE"""),"B")</f>
        <v>B</v>
      </c>
      <c r="E676" s="202" t="str">
        <f ca="1">IFERROR(__xludf.DUMMYFUNCTION("""COMPUTED_VALUE"""),"I")</f>
        <v>I</v>
      </c>
      <c r="F676" s="202" t="str">
        <f ca="1">IFERROR(__xludf.DUMMYFUNCTION("""COMPUTED_VALUE"""),"S")</f>
        <v>S</v>
      </c>
      <c r="G676" s="202">
        <f ca="1">IFERROR(__xludf.DUMMYFUNCTION("""COMPUTED_VALUE"""),6)</f>
        <v>6</v>
      </c>
      <c r="H676" s="206"/>
      <c r="I676" s="206">
        <v>123.9</v>
      </c>
      <c r="J676" s="206"/>
      <c r="K676" s="206" t="s">
        <v>121</v>
      </c>
      <c r="L676" s="206" t="str">
        <v xml:space="preserve"> 123.9</v>
      </c>
      <c r="M676" s="206" t="str">
        <v/>
      </c>
    </row>
    <row r="677" spans="1:13" ht="14.4">
      <c r="A677" s="199" t="str">
        <f ca="1">IFERROR(__xludf.DUMMYFUNCTION("""COMPUTED_VALUE"""),"FS")</f>
        <v>FS</v>
      </c>
      <c r="B677" s="207" t="str">
        <f ca="1">IFERROR(__xludf.DUMMYFUNCTION("""COMPUTED_VALUE"""),"Milo Feller")</f>
        <v>Milo Feller</v>
      </c>
      <c r="C677" s="199">
        <f ca="1">IFERROR(__xludf.DUMMYFUNCTION("""COMPUTED_VALUE"""),13)</f>
        <v>13</v>
      </c>
      <c r="D677" s="199" t="str">
        <f ca="1">IFERROR(__xludf.DUMMYFUNCTION("""COMPUTED_VALUE"""),"B")</f>
        <v>B</v>
      </c>
      <c r="E677" s="202" t="str">
        <f ca="1">IFERROR(__xludf.DUMMYFUNCTION("""COMPUTED_VALUE"""),"I")</f>
        <v>I</v>
      </c>
      <c r="F677" s="202" t="str">
        <f ca="1">IFERROR(__xludf.DUMMYFUNCTION("""COMPUTED_VALUE"""),"S")</f>
        <v>S</v>
      </c>
      <c r="G677" s="202">
        <f ca="1">IFERROR(__xludf.DUMMYFUNCTION("""COMPUTED_VALUE"""),6)</f>
        <v>6</v>
      </c>
      <c r="H677" s="206"/>
      <c r="I677" s="206"/>
      <c r="J677" s="206"/>
      <c r="K677" s="206"/>
      <c r="L677" s="206" t="str">
        <v/>
      </c>
      <c r="M677" s="206" t="str">
        <v/>
      </c>
    </row>
    <row r="678" spans="1:13" ht="14.4">
      <c r="A678" s="199" t="str">
        <f ca="1">IFERROR(__xludf.DUMMYFUNCTION("""COMPUTED_VALUE"""),"FS")</f>
        <v>FS</v>
      </c>
      <c r="B678" s="207" t="str">
        <f ca="1">IFERROR(__xludf.DUMMYFUNCTION("""COMPUTED_VALUE"""),"Alyssa Mahoney")</f>
        <v>Alyssa Mahoney</v>
      </c>
      <c r="C678" s="199">
        <f ca="1">IFERROR(__xludf.DUMMYFUNCTION("""COMPUTED_VALUE"""),13)</f>
        <v>13</v>
      </c>
      <c r="D678" s="199" t="str">
        <f ca="1">IFERROR(__xludf.DUMMYFUNCTION("""COMPUTED_VALUE"""),"G")</f>
        <v>G</v>
      </c>
      <c r="E678" s="202" t="str">
        <f ca="1">IFERROR(__xludf.DUMMYFUNCTION("""COMPUTED_VALUE"""),"I")</f>
        <v>I</v>
      </c>
      <c r="F678" s="202" t="str">
        <f ca="1">IFERROR(__xludf.DUMMYFUNCTION("""COMPUTED_VALUE"""),"S")</f>
        <v>S</v>
      </c>
      <c r="G678" s="202">
        <f ca="1">IFERROR(__xludf.DUMMYFUNCTION("""COMPUTED_VALUE"""),6)</f>
        <v>6</v>
      </c>
      <c r="H678" s="208"/>
      <c r="I678" s="208"/>
      <c r="J678" s="208"/>
      <c r="K678" s="208"/>
      <c r="L678" s="208" t="str">
        <v/>
      </c>
      <c r="M678" s="208" t="str">
        <v/>
      </c>
    </row>
    <row r="679" spans="1:13" ht="14.4">
      <c r="A679" s="199" t="str">
        <f ca="1">IFERROR(__xludf.DUMMYFUNCTION("""COMPUTED_VALUE"""),"FS")</f>
        <v>FS</v>
      </c>
      <c r="B679" s="207" t="str">
        <f ca="1">IFERROR(__xludf.DUMMYFUNCTION("""COMPUTED_VALUE"""),"Devyn Telleen")</f>
        <v>Devyn Telleen</v>
      </c>
      <c r="C679" s="199">
        <f ca="1">IFERROR(__xludf.DUMMYFUNCTION("""COMPUTED_VALUE"""),14)</f>
        <v>14</v>
      </c>
      <c r="D679" s="199" t="str">
        <f ca="1">IFERROR(__xludf.DUMMYFUNCTION("""COMPUTED_VALUE"""),"G")</f>
        <v>G</v>
      </c>
      <c r="E679" s="202" t="str">
        <f ca="1">IFERROR(__xludf.DUMMYFUNCTION("""COMPUTED_VALUE"""),"I")</f>
        <v>I</v>
      </c>
      <c r="F679" s="202" t="str">
        <f ca="1">IFERROR(__xludf.DUMMYFUNCTION("""COMPUTED_VALUE"""),"S")</f>
        <v>S</v>
      </c>
      <c r="G679" s="202">
        <f ca="1">IFERROR(__xludf.DUMMYFUNCTION("""COMPUTED_VALUE"""),6)</f>
        <v>6</v>
      </c>
      <c r="H679" s="208">
        <v>116.25</v>
      </c>
      <c r="I679" s="208"/>
      <c r="J679" s="208" t="s">
        <v>121</v>
      </c>
      <c r="K679" s="208"/>
      <c r="L679" s="208" t="str">
        <v xml:space="preserve"> 116.25</v>
      </c>
      <c r="M679" s="208" t="str">
        <v/>
      </c>
    </row>
    <row r="680" spans="1:13" ht="14.4">
      <c r="A680" s="199" t="str">
        <f ca="1">IFERROR(__xludf.DUMMYFUNCTION("""COMPUTED_VALUE"""),"FS")</f>
        <v>FS</v>
      </c>
      <c r="B680" s="207" t="str">
        <f ca="1">IFERROR(__xludf.DUMMYFUNCTION("""COMPUTED_VALUE"""),"Eliana Louie")</f>
        <v>Eliana Louie</v>
      </c>
      <c r="C680" s="199">
        <f ca="1">IFERROR(__xludf.DUMMYFUNCTION("""COMPUTED_VALUE"""),14)</f>
        <v>14</v>
      </c>
      <c r="D680" s="199" t="str">
        <f ca="1">IFERROR(__xludf.DUMMYFUNCTION("""COMPUTED_VALUE"""),"G")</f>
        <v>G</v>
      </c>
      <c r="E680" s="202" t="str">
        <f ca="1">IFERROR(__xludf.DUMMYFUNCTION("""COMPUTED_VALUE"""),"I")</f>
        <v>I</v>
      </c>
      <c r="F680" s="202" t="str">
        <f ca="1">IFERROR(__xludf.DUMMYFUNCTION("""COMPUTED_VALUE"""),"S")</f>
        <v>S</v>
      </c>
      <c r="G680" s="202">
        <f ca="1">IFERROR(__xludf.DUMMYFUNCTION("""COMPUTED_VALUE"""),6)</f>
        <v>6</v>
      </c>
      <c r="H680" s="208"/>
      <c r="I680" s="208"/>
      <c r="J680" s="208"/>
      <c r="K680" s="208"/>
      <c r="L680" s="208" t="str">
        <v/>
      </c>
      <c r="M680" s="208" t="str">
        <v/>
      </c>
    </row>
    <row r="681" spans="1:13" ht="14.4">
      <c r="A681" s="199" t="str">
        <f ca="1">IFERROR(__xludf.DUMMYFUNCTION("""COMPUTED_VALUE"""),"FS")</f>
        <v>FS</v>
      </c>
      <c r="B681" s="207" t="str">
        <f ca="1">IFERROR(__xludf.DUMMYFUNCTION("""COMPUTED_VALUE"""),"Lauren Lundeby")</f>
        <v>Lauren Lundeby</v>
      </c>
      <c r="C681" s="199">
        <f ca="1">IFERROR(__xludf.DUMMYFUNCTION("""COMPUTED_VALUE"""),13)</f>
        <v>13</v>
      </c>
      <c r="D681" s="199" t="str">
        <f ca="1">IFERROR(__xludf.DUMMYFUNCTION("""COMPUTED_VALUE"""),"G")</f>
        <v>G</v>
      </c>
      <c r="E681" s="202" t="str">
        <f ca="1">IFERROR(__xludf.DUMMYFUNCTION("""COMPUTED_VALUE"""),"I")</f>
        <v>I</v>
      </c>
      <c r="F681" s="202" t="str">
        <f ca="1">IFERROR(__xludf.DUMMYFUNCTION("""COMPUTED_VALUE"""),"S")</f>
        <v>S</v>
      </c>
      <c r="G681" s="202">
        <f ca="1">IFERROR(__xludf.DUMMYFUNCTION("""COMPUTED_VALUE"""),6)</f>
        <v>6</v>
      </c>
      <c r="H681" s="206">
        <v>101.3</v>
      </c>
      <c r="I681" s="206"/>
      <c r="J681" s="206" t="s">
        <v>121</v>
      </c>
      <c r="K681" s="206"/>
      <c r="L681" s="206" t="str">
        <v xml:space="preserve"> 101.3</v>
      </c>
      <c r="M681" s="206" t="str">
        <v/>
      </c>
    </row>
    <row r="682" spans="1:13" ht="14.4">
      <c r="A682" s="199" t="str">
        <f ca="1">IFERROR(__xludf.DUMMYFUNCTION("""COMPUTED_VALUE"""),"FS")</f>
        <v>FS</v>
      </c>
      <c r="B682" s="207" t="str">
        <f ca="1">IFERROR(__xludf.DUMMYFUNCTION("""COMPUTED_VALUE"""),"Olivia Giarraputo")</f>
        <v>Olivia Giarraputo</v>
      </c>
      <c r="C682" s="199">
        <f ca="1">IFERROR(__xludf.DUMMYFUNCTION("""COMPUTED_VALUE"""),13)</f>
        <v>13</v>
      </c>
      <c r="D682" s="199" t="str">
        <f ca="1">IFERROR(__xludf.DUMMYFUNCTION("""COMPUTED_VALUE"""),"G")</f>
        <v>G</v>
      </c>
      <c r="E682" s="202" t="str">
        <f ca="1">IFERROR(__xludf.DUMMYFUNCTION("""COMPUTED_VALUE"""),"I")</f>
        <v>I</v>
      </c>
      <c r="F682" s="202" t="str">
        <f ca="1">IFERROR(__xludf.DUMMYFUNCTION("""COMPUTED_VALUE"""),"S")</f>
        <v>S</v>
      </c>
      <c r="G682" s="202">
        <f ca="1">IFERROR(__xludf.DUMMYFUNCTION("""COMPUTED_VALUE"""),6)</f>
        <v>6</v>
      </c>
      <c r="H682" s="208"/>
      <c r="I682" s="208"/>
      <c r="J682" s="208"/>
      <c r="K682" s="208"/>
      <c r="L682" s="208" t="str">
        <v/>
      </c>
      <c r="M682" s="208" t="str">
        <v/>
      </c>
    </row>
    <row r="683" spans="1:13" ht="14.4">
      <c r="A683" s="199" t="str">
        <f ca="1">IFERROR(__xludf.DUMMYFUNCTION("""COMPUTED_VALUE"""),"FS")</f>
        <v>FS</v>
      </c>
      <c r="B683" s="207" t="str">
        <f ca="1">IFERROR(__xludf.DUMMYFUNCTION("""COMPUTED_VALUE"""),"Luca Budiu")</f>
        <v>Luca Budiu</v>
      </c>
      <c r="C683" s="199">
        <f ca="1">IFERROR(__xludf.DUMMYFUNCTION("""COMPUTED_VALUE"""),11)</f>
        <v>11</v>
      </c>
      <c r="D683" s="199" t="str">
        <f ca="1">IFERROR(__xludf.DUMMYFUNCTION("""COMPUTED_VALUE"""),"B")</f>
        <v>B</v>
      </c>
      <c r="E683" s="202" t="str">
        <f ca="1">IFERROR(__xludf.DUMMYFUNCTION("""COMPUTED_VALUE"""),"J")</f>
        <v>J</v>
      </c>
      <c r="F683" s="202" t="str">
        <f ca="1">IFERROR(__xludf.DUMMYFUNCTION("""COMPUTED_VALUE"""),"I")</f>
        <v>I</v>
      </c>
      <c r="G683" s="202">
        <f ca="1">IFERROR(__xludf.DUMMYFUNCTION("""COMPUTED_VALUE"""),6)</f>
        <v>6</v>
      </c>
      <c r="H683" s="206"/>
      <c r="I683" s="206">
        <v>66.400000000000006</v>
      </c>
      <c r="J683" s="206"/>
      <c r="K683" s="206" t="s">
        <v>121</v>
      </c>
      <c r="L683" s="206" t="str">
        <v xml:space="preserve"> 66.4</v>
      </c>
      <c r="M683" s="206" t="str">
        <v/>
      </c>
    </row>
    <row r="684" spans="1:13" ht="14.4">
      <c r="A684" s="199" t="str">
        <f ca="1">IFERROR(__xludf.DUMMYFUNCTION("""COMPUTED_VALUE"""),"FS")</f>
        <v>FS</v>
      </c>
      <c r="B684" s="207" t="str">
        <f ca="1">IFERROR(__xludf.DUMMYFUNCTION("""COMPUTED_VALUE"""),"Oliver Jones")</f>
        <v>Oliver Jones</v>
      </c>
      <c r="C684" s="199">
        <f ca="1">IFERROR(__xludf.DUMMYFUNCTION("""COMPUTED_VALUE"""),12)</f>
        <v>12</v>
      </c>
      <c r="D684" s="199" t="str">
        <f ca="1">IFERROR(__xludf.DUMMYFUNCTION("""COMPUTED_VALUE"""),"B")</f>
        <v>B</v>
      </c>
      <c r="E684" s="202" t="str">
        <f ca="1">IFERROR(__xludf.DUMMYFUNCTION("""COMPUTED_VALUE"""),"J")</f>
        <v>J</v>
      </c>
      <c r="F684" s="202" t="str">
        <f ca="1">IFERROR(__xludf.DUMMYFUNCTION("""COMPUTED_VALUE"""),"I")</f>
        <v>I</v>
      </c>
      <c r="G684" s="202">
        <f ca="1">IFERROR(__xludf.DUMMYFUNCTION("""COMPUTED_VALUE"""),6)</f>
        <v>6</v>
      </c>
      <c r="H684" s="208"/>
      <c r="I684" s="208">
        <v>48.2</v>
      </c>
      <c r="J684" s="208"/>
      <c r="K684" s="208" t="s">
        <v>121</v>
      </c>
      <c r="L684" s="208" t="str">
        <v xml:space="preserve"> 48.2</v>
      </c>
      <c r="M684" s="208" t="str">
        <v/>
      </c>
    </row>
    <row r="685" spans="1:13" ht="14.4">
      <c r="A685" s="199" t="str">
        <f ca="1">IFERROR(__xludf.DUMMYFUNCTION("""COMPUTED_VALUE"""),"FS")</f>
        <v>FS</v>
      </c>
      <c r="B685" s="207" t="str">
        <f ca="1">IFERROR(__xludf.DUMMYFUNCTION("""COMPUTED_VALUE"""),"Agnes Matiasek")</f>
        <v>Agnes Matiasek</v>
      </c>
      <c r="C685" s="199">
        <f ca="1">IFERROR(__xludf.DUMMYFUNCTION("""COMPUTED_VALUE"""),11)</f>
        <v>11</v>
      </c>
      <c r="D685" s="199" t="str">
        <f ca="1">IFERROR(__xludf.DUMMYFUNCTION("""COMPUTED_VALUE"""),"G")</f>
        <v>G</v>
      </c>
      <c r="E685" s="202" t="str">
        <f ca="1">IFERROR(__xludf.DUMMYFUNCTION("""COMPUTED_VALUE"""),"J")</f>
        <v>J</v>
      </c>
      <c r="F685" s="202" t="str">
        <f ca="1">IFERROR(__xludf.DUMMYFUNCTION("""COMPUTED_VALUE"""),"I")</f>
        <v>I</v>
      </c>
      <c r="G685" s="202">
        <f ca="1">IFERROR(__xludf.DUMMYFUNCTION("""COMPUTED_VALUE"""),6)</f>
        <v>6</v>
      </c>
      <c r="H685" s="206"/>
      <c r="I685" s="206"/>
      <c r="J685" s="206"/>
      <c r="K685" s="206"/>
      <c r="L685" s="206" t="str">
        <v/>
      </c>
      <c r="M685" s="206" t="str">
        <v/>
      </c>
    </row>
    <row r="686" spans="1:13" ht="14.4">
      <c r="A686" s="199" t="str">
        <f ca="1">IFERROR(__xludf.DUMMYFUNCTION("""COMPUTED_VALUE"""),"FS")</f>
        <v>FS</v>
      </c>
      <c r="B686" s="207" t="str">
        <f ca="1">IFERROR(__xludf.DUMMYFUNCTION("""COMPUTED_VALUE"""),"Avery LoBosco")</f>
        <v>Avery LoBosco</v>
      </c>
      <c r="C686" s="199">
        <f ca="1">IFERROR(__xludf.DUMMYFUNCTION("""COMPUTED_VALUE"""),11)</f>
        <v>11</v>
      </c>
      <c r="D686" s="199" t="str">
        <f ca="1">IFERROR(__xludf.DUMMYFUNCTION("""COMPUTED_VALUE"""),"G")</f>
        <v>G</v>
      </c>
      <c r="E686" s="202" t="str">
        <f ca="1">IFERROR(__xludf.DUMMYFUNCTION("""COMPUTED_VALUE"""),"J")</f>
        <v>J</v>
      </c>
      <c r="F686" s="202" t="str">
        <f ca="1">IFERROR(__xludf.DUMMYFUNCTION("""COMPUTED_VALUE"""),"I")</f>
        <v>I</v>
      </c>
      <c r="G686" s="202">
        <f ca="1">IFERROR(__xludf.DUMMYFUNCTION("""COMPUTED_VALUE"""),6)</f>
        <v>6</v>
      </c>
      <c r="H686" s="206"/>
      <c r="I686" s="206"/>
      <c r="J686" s="206"/>
      <c r="K686" s="206"/>
      <c r="L686" s="206" t="str">
        <v/>
      </c>
      <c r="M686" s="206" t="str">
        <v/>
      </c>
    </row>
    <row r="687" spans="1:13" ht="14.4">
      <c r="A687" s="199" t="str">
        <f ca="1">IFERROR(__xludf.DUMMYFUNCTION("""COMPUTED_VALUE"""),"FS")</f>
        <v>FS</v>
      </c>
      <c r="B687" s="207" t="str">
        <f ca="1">IFERROR(__xludf.DUMMYFUNCTION("""COMPUTED_VALUE"""),"Darcy Telleen")</f>
        <v>Darcy Telleen</v>
      </c>
      <c r="C687" s="199">
        <f ca="1">IFERROR(__xludf.DUMMYFUNCTION("""COMPUTED_VALUE"""),12)</f>
        <v>12</v>
      </c>
      <c r="D687" s="199" t="str">
        <f ca="1">IFERROR(__xludf.DUMMYFUNCTION("""COMPUTED_VALUE"""),"G")</f>
        <v>G</v>
      </c>
      <c r="E687" s="202" t="str">
        <f ca="1">IFERROR(__xludf.DUMMYFUNCTION("""COMPUTED_VALUE"""),"J")</f>
        <v>J</v>
      </c>
      <c r="F687" s="202" t="str">
        <f ca="1">IFERROR(__xludf.DUMMYFUNCTION("""COMPUTED_VALUE"""),"I")</f>
        <v>I</v>
      </c>
      <c r="G687" s="202">
        <f ca="1">IFERROR(__xludf.DUMMYFUNCTION("""COMPUTED_VALUE"""),6)</f>
        <v>6</v>
      </c>
      <c r="H687" s="208">
        <v>98.5</v>
      </c>
      <c r="I687" s="208"/>
      <c r="J687" s="208" t="s">
        <v>121</v>
      </c>
      <c r="K687" s="208"/>
      <c r="L687" s="208" t="str">
        <v xml:space="preserve"> 98.5</v>
      </c>
      <c r="M687" s="208" t="str">
        <v/>
      </c>
    </row>
    <row r="688" spans="1:13" ht="14.4">
      <c r="A688" s="199" t="str">
        <f ca="1">IFERROR(__xludf.DUMMYFUNCTION("""COMPUTED_VALUE"""),"FS")</f>
        <v>FS</v>
      </c>
      <c r="B688" s="207" t="str">
        <f ca="1">IFERROR(__xludf.DUMMYFUNCTION("""COMPUTED_VALUE"""),"Edith Louie")</f>
        <v>Edith Louie</v>
      </c>
      <c r="C688" s="199">
        <f ca="1">IFERROR(__xludf.DUMMYFUNCTION("""COMPUTED_VALUE"""),12)</f>
        <v>12</v>
      </c>
      <c r="D688" s="199" t="str">
        <f ca="1">IFERROR(__xludf.DUMMYFUNCTION("""COMPUTED_VALUE"""),"G")</f>
        <v>G</v>
      </c>
      <c r="E688" s="202" t="str">
        <f ca="1">IFERROR(__xludf.DUMMYFUNCTION("""COMPUTED_VALUE"""),"J")</f>
        <v>J</v>
      </c>
      <c r="F688" s="202" t="str">
        <f ca="1">IFERROR(__xludf.DUMMYFUNCTION("""COMPUTED_VALUE"""),"I")</f>
        <v>I</v>
      </c>
      <c r="G688" s="202">
        <f ca="1">IFERROR(__xludf.DUMMYFUNCTION("""COMPUTED_VALUE"""),6)</f>
        <v>6</v>
      </c>
      <c r="H688" s="208"/>
      <c r="I688" s="208"/>
      <c r="J688" s="208"/>
      <c r="K688" s="208"/>
      <c r="L688" s="208" t="str">
        <v/>
      </c>
      <c r="M688" s="208" t="str">
        <v/>
      </c>
    </row>
    <row r="689" spans="1:13" ht="14.4">
      <c r="A689" s="199" t="str">
        <f ca="1">IFERROR(__xludf.DUMMYFUNCTION("""COMPUTED_VALUE"""),"FS")</f>
        <v>FS</v>
      </c>
      <c r="B689" s="207" t="str">
        <f ca="1">IFERROR(__xludf.DUMMYFUNCTION("""COMPUTED_VALUE"""),"Hannah Goldberg")</f>
        <v>Hannah Goldberg</v>
      </c>
      <c r="C689" s="199">
        <f ca="1">IFERROR(__xludf.DUMMYFUNCTION("""COMPUTED_VALUE"""),12)</f>
        <v>12</v>
      </c>
      <c r="D689" s="199" t="str">
        <f ca="1">IFERROR(__xludf.DUMMYFUNCTION("""COMPUTED_VALUE"""),"G")</f>
        <v>G</v>
      </c>
      <c r="E689" s="202" t="str">
        <f ca="1">IFERROR(__xludf.DUMMYFUNCTION("""COMPUTED_VALUE"""),"J")</f>
        <v>J</v>
      </c>
      <c r="F689" s="202" t="str">
        <f ca="1">IFERROR(__xludf.DUMMYFUNCTION("""COMPUTED_VALUE"""),"I")</f>
        <v>I</v>
      </c>
      <c r="G689" s="202">
        <f ca="1">IFERROR(__xludf.DUMMYFUNCTION("""COMPUTED_VALUE"""),6)</f>
        <v>6</v>
      </c>
      <c r="H689" s="208">
        <v>63.1</v>
      </c>
      <c r="I689" s="208"/>
      <c r="J689" s="208" t="s">
        <v>121</v>
      </c>
      <c r="K689" s="208"/>
      <c r="L689" s="208" t="str">
        <v xml:space="preserve"> 63.1</v>
      </c>
      <c r="M689" s="208" t="str">
        <v/>
      </c>
    </row>
    <row r="690" spans="1:13" ht="14.4">
      <c r="A690" s="199" t="str">
        <f ca="1">IFERROR(__xludf.DUMMYFUNCTION("""COMPUTED_VALUE"""),"FS")</f>
        <v>FS</v>
      </c>
      <c r="B690" s="207" t="str">
        <f ca="1">IFERROR(__xludf.DUMMYFUNCTION("""COMPUTED_VALUE"""),"Lilla Wilbur")</f>
        <v>Lilla Wilbur</v>
      </c>
      <c r="C690" s="199">
        <f ca="1">IFERROR(__xludf.DUMMYFUNCTION("""COMPUTED_VALUE"""),12)</f>
        <v>12</v>
      </c>
      <c r="D690" s="199" t="str">
        <f ca="1">IFERROR(__xludf.DUMMYFUNCTION("""COMPUTED_VALUE"""),"G")</f>
        <v>G</v>
      </c>
      <c r="E690" s="202" t="str">
        <f ca="1">IFERROR(__xludf.DUMMYFUNCTION("""COMPUTED_VALUE"""),"J")</f>
        <v>J</v>
      </c>
      <c r="F690" s="202" t="str">
        <f ca="1">IFERROR(__xludf.DUMMYFUNCTION("""COMPUTED_VALUE"""),"I")</f>
        <v>I</v>
      </c>
      <c r="G690" s="202">
        <f ca="1">IFERROR(__xludf.DUMMYFUNCTION("""COMPUTED_VALUE"""),6)</f>
        <v>6</v>
      </c>
      <c r="H690" s="206"/>
      <c r="I690" s="206"/>
      <c r="J690" s="206"/>
      <c r="K690" s="206"/>
      <c r="L690" s="206" t="str">
        <v/>
      </c>
      <c r="M690" s="206" t="str">
        <v/>
      </c>
    </row>
    <row r="691" spans="1:13" ht="14.4">
      <c r="A691" s="199" t="str">
        <f ca="1">IFERROR(__xludf.DUMMYFUNCTION("""COMPUTED_VALUE"""),"FS")</f>
        <v>FS</v>
      </c>
      <c r="B691" s="207" t="str">
        <f ca="1">IFERROR(__xludf.DUMMYFUNCTION("""COMPUTED_VALUE"""),"Lyla Chutuape")</f>
        <v>Lyla Chutuape</v>
      </c>
      <c r="C691" s="199">
        <f ca="1">IFERROR(__xludf.DUMMYFUNCTION("""COMPUTED_VALUE"""),11)</f>
        <v>11</v>
      </c>
      <c r="D691" s="199" t="str">
        <f ca="1">IFERROR(__xludf.DUMMYFUNCTION("""COMPUTED_VALUE"""),"G")</f>
        <v>G</v>
      </c>
      <c r="E691" s="202" t="str">
        <f ca="1">IFERROR(__xludf.DUMMYFUNCTION("""COMPUTED_VALUE"""),"J")</f>
        <v>J</v>
      </c>
      <c r="F691" s="202" t="str">
        <f ca="1">IFERROR(__xludf.DUMMYFUNCTION("""COMPUTED_VALUE"""),"I")</f>
        <v>I</v>
      </c>
      <c r="G691" s="202">
        <f ca="1">IFERROR(__xludf.DUMMYFUNCTION("""COMPUTED_VALUE"""),6)</f>
        <v>6</v>
      </c>
      <c r="H691" s="208">
        <v>73.8</v>
      </c>
      <c r="I691" s="208"/>
      <c r="J691" s="208" t="s">
        <v>121</v>
      </c>
      <c r="K691" s="208"/>
      <c r="L691" s="208" t="str">
        <v xml:space="preserve"> 73.8</v>
      </c>
      <c r="M691" s="208" t="str">
        <v/>
      </c>
    </row>
    <row r="692" spans="1:13" ht="14.4">
      <c r="A692" s="199" t="str">
        <f ca="1">IFERROR(__xludf.DUMMYFUNCTION("""COMPUTED_VALUE"""),"FS")</f>
        <v>FS</v>
      </c>
      <c r="B692" s="207" t="str">
        <f ca="1">IFERROR(__xludf.DUMMYFUNCTION("""COMPUTED_VALUE"""),"Rebecca Perkowski")</f>
        <v>Rebecca Perkowski</v>
      </c>
      <c r="C692" s="199">
        <f ca="1">IFERROR(__xludf.DUMMYFUNCTION("""COMPUTED_VALUE"""),11)</f>
        <v>11</v>
      </c>
      <c r="D692" s="199" t="str">
        <f ca="1">IFERROR(__xludf.DUMMYFUNCTION("""COMPUTED_VALUE"""),"G")</f>
        <v>G</v>
      </c>
      <c r="E692" s="202" t="str">
        <f ca="1">IFERROR(__xludf.DUMMYFUNCTION("""COMPUTED_VALUE"""),"J")</f>
        <v>J</v>
      </c>
      <c r="F692" s="202" t="str">
        <f ca="1">IFERROR(__xludf.DUMMYFUNCTION("""COMPUTED_VALUE"""),"I")</f>
        <v>I</v>
      </c>
      <c r="G692" s="202">
        <f ca="1">IFERROR(__xludf.DUMMYFUNCTION("""COMPUTED_VALUE"""),6)</f>
        <v>6</v>
      </c>
      <c r="H692" s="208"/>
      <c r="I692" s="208"/>
      <c r="J692" s="208"/>
      <c r="K692" s="208"/>
      <c r="L692" s="208" t="str">
        <v/>
      </c>
      <c r="M692" s="208" t="str">
        <v/>
      </c>
    </row>
    <row r="693" spans="1:13" ht="14.4">
      <c r="A693" s="199" t="str">
        <f ca="1">IFERROR(__xludf.DUMMYFUNCTION("""COMPUTED_VALUE"""),"FS")</f>
        <v>FS</v>
      </c>
      <c r="B693" s="207" t="str">
        <f ca="1">IFERROR(__xludf.DUMMYFUNCTION("""COMPUTED_VALUE"""),"Samantha Sitton")</f>
        <v>Samantha Sitton</v>
      </c>
      <c r="C693" s="199">
        <f ca="1">IFERROR(__xludf.DUMMYFUNCTION("""COMPUTED_VALUE"""),12)</f>
        <v>12</v>
      </c>
      <c r="D693" s="199" t="str">
        <f ca="1">IFERROR(__xludf.DUMMYFUNCTION("""COMPUTED_VALUE"""),"G")</f>
        <v>G</v>
      </c>
      <c r="E693" s="202" t="str">
        <f ca="1">IFERROR(__xludf.DUMMYFUNCTION("""COMPUTED_VALUE"""),"J")</f>
        <v>J</v>
      </c>
      <c r="F693" s="202" t="str">
        <f ca="1">IFERROR(__xludf.DUMMYFUNCTION("""COMPUTED_VALUE"""),"I")</f>
        <v>I</v>
      </c>
      <c r="G693" s="202">
        <f ca="1">IFERROR(__xludf.DUMMYFUNCTION("""COMPUTED_VALUE"""),6)</f>
        <v>6</v>
      </c>
      <c r="H693" s="206"/>
      <c r="I693" s="206"/>
      <c r="J693" s="206"/>
      <c r="K693" s="206"/>
      <c r="L693" s="206" t="str">
        <v/>
      </c>
      <c r="M693" s="206" t="str">
        <v/>
      </c>
    </row>
    <row r="694" spans="1:13" ht="14.4">
      <c r="A694" s="199" t="str">
        <f ca="1">IFERROR(__xludf.DUMMYFUNCTION("""COMPUTED_VALUE"""),"FS")</f>
        <v>FS</v>
      </c>
      <c r="B694" s="207" t="str">
        <f ca="1">IFERROR(__xludf.DUMMYFUNCTION("""COMPUTED_VALUE"""),"Sophie Goldberg")</f>
        <v>Sophie Goldberg</v>
      </c>
      <c r="C694" s="199">
        <f ca="1">IFERROR(__xludf.DUMMYFUNCTION("""COMPUTED_VALUE"""),12)</f>
        <v>12</v>
      </c>
      <c r="D694" s="199" t="str">
        <f ca="1">IFERROR(__xludf.DUMMYFUNCTION("""COMPUTED_VALUE"""),"G")</f>
        <v>G</v>
      </c>
      <c r="E694" s="202" t="str">
        <f ca="1">IFERROR(__xludf.DUMMYFUNCTION("""COMPUTED_VALUE"""),"J")</f>
        <v>J</v>
      </c>
      <c r="F694" s="202" t="str">
        <f ca="1">IFERROR(__xludf.DUMMYFUNCTION("""COMPUTED_VALUE"""),"I")</f>
        <v>I</v>
      </c>
      <c r="G694" s="202">
        <f ca="1">IFERROR(__xludf.DUMMYFUNCTION("""COMPUTED_VALUE"""),6)</f>
        <v>6</v>
      </c>
      <c r="H694" s="206"/>
      <c r="I694" s="206"/>
      <c r="J694" s="206"/>
      <c r="K694" s="206"/>
      <c r="L694" s="206" t="str">
        <v/>
      </c>
      <c r="M694" s="206" t="str">
        <v/>
      </c>
    </row>
    <row r="695" spans="1:13" ht="14.4">
      <c r="A695" s="199" t="str">
        <f ca="1">IFERROR(__xludf.DUMMYFUNCTION("""COMPUTED_VALUE"""),"FS")</f>
        <v>FS</v>
      </c>
      <c r="B695" s="207" t="str">
        <f ca="1">IFERROR(__xludf.DUMMYFUNCTION("""COMPUTED_VALUE"""),"Zara-Jean Penn")</f>
        <v>Zara-Jean Penn</v>
      </c>
      <c r="C695" s="199">
        <f ca="1">IFERROR(__xludf.DUMMYFUNCTION("""COMPUTED_VALUE"""),12)</f>
        <v>12</v>
      </c>
      <c r="D695" s="199" t="str">
        <f ca="1">IFERROR(__xludf.DUMMYFUNCTION("""COMPUTED_VALUE"""),"G")</f>
        <v>G</v>
      </c>
      <c r="E695" s="202" t="str">
        <f ca="1">IFERROR(__xludf.DUMMYFUNCTION("""COMPUTED_VALUE"""),"J")</f>
        <v>J</v>
      </c>
      <c r="F695" s="202" t="str">
        <f ca="1">IFERROR(__xludf.DUMMYFUNCTION("""COMPUTED_VALUE"""),"I")</f>
        <v>I</v>
      </c>
      <c r="G695" s="202">
        <f ca="1">IFERROR(__xludf.DUMMYFUNCTION("""COMPUTED_VALUE"""),6)</f>
        <v>6</v>
      </c>
      <c r="H695" s="206">
        <v>54.8</v>
      </c>
      <c r="I695" s="206"/>
      <c r="J695" s="206" t="s">
        <v>121</v>
      </c>
      <c r="K695" s="206"/>
      <c r="L695" s="206" t="str">
        <v xml:space="preserve"> 54.8</v>
      </c>
      <c r="M695" s="206" t="str">
        <v/>
      </c>
    </row>
    <row r="696" spans="1:13" ht="14.4">
      <c r="A696" s="199" t="str">
        <f ca="1">IFERROR(__xludf.DUMMYFUNCTION("""COMPUTED_VALUE"""),"FS")</f>
        <v>FS</v>
      </c>
      <c r="B696" s="207" t="str">
        <f ca="1">IFERROR(__xludf.DUMMYFUNCTION("""COMPUTED_VALUE"""),"Julian Penn")</f>
        <v>Julian Penn</v>
      </c>
      <c r="C696" s="199">
        <f ca="1">IFERROR(__xludf.DUMMYFUNCTION("""COMPUTED_VALUE"""),17)</f>
        <v>17</v>
      </c>
      <c r="D696" s="199" t="str">
        <f ca="1">IFERROR(__xludf.DUMMYFUNCTION("""COMPUTED_VALUE"""),"B")</f>
        <v>B</v>
      </c>
      <c r="E696" s="202" t="str">
        <f ca="1">IFERROR(__xludf.DUMMYFUNCTION("""COMPUTED_VALUE"""),"S")</f>
        <v>S</v>
      </c>
      <c r="F696" s="202" t="str">
        <f ca="1">IFERROR(__xludf.DUMMYFUNCTION("""COMPUTED_VALUE"""),"S")</f>
        <v>S</v>
      </c>
      <c r="G696" s="202">
        <f ca="1">IFERROR(__xludf.DUMMYFUNCTION("""COMPUTED_VALUE"""),6)</f>
        <v>6</v>
      </c>
      <c r="H696" s="206"/>
      <c r="I696" s="206">
        <v>83.3</v>
      </c>
      <c r="J696" s="206"/>
      <c r="K696" s="206" t="s">
        <v>121</v>
      </c>
      <c r="L696" s="206" t="str">
        <v xml:space="preserve"> 83.3</v>
      </c>
      <c r="M696" s="206" t="str">
        <v/>
      </c>
    </row>
    <row r="697" spans="1:13" ht="14.4">
      <c r="A697" s="199" t="str">
        <f ca="1">IFERROR(__xludf.DUMMYFUNCTION("""COMPUTED_VALUE"""),"FS")</f>
        <v>FS</v>
      </c>
      <c r="B697" s="207" t="str">
        <f ca="1">IFERROR(__xludf.DUMMYFUNCTION("""COMPUTED_VALUE"""),"Trey Telleen")</f>
        <v>Trey Telleen</v>
      </c>
      <c r="C697" s="199">
        <f ca="1">IFERROR(__xludf.DUMMYFUNCTION("""COMPUTED_VALUE"""),15)</f>
        <v>15</v>
      </c>
      <c r="D697" s="199" t="str">
        <f ca="1">IFERROR(__xludf.DUMMYFUNCTION("""COMPUTED_VALUE"""),"B")</f>
        <v>B</v>
      </c>
      <c r="E697" s="202" t="str">
        <f ca="1">IFERROR(__xludf.DUMMYFUNCTION("""COMPUTED_VALUE"""),"S")</f>
        <v>S</v>
      </c>
      <c r="F697" s="202" t="str">
        <f ca="1">IFERROR(__xludf.DUMMYFUNCTION("""COMPUTED_VALUE"""),"S")</f>
        <v>S</v>
      </c>
      <c r="G697" s="202">
        <f ca="1">IFERROR(__xludf.DUMMYFUNCTION("""COMPUTED_VALUE"""),6)</f>
        <v>6</v>
      </c>
      <c r="H697" s="206"/>
      <c r="I697" s="206">
        <v>188</v>
      </c>
      <c r="J697" s="206"/>
      <c r="K697" s="206" t="s">
        <v>121</v>
      </c>
      <c r="L697" s="206" t="str">
        <v xml:space="preserve"> 188</v>
      </c>
      <c r="M697" s="206" t="str">
        <v/>
      </c>
    </row>
    <row r="698" spans="1:13" ht="14.4">
      <c r="A698" s="199" t="str">
        <f ca="1">IFERROR(__xludf.DUMMYFUNCTION("""COMPUTED_VALUE"""),"FS")</f>
        <v>FS</v>
      </c>
      <c r="B698" s="207" t="str">
        <f ca="1">IFERROR(__xludf.DUMMYFUNCTION("""COMPUTED_VALUE"""),"Elisabeth Rockefeller")</f>
        <v>Elisabeth Rockefeller</v>
      </c>
      <c r="C698" s="199">
        <f ca="1">IFERROR(__xludf.DUMMYFUNCTION("""COMPUTED_VALUE"""),15)</f>
        <v>15</v>
      </c>
      <c r="D698" s="199" t="str">
        <f ca="1">IFERROR(__xludf.DUMMYFUNCTION("""COMPUTED_VALUE"""),"G")</f>
        <v>G</v>
      </c>
      <c r="E698" s="202" t="str">
        <f ca="1">IFERROR(__xludf.DUMMYFUNCTION("""COMPUTED_VALUE"""),"S")</f>
        <v>S</v>
      </c>
      <c r="F698" s="202" t="str">
        <f ca="1">IFERROR(__xludf.DUMMYFUNCTION("""COMPUTED_VALUE"""),"S")</f>
        <v>S</v>
      </c>
      <c r="G698" s="202">
        <f ca="1">IFERROR(__xludf.DUMMYFUNCTION("""COMPUTED_VALUE"""),6)</f>
        <v>6</v>
      </c>
      <c r="H698" s="208">
        <v>231.95</v>
      </c>
      <c r="I698" s="208"/>
      <c r="J698" s="208" t="s">
        <v>121</v>
      </c>
      <c r="K698" s="208"/>
      <c r="L698" s="208" t="str">
        <v xml:space="preserve"> 231.95</v>
      </c>
      <c r="M698" s="208" t="str">
        <v/>
      </c>
    </row>
    <row r="699" spans="1:13" ht="14.4">
      <c r="A699" s="199" t="str">
        <f ca="1">IFERROR(__xludf.DUMMYFUNCTION("""COMPUTED_VALUE"""),"FS")</f>
        <v>FS</v>
      </c>
      <c r="B699" s="207" t="str">
        <f ca="1">IFERROR(__xludf.DUMMYFUNCTION("""COMPUTED_VALUE"""),"Lucy Parente")</f>
        <v>Lucy Parente</v>
      </c>
      <c r="C699" s="199">
        <f ca="1">IFERROR(__xludf.DUMMYFUNCTION("""COMPUTED_VALUE"""),18)</f>
        <v>18</v>
      </c>
      <c r="D699" s="199" t="str">
        <f ca="1">IFERROR(__xludf.DUMMYFUNCTION("""COMPUTED_VALUE"""),"G")</f>
        <v>G</v>
      </c>
      <c r="E699" s="202" t="str">
        <f ca="1">IFERROR(__xludf.DUMMYFUNCTION("""COMPUTED_VALUE"""),"S")</f>
        <v>S</v>
      </c>
      <c r="F699" s="202" t="str">
        <f ca="1">IFERROR(__xludf.DUMMYFUNCTION("""COMPUTED_VALUE"""),"S")</f>
        <v>S</v>
      </c>
      <c r="G699" s="202">
        <f ca="1">IFERROR(__xludf.DUMMYFUNCTION("""COMPUTED_VALUE"""),6)</f>
        <v>6</v>
      </c>
      <c r="H699" s="206">
        <v>147.4</v>
      </c>
      <c r="I699" s="206"/>
      <c r="J699" s="206" t="s">
        <v>121</v>
      </c>
      <c r="K699" s="206"/>
      <c r="L699" s="206" t="str">
        <v xml:space="preserve"> 147.4</v>
      </c>
      <c r="M699" s="206" t="str">
        <v/>
      </c>
    </row>
    <row r="700" spans="1:13" ht="14.4">
      <c r="A700" s="199" t="str">
        <f ca="1">IFERROR(__xludf.DUMMYFUNCTION("""COMPUTED_VALUE"""),"FS")</f>
        <v>FS</v>
      </c>
      <c r="B700" s="207" t="str">
        <f ca="1">IFERROR(__xludf.DUMMYFUNCTION("""COMPUTED_VALUE"""),"Sarina Meyer")</f>
        <v>Sarina Meyer</v>
      </c>
      <c r="C700" s="199">
        <f ca="1">IFERROR(__xludf.DUMMYFUNCTION("""COMPUTED_VALUE"""),15)</f>
        <v>15</v>
      </c>
      <c r="D700" s="199" t="str">
        <f ca="1">IFERROR(__xludf.DUMMYFUNCTION("""COMPUTED_VALUE"""),"G")</f>
        <v>G</v>
      </c>
      <c r="E700" s="202" t="str">
        <f ca="1">IFERROR(__xludf.DUMMYFUNCTION("""COMPUTED_VALUE"""),"S")</f>
        <v>S</v>
      </c>
      <c r="F700" s="202" t="str">
        <f ca="1">IFERROR(__xludf.DUMMYFUNCTION("""COMPUTED_VALUE"""),"S")</f>
        <v>S</v>
      </c>
      <c r="G700" s="202">
        <f ca="1">IFERROR(__xludf.DUMMYFUNCTION("""COMPUTED_VALUE"""),6)</f>
        <v>6</v>
      </c>
      <c r="H700" s="208">
        <v>132.35</v>
      </c>
      <c r="I700" s="208"/>
      <c r="J700" s="208" t="s">
        <v>121</v>
      </c>
      <c r="K700" s="208"/>
      <c r="L700" s="208" t="str">
        <v xml:space="preserve"> 132.35</v>
      </c>
      <c r="M700" s="208" t="str">
        <v/>
      </c>
    </row>
    <row r="701" spans="1:13" ht="14.4">
      <c r="A701" s="199" t="str">
        <f ca="1">IFERROR(__xludf.DUMMYFUNCTION("""COMPUTED_VALUE"""),"G")</f>
        <v>G</v>
      </c>
      <c r="B701" s="207" t="str">
        <f ca="1">IFERROR(__xludf.DUMMYFUNCTION("""COMPUTED_VALUE"""),"Aiden Escobar")</f>
        <v>Aiden Escobar</v>
      </c>
      <c r="C701" s="199">
        <f ca="1">IFERROR(__xludf.DUMMYFUNCTION("""COMPUTED_VALUE"""),9)</f>
        <v>9</v>
      </c>
      <c r="D701" s="199" t="str">
        <f ca="1">IFERROR(__xludf.DUMMYFUNCTION("""COMPUTED_VALUE"""),"B")</f>
        <v>B</v>
      </c>
      <c r="E701" s="202" t="str">
        <f ca="1">IFERROR(__xludf.DUMMYFUNCTION("""COMPUTED_VALUE"""),"F")</f>
        <v>F</v>
      </c>
      <c r="F701" s="202" t="str">
        <f ca="1">IFERROR(__xludf.DUMMYFUNCTION("""COMPUTED_VALUE"""),"J")</f>
        <v>J</v>
      </c>
      <c r="G701" s="202">
        <f ca="1">IFERROR(__xludf.DUMMYFUNCTION("""COMPUTED_VALUE"""),6)</f>
        <v>6</v>
      </c>
      <c r="H701" s="208"/>
      <c r="I701" s="208"/>
      <c r="J701" s="208"/>
      <c r="K701" s="208"/>
      <c r="L701" s="208" t="str">
        <v/>
      </c>
      <c r="M701" s="208" t="str">
        <v/>
      </c>
    </row>
    <row r="702" spans="1:13" ht="14.4">
      <c r="A702" s="199" t="str">
        <f ca="1">IFERROR(__xludf.DUMMYFUNCTION("""COMPUTED_VALUE"""),"G")</f>
        <v>G</v>
      </c>
      <c r="B702" s="207" t="str">
        <f ca="1">IFERROR(__xludf.DUMMYFUNCTION("""COMPUTED_VALUE"""),"Ben Blaeuer")</f>
        <v>Ben Blaeuer</v>
      </c>
      <c r="C702" s="199">
        <f ca="1">IFERROR(__xludf.DUMMYFUNCTION("""COMPUTED_VALUE"""),9)</f>
        <v>9</v>
      </c>
      <c r="D702" s="199" t="str">
        <f ca="1">IFERROR(__xludf.DUMMYFUNCTION("""COMPUTED_VALUE"""),"B")</f>
        <v>B</v>
      </c>
      <c r="E702" s="202" t="str">
        <f ca="1">IFERROR(__xludf.DUMMYFUNCTION("""COMPUTED_VALUE"""),"F")</f>
        <v>F</v>
      </c>
      <c r="F702" s="202" t="str">
        <f ca="1">IFERROR(__xludf.DUMMYFUNCTION("""COMPUTED_VALUE"""),"J")</f>
        <v>J</v>
      </c>
      <c r="G702" s="202">
        <f ca="1">IFERROR(__xludf.DUMMYFUNCTION("""COMPUTED_VALUE"""),6)</f>
        <v>6</v>
      </c>
      <c r="H702" s="206"/>
      <c r="I702" s="206">
        <v>51.75</v>
      </c>
      <c r="J702" s="206"/>
      <c r="K702" s="206" t="s">
        <v>121</v>
      </c>
      <c r="L702" s="206" t="str">
        <v xml:space="preserve"> 51.75</v>
      </c>
      <c r="M702" s="206" t="str">
        <v/>
      </c>
    </row>
    <row r="703" spans="1:13" ht="14.4">
      <c r="A703" s="199" t="str">
        <f ca="1">IFERROR(__xludf.DUMMYFUNCTION("""COMPUTED_VALUE"""),"G")</f>
        <v>G</v>
      </c>
      <c r="B703" s="207" t="str">
        <f ca="1">IFERROR(__xludf.DUMMYFUNCTION("""COMPUTED_VALUE"""),"Blake Allen")</f>
        <v>Blake Allen</v>
      </c>
      <c r="C703" s="199">
        <f ca="1">IFERROR(__xludf.DUMMYFUNCTION("""COMPUTED_VALUE"""),8)</f>
        <v>8</v>
      </c>
      <c r="D703" s="199" t="str">
        <f ca="1">IFERROR(__xludf.DUMMYFUNCTION("""COMPUTED_VALUE"""),"B")</f>
        <v>B</v>
      </c>
      <c r="E703" s="202" t="str">
        <f ca="1">IFERROR(__xludf.DUMMYFUNCTION("""COMPUTED_VALUE"""),"F")</f>
        <v>F</v>
      </c>
      <c r="F703" s="202" t="str">
        <f ca="1">IFERROR(__xludf.DUMMYFUNCTION("""COMPUTED_VALUE"""),"J")</f>
        <v>J</v>
      </c>
      <c r="G703" s="202">
        <f ca="1">IFERROR(__xludf.DUMMYFUNCTION("""COMPUTED_VALUE"""),6)</f>
        <v>6</v>
      </c>
      <c r="H703" s="206"/>
      <c r="I703" s="206">
        <v>57.7</v>
      </c>
      <c r="J703" s="206"/>
      <c r="K703" s="206" t="s">
        <v>123</v>
      </c>
      <c r="L703" s="206" t="str">
        <v xml:space="preserve"> -57.7</v>
      </c>
      <c r="M703" s="206" t="str">
        <v>^</v>
      </c>
    </row>
    <row r="704" spans="1:13" ht="14.4">
      <c r="A704" s="199" t="str">
        <f ca="1">IFERROR(__xludf.DUMMYFUNCTION("""COMPUTED_VALUE"""),"G")</f>
        <v>G</v>
      </c>
      <c r="B704" s="207" t="str">
        <f ca="1">IFERROR(__xludf.DUMMYFUNCTION("""COMPUTED_VALUE"""),"Cal Lawrence")</f>
        <v>Cal Lawrence</v>
      </c>
      <c r="C704" s="199">
        <f ca="1">IFERROR(__xludf.DUMMYFUNCTION("""COMPUTED_VALUE"""),7)</f>
        <v>7</v>
      </c>
      <c r="D704" s="199" t="str">
        <f ca="1">IFERROR(__xludf.DUMMYFUNCTION("""COMPUTED_VALUE"""),"B")</f>
        <v>B</v>
      </c>
      <c r="E704" s="202" t="str">
        <f ca="1">IFERROR(__xludf.DUMMYFUNCTION("""COMPUTED_VALUE"""),"F")</f>
        <v>F</v>
      </c>
      <c r="F704" s="202" t="str">
        <f ca="1">IFERROR(__xludf.DUMMYFUNCTION("""COMPUTED_VALUE"""),"J")</f>
        <v>J</v>
      </c>
      <c r="G704" s="202">
        <f ca="1">IFERROR(__xludf.DUMMYFUNCTION("""COMPUTED_VALUE"""),6)</f>
        <v>6</v>
      </c>
      <c r="H704" s="208"/>
      <c r="I704" s="208"/>
      <c r="J704" s="208"/>
      <c r="K704" s="208"/>
      <c r="L704" s="208" t="str">
        <v/>
      </c>
      <c r="M704" s="208" t="str">
        <v/>
      </c>
    </row>
    <row r="705" spans="1:13" ht="14.4">
      <c r="A705" s="199" t="str">
        <f ca="1">IFERROR(__xludf.DUMMYFUNCTION("""COMPUTED_VALUE"""),"G")</f>
        <v>G</v>
      </c>
      <c r="B705" s="207" t="str">
        <f ca="1">IFERROR(__xludf.DUMMYFUNCTION("""COMPUTED_VALUE"""),"Daniel Caceres")</f>
        <v>Daniel Caceres</v>
      </c>
      <c r="C705" s="199">
        <f ca="1">IFERROR(__xludf.DUMMYFUNCTION("""COMPUTED_VALUE"""),7)</f>
        <v>7</v>
      </c>
      <c r="D705" s="199" t="str">
        <f ca="1">IFERROR(__xludf.DUMMYFUNCTION("""COMPUTED_VALUE"""),"B")</f>
        <v>B</v>
      </c>
      <c r="E705" s="202" t="str">
        <f ca="1">IFERROR(__xludf.DUMMYFUNCTION("""COMPUTED_VALUE"""),"F")</f>
        <v>F</v>
      </c>
      <c r="F705" s="202" t="str">
        <f ca="1">IFERROR(__xludf.DUMMYFUNCTION("""COMPUTED_VALUE"""),"J")</f>
        <v>J</v>
      </c>
      <c r="G705" s="202">
        <f ca="1">IFERROR(__xludf.DUMMYFUNCTION("""COMPUTED_VALUE"""),6)</f>
        <v>6</v>
      </c>
      <c r="H705" s="208"/>
      <c r="I705" s="208"/>
      <c r="J705" s="208"/>
      <c r="K705" s="208"/>
      <c r="L705" s="208" t="str">
        <v/>
      </c>
      <c r="M705" s="208" t="str">
        <v/>
      </c>
    </row>
    <row r="706" spans="1:13" ht="14.4">
      <c r="A706" s="199" t="str">
        <f ca="1">IFERROR(__xludf.DUMMYFUNCTION("""COMPUTED_VALUE"""),"G")</f>
        <v>G</v>
      </c>
      <c r="B706" s="207" t="str">
        <f ca="1">IFERROR(__xludf.DUMMYFUNCTION("""COMPUTED_VALUE"""),"Foster Eig")</f>
        <v>Foster Eig</v>
      </c>
      <c r="C706" s="199">
        <f ca="1">IFERROR(__xludf.DUMMYFUNCTION("""COMPUTED_VALUE"""),8)</f>
        <v>8</v>
      </c>
      <c r="D706" s="199" t="str">
        <f ca="1">IFERROR(__xludf.DUMMYFUNCTION("""COMPUTED_VALUE"""),"B")</f>
        <v>B</v>
      </c>
      <c r="E706" s="202" t="str">
        <f ca="1">IFERROR(__xludf.DUMMYFUNCTION("""COMPUTED_VALUE"""),"F")</f>
        <v>F</v>
      </c>
      <c r="F706" s="202" t="str">
        <f ca="1">IFERROR(__xludf.DUMMYFUNCTION("""COMPUTED_VALUE"""),"J")</f>
        <v>J</v>
      </c>
      <c r="G706" s="202">
        <f ca="1">IFERROR(__xludf.DUMMYFUNCTION("""COMPUTED_VALUE"""),6)</f>
        <v>6</v>
      </c>
      <c r="H706" s="206"/>
      <c r="I706" s="206"/>
      <c r="J706" s="206"/>
      <c r="K706" s="206"/>
      <c r="L706" s="206" t="str">
        <v/>
      </c>
      <c r="M706" s="206" t="str">
        <v/>
      </c>
    </row>
    <row r="707" spans="1:13" ht="14.4">
      <c r="A707" s="199" t="str">
        <f ca="1">IFERROR(__xludf.DUMMYFUNCTION("""COMPUTED_VALUE"""),"G")</f>
        <v>G</v>
      </c>
      <c r="B707" s="207" t="str">
        <f ca="1">IFERROR(__xludf.DUMMYFUNCTION("""COMPUTED_VALUE"""),"Jack Henry")</f>
        <v>Jack Henry</v>
      </c>
      <c r="C707" s="199">
        <f ca="1">IFERROR(__xludf.DUMMYFUNCTION("""COMPUTED_VALUE"""),8)</f>
        <v>8</v>
      </c>
      <c r="D707" s="199" t="str">
        <f ca="1">IFERROR(__xludf.DUMMYFUNCTION("""COMPUTED_VALUE"""),"B")</f>
        <v>B</v>
      </c>
      <c r="E707" s="202" t="str">
        <f ca="1">IFERROR(__xludf.DUMMYFUNCTION("""COMPUTED_VALUE"""),"F")</f>
        <v>F</v>
      </c>
      <c r="F707" s="202" t="str">
        <f ca="1">IFERROR(__xludf.DUMMYFUNCTION("""COMPUTED_VALUE"""),"J")</f>
        <v>J</v>
      </c>
      <c r="G707" s="202">
        <f ca="1">IFERROR(__xludf.DUMMYFUNCTION("""COMPUTED_VALUE"""),6)</f>
        <v>6</v>
      </c>
      <c r="H707" s="206"/>
      <c r="I707" s="206">
        <v>38.75</v>
      </c>
      <c r="J707" s="206"/>
      <c r="K707" s="206" t="s">
        <v>121</v>
      </c>
      <c r="L707" s="206" t="str">
        <v xml:space="preserve"> 38.75</v>
      </c>
      <c r="M707" s="206" t="str">
        <v/>
      </c>
    </row>
    <row r="708" spans="1:13" ht="14.4">
      <c r="A708" s="199" t="str">
        <f ca="1">IFERROR(__xludf.DUMMYFUNCTION("""COMPUTED_VALUE"""),"G")</f>
        <v>G</v>
      </c>
      <c r="B708" s="207" t="str">
        <f ca="1">IFERROR(__xludf.DUMMYFUNCTION("""COMPUTED_VALUE"""),"Joshua Nassar")</f>
        <v>Joshua Nassar</v>
      </c>
      <c r="C708" s="199">
        <f ca="1">IFERROR(__xludf.DUMMYFUNCTION("""COMPUTED_VALUE"""),7)</f>
        <v>7</v>
      </c>
      <c r="D708" s="199" t="str">
        <f ca="1">IFERROR(__xludf.DUMMYFUNCTION("""COMPUTED_VALUE"""),"B")</f>
        <v>B</v>
      </c>
      <c r="E708" s="202" t="str">
        <f ca="1">IFERROR(__xludf.DUMMYFUNCTION("""COMPUTED_VALUE"""),"F")</f>
        <v>F</v>
      </c>
      <c r="F708" s="202" t="str">
        <f ca="1">IFERROR(__xludf.DUMMYFUNCTION("""COMPUTED_VALUE"""),"J")</f>
        <v>J</v>
      </c>
      <c r="G708" s="202">
        <f ca="1">IFERROR(__xludf.DUMMYFUNCTION("""COMPUTED_VALUE"""),6)</f>
        <v>6</v>
      </c>
      <c r="H708" s="206"/>
      <c r="I708" s="206"/>
      <c r="J708" s="206"/>
      <c r="K708" s="206"/>
      <c r="L708" s="206" t="str">
        <v/>
      </c>
      <c r="M708" s="206" t="str">
        <v/>
      </c>
    </row>
    <row r="709" spans="1:13" ht="14.4">
      <c r="A709" s="199" t="str">
        <f ca="1">IFERROR(__xludf.DUMMYFUNCTION("""COMPUTED_VALUE"""),"G")</f>
        <v>G</v>
      </c>
      <c r="B709" s="207" t="str">
        <f ca="1">IFERROR(__xludf.DUMMYFUNCTION("""COMPUTED_VALUE"""),"Leo Ehteshami")</f>
        <v>Leo Ehteshami</v>
      </c>
      <c r="C709" s="199">
        <f ca="1">IFERROR(__xludf.DUMMYFUNCTION("""COMPUTED_VALUE"""),6)</f>
        <v>6</v>
      </c>
      <c r="D709" s="199" t="str">
        <f ca="1">IFERROR(__xludf.DUMMYFUNCTION("""COMPUTED_VALUE"""),"B")</f>
        <v>B</v>
      </c>
      <c r="E709" s="202" t="str">
        <f ca="1">IFERROR(__xludf.DUMMYFUNCTION("""COMPUTED_VALUE"""),"F")</f>
        <v>F</v>
      </c>
      <c r="F709" s="202" t="str">
        <f ca="1">IFERROR(__xludf.DUMMYFUNCTION("""COMPUTED_VALUE"""),"J")</f>
        <v>J</v>
      </c>
      <c r="G709" s="202">
        <f ca="1">IFERROR(__xludf.DUMMYFUNCTION("""COMPUTED_VALUE"""),6)</f>
        <v>6</v>
      </c>
      <c r="H709" s="206"/>
      <c r="I709" s="206"/>
      <c r="J709" s="206"/>
      <c r="K709" s="206"/>
      <c r="L709" s="206" t="str">
        <v/>
      </c>
      <c r="M709" s="206" t="str">
        <v/>
      </c>
    </row>
    <row r="710" spans="1:13" ht="14.4">
      <c r="A710" s="199" t="str">
        <f ca="1">IFERROR(__xludf.DUMMYFUNCTION("""COMPUTED_VALUE"""),"G")</f>
        <v>G</v>
      </c>
      <c r="B710" s="207" t="str">
        <f ca="1">IFERROR(__xludf.DUMMYFUNCTION("""COMPUTED_VALUE"""),"Mack Miller")</f>
        <v>Mack Miller</v>
      </c>
      <c r="C710" s="199">
        <f ca="1">IFERROR(__xludf.DUMMYFUNCTION("""COMPUTED_VALUE"""),10)</f>
        <v>10</v>
      </c>
      <c r="D710" s="199" t="str">
        <f ca="1">IFERROR(__xludf.DUMMYFUNCTION("""COMPUTED_VALUE"""),"B")</f>
        <v>B</v>
      </c>
      <c r="E710" s="202" t="str">
        <f ca="1">IFERROR(__xludf.DUMMYFUNCTION("""COMPUTED_VALUE"""),"F")</f>
        <v>F</v>
      </c>
      <c r="F710" s="202" t="str">
        <f ca="1">IFERROR(__xludf.DUMMYFUNCTION("""COMPUTED_VALUE"""),"J")</f>
        <v>J</v>
      </c>
      <c r="G710" s="202">
        <f ca="1">IFERROR(__xludf.DUMMYFUNCTION("""COMPUTED_VALUE"""),6)</f>
        <v>6</v>
      </c>
      <c r="H710" s="206"/>
      <c r="I710" s="206">
        <v>72.75</v>
      </c>
      <c r="J710" s="206"/>
      <c r="K710" s="206" t="s">
        <v>121</v>
      </c>
      <c r="L710" s="206" t="str">
        <v xml:space="preserve"> 72.75</v>
      </c>
      <c r="M710" s="206" t="str">
        <v/>
      </c>
    </row>
    <row r="711" spans="1:13" ht="14.4">
      <c r="A711" s="199" t="str">
        <f ca="1">IFERROR(__xludf.DUMMYFUNCTION("""COMPUTED_VALUE"""),"G")</f>
        <v>G</v>
      </c>
      <c r="B711" s="207" t="str">
        <f ca="1">IFERROR(__xludf.DUMMYFUNCTION("""COMPUTED_VALUE"""),"Max Waterman")</f>
        <v>Max Waterman</v>
      </c>
      <c r="C711" s="199">
        <f ca="1">IFERROR(__xludf.DUMMYFUNCTION("""COMPUTED_VALUE"""),9)</f>
        <v>9</v>
      </c>
      <c r="D711" s="199" t="str">
        <f ca="1">IFERROR(__xludf.DUMMYFUNCTION("""COMPUTED_VALUE"""),"B")</f>
        <v>B</v>
      </c>
      <c r="E711" s="202" t="str">
        <f ca="1">IFERROR(__xludf.DUMMYFUNCTION("""COMPUTED_VALUE"""),"F")</f>
        <v>F</v>
      </c>
      <c r="F711" s="202" t="str">
        <f ca="1">IFERROR(__xludf.DUMMYFUNCTION("""COMPUTED_VALUE"""),"J")</f>
        <v>J</v>
      </c>
      <c r="G711" s="202">
        <f ca="1">IFERROR(__xludf.DUMMYFUNCTION("""COMPUTED_VALUE"""),6)</f>
        <v>6</v>
      </c>
      <c r="H711" s="208"/>
      <c r="I711" s="208">
        <v>37.6</v>
      </c>
      <c r="J711" s="208"/>
      <c r="K711" s="208" t="s">
        <v>121</v>
      </c>
      <c r="L711" s="208" t="str">
        <v xml:space="preserve"> 37.6</v>
      </c>
      <c r="M711" s="208" t="str">
        <v/>
      </c>
    </row>
    <row r="712" spans="1:13" ht="14.4">
      <c r="A712" s="199" t="str">
        <f ca="1">IFERROR(__xludf.DUMMYFUNCTION("""COMPUTED_VALUE"""),"G")</f>
        <v>G</v>
      </c>
      <c r="B712" s="207" t="str">
        <f ca="1">IFERROR(__xludf.DUMMYFUNCTION("""COMPUTED_VALUE"""),"Nick Henry")</f>
        <v>Nick Henry</v>
      </c>
      <c r="C712" s="199">
        <f ca="1">IFERROR(__xludf.DUMMYFUNCTION("""COMPUTED_VALUE"""),6)</f>
        <v>6</v>
      </c>
      <c r="D712" s="199" t="str">
        <f ca="1">IFERROR(__xludf.DUMMYFUNCTION("""COMPUTED_VALUE"""),"B")</f>
        <v>B</v>
      </c>
      <c r="E712" s="202" t="str">
        <f ca="1">IFERROR(__xludf.DUMMYFUNCTION("""COMPUTED_VALUE"""),"F")</f>
        <v>F</v>
      </c>
      <c r="F712" s="202" t="str">
        <f ca="1">IFERROR(__xludf.DUMMYFUNCTION("""COMPUTED_VALUE"""),"J")</f>
        <v>J</v>
      </c>
      <c r="G712" s="202">
        <f ca="1">IFERROR(__xludf.DUMMYFUNCTION("""COMPUTED_VALUE"""),6)</f>
        <v>6</v>
      </c>
      <c r="H712" s="206"/>
      <c r="I712" s="206"/>
      <c r="J712" s="206"/>
      <c r="K712" s="206"/>
      <c r="L712" s="206" t="str">
        <v/>
      </c>
      <c r="M712" s="206" t="str">
        <v/>
      </c>
    </row>
    <row r="713" spans="1:13" ht="14.4">
      <c r="A713" s="199" t="str">
        <f ca="1">IFERROR(__xludf.DUMMYFUNCTION("""COMPUTED_VALUE"""),"G")</f>
        <v>G</v>
      </c>
      <c r="B713" s="207" t="str">
        <f ca="1">IFERROR(__xludf.DUMMYFUNCTION("""COMPUTED_VALUE"""),"Pike Conway")</f>
        <v>Pike Conway</v>
      </c>
      <c r="C713" s="199">
        <f ca="1">IFERROR(__xludf.DUMMYFUNCTION("""COMPUTED_VALUE"""),9)</f>
        <v>9</v>
      </c>
      <c r="D713" s="199" t="str">
        <f ca="1">IFERROR(__xludf.DUMMYFUNCTION("""COMPUTED_VALUE"""),"B")</f>
        <v>B</v>
      </c>
      <c r="E713" s="202" t="str">
        <f ca="1">IFERROR(__xludf.DUMMYFUNCTION("""COMPUTED_VALUE"""),"F")</f>
        <v>F</v>
      </c>
      <c r="F713" s="202" t="str">
        <f ca="1">IFERROR(__xludf.DUMMYFUNCTION("""COMPUTED_VALUE"""),"J")</f>
        <v>J</v>
      </c>
      <c r="G713" s="202">
        <f ca="1">IFERROR(__xludf.DUMMYFUNCTION("""COMPUTED_VALUE"""),6)</f>
        <v>6</v>
      </c>
      <c r="H713" s="208"/>
      <c r="I713" s="208">
        <v>42.5</v>
      </c>
      <c r="J713" s="208"/>
      <c r="K713" s="208" t="s">
        <v>121</v>
      </c>
      <c r="L713" s="208" t="str">
        <v xml:space="preserve"> 42.5</v>
      </c>
      <c r="M713" s="208" t="str">
        <v/>
      </c>
    </row>
    <row r="714" spans="1:13" ht="14.4">
      <c r="A714" s="199" t="str">
        <f ca="1">IFERROR(__xludf.DUMMYFUNCTION("""COMPUTED_VALUE"""),"G")</f>
        <v>G</v>
      </c>
      <c r="B714" s="207" t="str">
        <f ca="1">IFERROR(__xludf.DUMMYFUNCTION("""COMPUTED_VALUE"""),"Will Sourwine")</f>
        <v>Will Sourwine</v>
      </c>
      <c r="C714" s="199">
        <f ca="1">IFERROR(__xludf.DUMMYFUNCTION("""COMPUTED_VALUE"""),7)</f>
        <v>7</v>
      </c>
      <c r="D714" s="199" t="str">
        <f ca="1">IFERROR(__xludf.DUMMYFUNCTION("""COMPUTED_VALUE"""),"B")</f>
        <v>B</v>
      </c>
      <c r="E714" s="202" t="str">
        <f ca="1">IFERROR(__xludf.DUMMYFUNCTION("""COMPUTED_VALUE"""),"F")</f>
        <v>F</v>
      </c>
      <c r="F714" s="202" t="str">
        <f ca="1">IFERROR(__xludf.DUMMYFUNCTION("""COMPUTED_VALUE"""),"J")</f>
        <v>J</v>
      </c>
      <c r="G714" s="202">
        <f ca="1">IFERROR(__xludf.DUMMYFUNCTION("""COMPUTED_VALUE"""),6)</f>
        <v>6</v>
      </c>
      <c r="H714" s="206"/>
      <c r="I714" s="206"/>
      <c r="J714" s="206"/>
      <c r="K714" s="206"/>
      <c r="L714" s="206" t="str">
        <v/>
      </c>
      <c r="M714" s="206" t="str">
        <v/>
      </c>
    </row>
    <row r="715" spans="1:13" ht="14.4">
      <c r="A715" s="199" t="str">
        <f ca="1">IFERROR(__xludf.DUMMYFUNCTION("""COMPUTED_VALUE"""),"G")</f>
        <v>G</v>
      </c>
      <c r="B715" s="207" t="str">
        <f ca="1">IFERROR(__xludf.DUMMYFUNCTION("""COMPUTED_VALUE"""),"Amelia Price")</f>
        <v>Amelia Price</v>
      </c>
      <c r="C715" s="199">
        <f ca="1">IFERROR(__xludf.DUMMYFUNCTION("""COMPUTED_VALUE"""),8)</f>
        <v>8</v>
      </c>
      <c r="D715" s="199" t="str">
        <f ca="1">IFERROR(__xludf.DUMMYFUNCTION("""COMPUTED_VALUE"""),"G")</f>
        <v>G</v>
      </c>
      <c r="E715" s="202" t="str">
        <f ca="1">IFERROR(__xludf.DUMMYFUNCTION("""COMPUTED_VALUE"""),"F")</f>
        <v>F</v>
      </c>
      <c r="F715" s="202" t="str">
        <f ca="1">IFERROR(__xludf.DUMMYFUNCTION("""COMPUTED_VALUE"""),"J")</f>
        <v>J</v>
      </c>
      <c r="G715" s="202">
        <f ca="1">IFERROR(__xludf.DUMMYFUNCTION("""COMPUTED_VALUE"""),6)</f>
        <v>6</v>
      </c>
      <c r="H715" s="208"/>
      <c r="I715" s="208"/>
      <c r="J715" s="208"/>
      <c r="K715" s="208"/>
      <c r="L715" s="208" t="str">
        <v/>
      </c>
      <c r="M715" s="208" t="str">
        <v/>
      </c>
    </row>
    <row r="716" spans="1:13" ht="14.4">
      <c r="A716" s="199" t="str">
        <f ca="1">IFERROR(__xludf.DUMMYFUNCTION("""COMPUTED_VALUE"""),"G")</f>
        <v>G</v>
      </c>
      <c r="B716" s="207" t="str">
        <f ca="1">IFERROR(__xludf.DUMMYFUNCTION("""COMPUTED_VALUE"""),"Anna Goodell")</f>
        <v>Anna Goodell</v>
      </c>
      <c r="C716" s="199">
        <f ca="1">IFERROR(__xludf.DUMMYFUNCTION("""COMPUTED_VALUE"""),8)</f>
        <v>8</v>
      </c>
      <c r="D716" s="199" t="str">
        <f ca="1">IFERROR(__xludf.DUMMYFUNCTION("""COMPUTED_VALUE"""),"G")</f>
        <v>G</v>
      </c>
      <c r="E716" s="202" t="str">
        <f ca="1">IFERROR(__xludf.DUMMYFUNCTION("""COMPUTED_VALUE"""),"F")</f>
        <v>F</v>
      </c>
      <c r="F716" s="202" t="str">
        <f ca="1">IFERROR(__xludf.DUMMYFUNCTION("""COMPUTED_VALUE"""),"J")</f>
        <v>J</v>
      </c>
      <c r="G716" s="202">
        <f ca="1">IFERROR(__xludf.DUMMYFUNCTION("""COMPUTED_VALUE"""),6)</f>
        <v>6</v>
      </c>
      <c r="H716" s="206"/>
      <c r="I716" s="206"/>
      <c r="J716" s="206"/>
      <c r="K716" s="206"/>
      <c r="L716" s="206" t="str">
        <v/>
      </c>
      <c r="M716" s="206" t="str">
        <v/>
      </c>
    </row>
    <row r="717" spans="1:13" ht="14.4">
      <c r="A717" s="199" t="str">
        <f ca="1">IFERROR(__xludf.DUMMYFUNCTION("""COMPUTED_VALUE"""),"G")</f>
        <v>G</v>
      </c>
      <c r="B717" s="207" t="str">
        <f ca="1">IFERROR(__xludf.DUMMYFUNCTION("""COMPUTED_VALUE"""),"Gabriella Roberts")</f>
        <v>Gabriella Roberts</v>
      </c>
      <c r="C717" s="199">
        <f ca="1">IFERROR(__xludf.DUMMYFUNCTION("""COMPUTED_VALUE"""),7)</f>
        <v>7</v>
      </c>
      <c r="D717" s="199" t="str">
        <f ca="1">IFERROR(__xludf.DUMMYFUNCTION("""COMPUTED_VALUE"""),"G")</f>
        <v>G</v>
      </c>
      <c r="E717" s="202" t="str">
        <f ca="1">IFERROR(__xludf.DUMMYFUNCTION("""COMPUTED_VALUE"""),"F")</f>
        <v>F</v>
      </c>
      <c r="F717" s="202" t="str">
        <f ca="1">IFERROR(__xludf.DUMMYFUNCTION("""COMPUTED_VALUE"""),"J")</f>
        <v>J</v>
      </c>
      <c r="G717" s="202">
        <f ca="1">IFERROR(__xludf.DUMMYFUNCTION("""COMPUTED_VALUE"""),6)</f>
        <v>6</v>
      </c>
      <c r="H717" s="208">
        <v>59.9</v>
      </c>
      <c r="I717" s="208"/>
      <c r="J717" s="208" t="s">
        <v>121</v>
      </c>
      <c r="K717" s="208"/>
      <c r="L717" s="208" t="str">
        <v xml:space="preserve"> 59.9</v>
      </c>
      <c r="M717" s="208" t="str">
        <v/>
      </c>
    </row>
    <row r="718" spans="1:13" ht="14.4">
      <c r="A718" s="199" t="str">
        <f ca="1">IFERROR(__xludf.DUMMYFUNCTION("""COMPUTED_VALUE"""),"G")</f>
        <v>G</v>
      </c>
      <c r="B718" s="207" t="str">
        <f ca="1">IFERROR(__xludf.DUMMYFUNCTION("""COMPUTED_VALUE"""),"Hannah Snyder")</f>
        <v>Hannah Snyder</v>
      </c>
      <c r="C718" s="199">
        <f ca="1">IFERROR(__xludf.DUMMYFUNCTION("""COMPUTED_VALUE"""),9)</f>
        <v>9</v>
      </c>
      <c r="D718" s="199" t="str">
        <f ca="1">IFERROR(__xludf.DUMMYFUNCTION("""COMPUTED_VALUE"""),"G")</f>
        <v>G</v>
      </c>
      <c r="E718" s="202" t="str">
        <f ca="1">IFERROR(__xludf.DUMMYFUNCTION("""COMPUTED_VALUE"""),"F")</f>
        <v>F</v>
      </c>
      <c r="F718" s="202" t="str">
        <f ca="1">IFERROR(__xludf.DUMMYFUNCTION("""COMPUTED_VALUE"""),"J")</f>
        <v>J</v>
      </c>
      <c r="G718" s="202">
        <f ca="1">IFERROR(__xludf.DUMMYFUNCTION("""COMPUTED_VALUE"""),6)</f>
        <v>6</v>
      </c>
      <c r="H718" s="208"/>
      <c r="I718" s="208"/>
      <c r="J718" s="208"/>
      <c r="K718" s="208"/>
      <c r="L718" s="208" t="str">
        <v/>
      </c>
      <c r="M718" s="208" t="str">
        <v/>
      </c>
    </row>
    <row r="719" spans="1:13" ht="14.4">
      <c r="A719" s="199" t="str">
        <f ca="1">IFERROR(__xludf.DUMMYFUNCTION("""COMPUTED_VALUE"""),"G")</f>
        <v>G</v>
      </c>
      <c r="B719" s="207" t="str">
        <f ca="1">IFERROR(__xludf.DUMMYFUNCTION("""COMPUTED_VALUE"""),"Kayla Tarugsa")</f>
        <v>Kayla Tarugsa</v>
      </c>
      <c r="C719" s="199">
        <f ca="1">IFERROR(__xludf.DUMMYFUNCTION("""COMPUTED_VALUE"""),10)</f>
        <v>10</v>
      </c>
      <c r="D719" s="199" t="str">
        <f ca="1">IFERROR(__xludf.DUMMYFUNCTION("""COMPUTED_VALUE"""),"G")</f>
        <v>G</v>
      </c>
      <c r="E719" s="202" t="str">
        <f ca="1">IFERROR(__xludf.DUMMYFUNCTION("""COMPUTED_VALUE"""),"F")</f>
        <v>F</v>
      </c>
      <c r="F719" s="202" t="str">
        <f ca="1">IFERROR(__xludf.DUMMYFUNCTION("""COMPUTED_VALUE"""),"J")</f>
        <v>J</v>
      </c>
      <c r="G719" s="202">
        <f ca="1">IFERROR(__xludf.DUMMYFUNCTION("""COMPUTED_VALUE"""),6)</f>
        <v>6</v>
      </c>
      <c r="H719" s="208">
        <v>65.650000000000006</v>
      </c>
      <c r="I719" s="208"/>
      <c r="J719" s="208" t="s">
        <v>121</v>
      </c>
      <c r="K719" s="208"/>
      <c r="L719" s="208" t="str">
        <v xml:space="preserve"> 65.65</v>
      </c>
      <c r="M719" s="208" t="str">
        <v/>
      </c>
    </row>
    <row r="720" spans="1:13" ht="14.4">
      <c r="A720" s="199" t="str">
        <f ca="1">IFERROR(__xludf.DUMMYFUNCTION("""COMPUTED_VALUE"""),"G")</f>
        <v>G</v>
      </c>
      <c r="B720" s="207" t="str">
        <f ca="1">IFERROR(__xludf.DUMMYFUNCTION("""COMPUTED_VALUE"""),"Leighton Raich")</f>
        <v>Leighton Raich</v>
      </c>
      <c r="C720" s="199">
        <f ca="1">IFERROR(__xludf.DUMMYFUNCTION("""COMPUTED_VALUE"""),9)</f>
        <v>9</v>
      </c>
      <c r="D720" s="199" t="str">
        <f ca="1">IFERROR(__xludf.DUMMYFUNCTION("""COMPUTED_VALUE"""),"G")</f>
        <v>G</v>
      </c>
      <c r="E720" s="202" t="str">
        <f ca="1">IFERROR(__xludf.DUMMYFUNCTION("""COMPUTED_VALUE"""),"F")</f>
        <v>F</v>
      </c>
      <c r="F720" s="202" t="str">
        <f ca="1">IFERROR(__xludf.DUMMYFUNCTION("""COMPUTED_VALUE"""),"J")</f>
        <v>J</v>
      </c>
      <c r="G720" s="202">
        <f ca="1">IFERROR(__xludf.DUMMYFUNCTION("""COMPUTED_VALUE"""),6)</f>
        <v>6</v>
      </c>
      <c r="H720" s="208"/>
      <c r="I720" s="208"/>
      <c r="J720" s="208"/>
      <c r="K720" s="208"/>
      <c r="L720" s="208" t="str">
        <v/>
      </c>
      <c r="M720" s="208" t="str">
        <v/>
      </c>
    </row>
    <row r="721" spans="1:13" ht="14.4">
      <c r="A721" s="199" t="str">
        <f ca="1">IFERROR(__xludf.DUMMYFUNCTION("""COMPUTED_VALUE"""),"G")</f>
        <v>G</v>
      </c>
      <c r="B721" s="207" t="str">
        <f ca="1">IFERROR(__xludf.DUMMYFUNCTION("""COMPUTED_VALUE"""),"Madelyn Nassar")</f>
        <v>Madelyn Nassar</v>
      </c>
      <c r="C721" s="199">
        <f ca="1">IFERROR(__xludf.DUMMYFUNCTION("""COMPUTED_VALUE"""),9)</f>
        <v>9</v>
      </c>
      <c r="D721" s="199" t="str">
        <f ca="1">IFERROR(__xludf.DUMMYFUNCTION("""COMPUTED_VALUE"""),"G")</f>
        <v>G</v>
      </c>
      <c r="E721" s="202" t="str">
        <f ca="1">IFERROR(__xludf.DUMMYFUNCTION("""COMPUTED_VALUE"""),"F")</f>
        <v>F</v>
      </c>
      <c r="F721" s="202" t="str">
        <f ca="1">IFERROR(__xludf.DUMMYFUNCTION("""COMPUTED_VALUE"""),"J")</f>
        <v>J</v>
      </c>
      <c r="G721" s="202">
        <f ca="1">IFERROR(__xludf.DUMMYFUNCTION("""COMPUTED_VALUE"""),6)</f>
        <v>6</v>
      </c>
      <c r="H721" s="208">
        <v>48.4</v>
      </c>
      <c r="I721" s="208"/>
      <c r="J721" s="208" t="s">
        <v>121</v>
      </c>
      <c r="K721" s="208"/>
      <c r="L721" s="208" t="str">
        <v xml:space="preserve"> 48.4</v>
      </c>
      <c r="M721" s="208" t="str">
        <v/>
      </c>
    </row>
    <row r="722" spans="1:13" ht="14.4">
      <c r="A722" s="199" t="str">
        <f ca="1">IFERROR(__xludf.DUMMYFUNCTION("""COMPUTED_VALUE"""),"G")</f>
        <v>G</v>
      </c>
      <c r="B722" s="207" t="str">
        <f ca="1">IFERROR(__xludf.DUMMYFUNCTION("""COMPUTED_VALUE"""),"Michelle Pietress")</f>
        <v>Michelle Pietress</v>
      </c>
      <c r="C722" s="199">
        <f ca="1">IFERROR(__xludf.DUMMYFUNCTION("""COMPUTED_VALUE"""),7)</f>
        <v>7</v>
      </c>
      <c r="D722" s="199" t="str">
        <f ca="1">IFERROR(__xludf.DUMMYFUNCTION("""COMPUTED_VALUE"""),"G")</f>
        <v>G</v>
      </c>
      <c r="E722" s="202" t="str">
        <f ca="1">IFERROR(__xludf.DUMMYFUNCTION("""COMPUTED_VALUE"""),"F")</f>
        <v>F</v>
      </c>
      <c r="F722" s="202" t="str">
        <f ca="1">IFERROR(__xludf.DUMMYFUNCTION("""COMPUTED_VALUE"""),"J")</f>
        <v>J</v>
      </c>
      <c r="G722" s="202">
        <f ca="1">IFERROR(__xludf.DUMMYFUNCTION("""COMPUTED_VALUE"""),6)</f>
        <v>6</v>
      </c>
      <c r="H722" s="206"/>
      <c r="I722" s="206"/>
      <c r="J722" s="206"/>
      <c r="K722" s="206"/>
      <c r="L722" s="206" t="str">
        <v/>
      </c>
      <c r="M722" s="206" t="str">
        <v/>
      </c>
    </row>
    <row r="723" spans="1:13" ht="14.4">
      <c r="A723" s="199" t="str">
        <f ca="1">IFERROR(__xludf.DUMMYFUNCTION("""COMPUTED_VALUE"""),"G")</f>
        <v>G</v>
      </c>
      <c r="B723" s="207" t="str">
        <f ca="1">IFERROR(__xludf.DUMMYFUNCTION("""COMPUTED_VALUE"""),"Mila Brown")</f>
        <v>Mila Brown</v>
      </c>
      <c r="C723" s="199">
        <f ca="1">IFERROR(__xludf.DUMMYFUNCTION("""COMPUTED_VALUE"""),6)</f>
        <v>6</v>
      </c>
      <c r="D723" s="199" t="str">
        <f ca="1">IFERROR(__xludf.DUMMYFUNCTION("""COMPUTED_VALUE"""),"G")</f>
        <v>G</v>
      </c>
      <c r="E723" s="202" t="str">
        <f ca="1">IFERROR(__xludf.DUMMYFUNCTION("""COMPUTED_VALUE"""),"F")</f>
        <v>F</v>
      </c>
      <c r="F723" s="202" t="str">
        <f ca="1">IFERROR(__xludf.DUMMYFUNCTION("""COMPUTED_VALUE"""),"J")</f>
        <v>J</v>
      </c>
      <c r="G723" s="202">
        <f ca="1">IFERROR(__xludf.DUMMYFUNCTION("""COMPUTED_VALUE"""),6)</f>
        <v>6</v>
      </c>
      <c r="H723" s="208"/>
      <c r="I723" s="208"/>
      <c r="J723" s="208"/>
      <c r="K723" s="208"/>
      <c r="L723" s="208" t="str">
        <v/>
      </c>
      <c r="M723" s="208" t="str">
        <v/>
      </c>
    </row>
    <row r="724" spans="1:13" ht="14.4">
      <c r="A724" s="199" t="str">
        <f ca="1">IFERROR(__xludf.DUMMYFUNCTION("""COMPUTED_VALUE"""),"G")</f>
        <v>G</v>
      </c>
      <c r="B724" s="207" t="str">
        <f ca="1">IFERROR(__xludf.DUMMYFUNCTION("""COMPUTED_VALUE"""),"Olivia Pietress")</f>
        <v>Olivia Pietress</v>
      </c>
      <c r="C724" s="199">
        <f ca="1">IFERROR(__xludf.DUMMYFUNCTION("""COMPUTED_VALUE"""),10)</f>
        <v>10</v>
      </c>
      <c r="D724" s="199" t="str">
        <f ca="1">IFERROR(__xludf.DUMMYFUNCTION("""COMPUTED_VALUE"""),"G")</f>
        <v>G</v>
      </c>
      <c r="E724" s="202" t="str">
        <f ca="1">IFERROR(__xludf.DUMMYFUNCTION("""COMPUTED_VALUE"""),"F")</f>
        <v>F</v>
      </c>
      <c r="F724" s="202" t="str">
        <f ca="1">IFERROR(__xludf.DUMMYFUNCTION("""COMPUTED_VALUE"""),"J")</f>
        <v>J</v>
      </c>
      <c r="G724" s="202">
        <f ca="1">IFERROR(__xludf.DUMMYFUNCTION("""COMPUTED_VALUE"""),6)</f>
        <v>6</v>
      </c>
      <c r="H724" s="206">
        <v>56.55</v>
      </c>
      <c r="I724" s="206"/>
      <c r="J724" s="206" t="s">
        <v>121</v>
      </c>
      <c r="K724" s="206"/>
      <c r="L724" s="206" t="str">
        <v xml:space="preserve"> 56.55</v>
      </c>
      <c r="M724" s="206" t="str">
        <v/>
      </c>
    </row>
    <row r="725" spans="1:13" ht="14.4">
      <c r="A725" s="199" t="str">
        <f ca="1">IFERROR(__xludf.DUMMYFUNCTION("""COMPUTED_VALUE"""),"G")</f>
        <v>G</v>
      </c>
      <c r="B725" s="207" t="str">
        <f ca="1">IFERROR(__xludf.DUMMYFUNCTION("""COMPUTED_VALUE"""),"Quinn Leonard")</f>
        <v>Quinn Leonard</v>
      </c>
      <c r="C725" s="199">
        <f ca="1">IFERROR(__xludf.DUMMYFUNCTION("""COMPUTED_VALUE"""),7)</f>
        <v>7</v>
      </c>
      <c r="D725" s="199" t="str">
        <f ca="1">IFERROR(__xludf.DUMMYFUNCTION("""COMPUTED_VALUE"""),"G")</f>
        <v>G</v>
      </c>
      <c r="E725" s="202" t="str">
        <f ca="1">IFERROR(__xludf.DUMMYFUNCTION("""COMPUTED_VALUE"""),"F")</f>
        <v>F</v>
      </c>
      <c r="F725" s="202" t="str">
        <f ca="1">IFERROR(__xludf.DUMMYFUNCTION("""COMPUTED_VALUE"""),"J")</f>
        <v>J</v>
      </c>
      <c r="G725" s="202">
        <f ca="1">IFERROR(__xludf.DUMMYFUNCTION("""COMPUTED_VALUE"""),6)</f>
        <v>6</v>
      </c>
      <c r="H725" s="206"/>
      <c r="I725" s="206"/>
      <c r="J725" s="206"/>
      <c r="K725" s="206"/>
      <c r="L725" s="206" t="str">
        <v/>
      </c>
      <c r="M725" s="206" t="str">
        <v/>
      </c>
    </row>
    <row r="726" spans="1:13" ht="14.4">
      <c r="A726" s="199" t="str">
        <f ca="1">IFERROR(__xludf.DUMMYFUNCTION("""COMPUTED_VALUE"""),"G")</f>
        <v>G</v>
      </c>
      <c r="B726" s="207" t="str">
        <f ca="1">IFERROR(__xludf.DUMMYFUNCTION("""COMPUTED_VALUE"""),"Riley Waterman")</f>
        <v>Riley Waterman</v>
      </c>
      <c r="C726" s="199">
        <f ca="1">IFERROR(__xludf.DUMMYFUNCTION("""COMPUTED_VALUE"""),7)</f>
        <v>7</v>
      </c>
      <c r="D726" s="199" t="str">
        <f ca="1">IFERROR(__xludf.DUMMYFUNCTION("""COMPUTED_VALUE"""),"G")</f>
        <v>G</v>
      </c>
      <c r="E726" s="202" t="str">
        <f ca="1">IFERROR(__xludf.DUMMYFUNCTION("""COMPUTED_VALUE"""),"F")</f>
        <v>F</v>
      </c>
      <c r="F726" s="202" t="str">
        <f ca="1">IFERROR(__xludf.DUMMYFUNCTION("""COMPUTED_VALUE"""),"J")</f>
        <v>J</v>
      </c>
      <c r="G726" s="202">
        <f ca="1">IFERROR(__xludf.DUMMYFUNCTION("""COMPUTED_VALUE"""),6)</f>
        <v>6</v>
      </c>
      <c r="H726" s="206"/>
      <c r="I726" s="206"/>
      <c r="J726" s="206"/>
      <c r="K726" s="206"/>
      <c r="L726" s="206" t="str">
        <v/>
      </c>
      <c r="M726" s="206" t="str">
        <v/>
      </c>
    </row>
    <row r="727" spans="1:13" ht="14.4">
      <c r="A727" s="199" t="str">
        <f ca="1">IFERROR(__xludf.DUMMYFUNCTION("""COMPUTED_VALUE"""),"G")</f>
        <v>G</v>
      </c>
      <c r="B727" s="207" t="str">
        <f ca="1">IFERROR(__xludf.DUMMYFUNCTION("""COMPUTED_VALUE"""),"Simone Feil")</f>
        <v>Simone Feil</v>
      </c>
      <c r="C727" s="199">
        <f ca="1">IFERROR(__xludf.DUMMYFUNCTION("""COMPUTED_VALUE"""),10)</f>
        <v>10</v>
      </c>
      <c r="D727" s="199" t="str">
        <f ca="1">IFERROR(__xludf.DUMMYFUNCTION("""COMPUTED_VALUE"""),"G")</f>
        <v>G</v>
      </c>
      <c r="E727" s="202" t="str">
        <f ca="1">IFERROR(__xludf.DUMMYFUNCTION("""COMPUTED_VALUE"""),"F")</f>
        <v>F</v>
      </c>
      <c r="F727" s="202" t="str">
        <f ca="1">IFERROR(__xludf.DUMMYFUNCTION("""COMPUTED_VALUE"""),"J")</f>
        <v>J</v>
      </c>
      <c r="G727" s="202">
        <f ca="1">IFERROR(__xludf.DUMMYFUNCTION("""COMPUTED_VALUE"""),6)</f>
        <v>6</v>
      </c>
      <c r="H727" s="206">
        <v>56.45</v>
      </c>
      <c r="I727" s="206"/>
      <c r="J727" s="206" t="s">
        <v>121</v>
      </c>
      <c r="K727" s="206"/>
      <c r="L727" s="206" t="str">
        <v xml:space="preserve"> 56.45</v>
      </c>
      <c r="M727" s="206" t="str">
        <v/>
      </c>
    </row>
    <row r="728" spans="1:13" ht="14.4">
      <c r="A728" s="199" t="str">
        <f ca="1">IFERROR(__xludf.DUMMYFUNCTION("""COMPUTED_VALUE"""),"G")</f>
        <v>G</v>
      </c>
      <c r="B728" s="207" t="str">
        <f ca="1">IFERROR(__xludf.DUMMYFUNCTION("""COMPUTED_VALUE"""),"Zanna Brown")</f>
        <v>Zanna Brown</v>
      </c>
      <c r="C728" s="199">
        <f ca="1">IFERROR(__xludf.DUMMYFUNCTION("""COMPUTED_VALUE"""),8)</f>
        <v>8</v>
      </c>
      <c r="D728" s="199" t="str">
        <f ca="1">IFERROR(__xludf.DUMMYFUNCTION("""COMPUTED_VALUE"""),"G")</f>
        <v>G</v>
      </c>
      <c r="E728" s="202" t="str">
        <f ca="1">IFERROR(__xludf.DUMMYFUNCTION("""COMPUTED_VALUE"""),"F")</f>
        <v>F</v>
      </c>
      <c r="F728" s="202" t="str">
        <f ca="1">IFERROR(__xludf.DUMMYFUNCTION("""COMPUTED_VALUE"""),"J")</f>
        <v>J</v>
      </c>
      <c r="G728" s="202">
        <f ca="1">IFERROR(__xludf.DUMMYFUNCTION("""COMPUTED_VALUE"""),6)</f>
        <v>6</v>
      </c>
      <c r="H728" s="206">
        <v>40.700000000000003</v>
      </c>
      <c r="I728" s="206"/>
      <c r="J728" s="206" t="s">
        <v>121</v>
      </c>
      <c r="K728" s="206"/>
      <c r="L728" s="206" t="str">
        <v xml:space="preserve"> 40.7</v>
      </c>
      <c r="M728" s="206" t="str">
        <v/>
      </c>
    </row>
    <row r="729" spans="1:13" ht="14.4">
      <c r="A729" s="199" t="str">
        <f ca="1">IFERROR(__xludf.DUMMYFUNCTION("""COMPUTED_VALUE"""),"G")</f>
        <v>G</v>
      </c>
      <c r="B729" s="207" t="str">
        <f ca="1">IFERROR(__xludf.DUMMYFUNCTION("""COMPUTED_VALUE"""),"Corban Lawrence")</f>
        <v>Corban Lawrence</v>
      </c>
      <c r="C729" s="199">
        <f ca="1">IFERROR(__xludf.DUMMYFUNCTION("""COMPUTED_VALUE"""),13)</f>
        <v>13</v>
      </c>
      <c r="D729" s="199" t="str">
        <f ca="1">IFERROR(__xludf.DUMMYFUNCTION("""COMPUTED_VALUE"""),"B")</f>
        <v>B</v>
      </c>
      <c r="E729" s="202" t="str">
        <f ca="1">IFERROR(__xludf.DUMMYFUNCTION("""COMPUTED_VALUE"""),"I")</f>
        <v>I</v>
      </c>
      <c r="F729" s="202" t="str">
        <f ca="1">IFERROR(__xludf.DUMMYFUNCTION("""COMPUTED_VALUE"""),"S")</f>
        <v>S</v>
      </c>
      <c r="G729" s="202">
        <f ca="1">IFERROR(__xludf.DUMMYFUNCTION("""COMPUTED_VALUE"""),6)</f>
        <v>6</v>
      </c>
      <c r="H729" s="206"/>
      <c r="I729" s="206">
        <v>103.8</v>
      </c>
      <c r="J729" s="206"/>
      <c r="K729" s="206" t="s">
        <v>121</v>
      </c>
      <c r="L729" s="206" t="str">
        <v xml:space="preserve"> 103.8</v>
      </c>
      <c r="M729" s="206" t="str">
        <v/>
      </c>
    </row>
    <row r="730" spans="1:13" ht="14.4">
      <c r="A730" s="199" t="str">
        <f ca="1">IFERROR(__xludf.DUMMYFUNCTION("""COMPUTED_VALUE"""),"G")</f>
        <v>G</v>
      </c>
      <c r="B730" s="207" t="str">
        <f ca="1">IFERROR(__xludf.DUMMYFUNCTION("""COMPUTED_VALUE"""),"Hunter Colandria")</f>
        <v>Hunter Colandria</v>
      </c>
      <c r="C730" s="199">
        <f ca="1">IFERROR(__xludf.DUMMYFUNCTION("""COMPUTED_VALUE"""),13)</f>
        <v>13</v>
      </c>
      <c r="D730" s="199" t="str">
        <f ca="1">IFERROR(__xludf.DUMMYFUNCTION("""COMPUTED_VALUE"""),"B")</f>
        <v>B</v>
      </c>
      <c r="E730" s="202" t="str">
        <f ca="1">IFERROR(__xludf.DUMMYFUNCTION("""COMPUTED_VALUE"""),"I")</f>
        <v>I</v>
      </c>
      <c r="F730" s="202" t="str">
        <f ca="1">IFERROR(__xludf.DUMMYFUNCTION("""COMPUTED_VALUE"""),"S")</f>
        <v>S</v>
      </c>
      <c r="G730" s="202">
        <f ca="1">IFERROR(__xludf.DUMMYFUNCTION("""COMPUTED_VALUE"""),6)</f>
        <v>6</v>
      </c>
      <c r="H730" s="206"/>
      <c r="I730" s="206">
        <v>92.25</v>
      </c>
      <c r="J730" s="206"/>
      <c r="K730" s="206" t="s">
        <v>121</v>
      </c>
      <c r="L730" s="206" t="str">
        <v xml:space="preserve"> 92.25</v>
      </c>
      <c r="M730" s="206" t="str">
        <v/>
      </c>
    </row>
    <row r="731" spans="1:13" ht="14.4">
      <c r="A731" s="199" t="str">
        <f ca="1">IFERROR(__xludf.DUMMYFUNCTION("""COMPUTED_VALUE"""),"G")</f>
        <v>G</v>
      </c>
      <c r="B731" s="207" t="str">
        <f ca="1">IFERROR(__xludf.DUMMYFUNCTION("""COMPUTED_VALUE"""),"Luke Jones")</f>
        <v>Luke Jones</v>
      </c>
      <c r="C731" s="199">
        <f ca="1">IFERROR(__xludf.DUMMYFUNCTION("""COMPUTED_VALUE"""),13)</f>
        <v>13</v>
      </c>
      <c r="D731" s="199" t="str">
        <f ca="1">IFERROR(__xludf.DUMMYFUNCTION("""COMPUTED_VALUE"""),"B")</f>
        <v>B</v>
      </c>
      <c r="E731" s="202" t="str">
        <f ca="1">IFERROR(__xludf.DUMMYFUNCTION("""COMPUTED_VALUE"""),"I")</f>
        <v>I</v>
      </c>
      <c r="F731" s="202" t="str">
        <f ca="1">IFERROR(__xludf.DUMMYFUNCTION("""COMPUTED_VALUE"""),"S")</f>
        <v>S</v>
      </c>
      <c r="G731" s="202">
        <f ca="1">IFERROR(__xludf.DUMMYFUNCTION("""COMPUTED_VALUE"""),6)</f>
        <v>6</v>
      </c>
      <c r="H731" s="206"/>
      <c r="I731" s="206"/>
      <c r="J731" s="206"/>
      <c r="K731" s="206"/>
      <c r="L731" s="206" t="str">
        <v/>
      </c>
      <c r="M731" s="206" t="str">
        <v/>
      </c>
    </row>
    <row r="732" spans="1:13" ht="14.4">
      <c r="A732" s="199" t="str">
        <f ca="1">IFERROR(__xludf.DUMMYFUNCTION("""COMPUTED_VALUE"""),"G")</f>
        <v>G</v>
      </c>
      <c r="B732" s="207" t="str">
        <f ca="1">IFERROR(__xludf.DUMMYFUNCTION("""COMPUTED_VALUE"""),"Mason Waterfield")</f>
        <v>Mason Waterfield</v>
      </c>
      <c r="C732" s="199">
        <f ca="1">IFERROR(__xludf.DUMMYFUNCTION("""COMPUTED_VALUE"""),13)</f>
        <v>13</v>
      </c>
      <c r="D732" s="199" t="str">
        <f ca="1">IFERROR(__xludf.DUMMYFUNCTION("""COMPUTED_VALUE"""),"B")</f>
        <v>B</v>
      </c>
      <c r="E732" s="202" t="str">
        <f ca="1">IFERROR(__xludf.DUMMYFUNCTION("""COMPUTED_VALUE"""),"I")</f>
        <v>I</v>
      </c>
      <c r="F732" s="202" t="str">
        <f ca="1">IFERROR(__xludf.DUMMYFUNCTION("""COMPUTED_VALUE"""),"S")</f>
        <v>S</v>
      </c>
      <c r="G732" s="202">
        <f ca="1">IFERROR(__xludf.DUMMYFUNCTION("""COMPUTED_VALUE"""),6)</f>
        <v>6</v>
      </c>
      <c r="H732" s="208"/>
      <c r="I732" s="208"/>
      <c r="J732" s="208"/>
      <c r="K732" s="208"/>
      <c r="L732" s="208" t="str">
        <v/>
      </c>
      <c r="M732" s="208" t="str">
        <v/>
      </c>
    </row>
    <row r="733" spans="1:13" ht="14.4">
      <c r="A733" s="199" t="str">
        <f ca="1">IFERROR(__xludf.DUMMYFUNCTION("""COMPUTED_VALUE"""),"G")</f>
        <v>G</v>
      </c>
      <c r="B733" s="207" t="str">
        <f ca="1">IFERROR(__xludf.DUMMYFUNCTION("""COMPUTED_VALUE"""),"Michael Bray")</f>
        <v>Michael Bray</v>
      </c>
      <c r="C733" s="199">
        <f ca="1">IFERROR(__xludf.DUMMYFUNCTION("""COMPUTED_VALUE"""),14)</f>
        <v>14</v>
      </c>
      <c r="D733" s="199" t="str">
        <f ca="1">IFERROR(__xludf.DUMMYFUNCTION("""COMPUTED_VALUE"""),"B")</f>
        <v>B</v>
      </c>
      <c r="E733" s="202" t="str">
        <f ca="1">IFERROR(__xludf.DUMMYFUNCTION("""COMPUTED_VALUE"""),"I")</f>
        <v>I</v>
      </c>
      <c r="F733" s="202" t="str">
        <f ca="1">IFERROR(__xludf.DUMMYFUNCTION("""COMPUTED_VALUE"""),"S")</f>
        <v>S</v>
      </c>
      <c r="G733" s="202">
        <f ca="1">IFERROR(__xludf.DUMMYFUNCTION("""COMPUTED_VALUE"""),6)</f>
        <v>6</v>
      </c>
      <c r="H733" s="206"/>
      <c r="I733" s="206">
        <v>140.6</v>
      </c>
      <c r="J733" s="206"/>
      <c r="K733" s="206" t="s">
        <v>121</v>
      </c>
      <c r="L733" s="206" t="str">
        <v xml:space="preserve"> 140.6</v>
      </c>
      <c r="M733" s="206" t="str">
        <v/>
      </c>
    </row>
    <row r="734" spans="1:13" ht="14.4">
      <c r="A734" s="199" t="str">
        <f ca="1">IFERROR(__xludf.DUMMYFUNCTION("""COMPUTED_VALUE"""),"G")</f>
        <v>G</v>
      </c>
      <c r="B734" s="207" t="str">
        <f ca="1">IFERROR(__xludf.DUMMYFUNCTION("""COMPUTED_VALUE"""),"Paxton Martinez")</f>
        <v>Paxton Martinez</v>
      </c>
      <c r="C734" s="199">
        <f ca="1">IFERROR(__xludf.DUMMYFUNCTION("""COMPUTED_VALUE"""),14)</f>
        <v>14</v>
      </c>
      <c r="D734" s="199" t="str">
        <f ca="1">IFERROR(__xludf.DUMMYFUNCTION("""COMPUTED_VALUE"""),"B")</f>
        <v>B</v>
      </c>
      <c r="E734" s="202" t="str">
        <f ca="1">IFERROR(__xludf.DUMMYFUNCTION("""COMPUTED_VALUE"""),"I")</f>
        <v>I</v>
      </c>
      <c r="F734" s="202" t="str">
        <f ca="1">IFERROR(__xludf.DUMMYFUNCTION("""COMPUTED_VALUE"""),"S")</f>
        <v>S</v>
      </c>
      <c r="G734" s="202">
        <f ca="1">IFERROR(__xludf.DUMMYFUNCTION("""COMPUTED_VALUE"""),6)</f>
        <v>6</v>
      </c>
      <c r="H734" s="206"/>
      <c r="I734" s="206">
        <v>142.9</v>
      </c>
      <c r="J734" s="206"/>
      <c r="K734" s="206" t="s">
        <v>121</v>
      </c>
      <c r="L734" s="206" t="str">
        <v xml:space="preserve"> 142.9</v>
      </c>
      <c r="M734" s="206" t="str">
        <v/>
      </c>
    </row>
    <row r="735" spans="1:13" ht="14.4">
      <c r="A735" s="199" t="str">
        <f ca="1">IFERROR(__xludf.DUMMYFUNCTION("""COMPUTED_VALUE"""),"G")</f>
        <v>G</v>
      </c>
      <c r="B735" s="207" t="str">
        <f ca="1">IFERROR(__xludf.DUMMYFUNCTION("""COMPUTED_VALUE"""),"Ash Quick")</f>
        <v>Ash Quick</v>
      </c>
      <c r="C735" s="199">
        <f ca="1">IFERROR(__xludf.DUMMYFUNCTION("""COMPUTED_VALUE"""),14)</f>
        <v>14</v>
      </c>
      <c r="D735" s="199" t="str">
        <f ca="1">IFERROR(__xludf.DUMMYFUNCTION("""COMPUTED_VALUE"""),"G")</f>
        <v>G</v>
      </c>
      <c r="E735" s="202" t="str">
        <f ca="1">IFERROR(__xludf.DUMMYFUNCTION("""COMPUTED_VALUE"""),"I")</f>
        <v>I</v>
      </c>
      <c r="F735" s="202" t="str">
        <f ca="1">IFERROR(__xludf.DUMMYFUNCTION("""COMPUTED_VALUE"""),"S")</f>
        <v>S</v>
      </c>
      <c r="G735" s="202">
        <f ca="1">IFERROR(__xludf.DUMMYFUNCTION("""COMPUTED_VALUE"""),6)</f>
        <v>6</v>
      </c>
      <c r="H735" s="208"/>
      <c r="I735" s="208"/>
      <c r="J735" s="208"/>
      <c r="K735" s="208"/>
      <c r="L735" s="208" t="str">
        <v/>
      </c>
      <c r="M735" s="208" t="str">
        <v/>
      </c>
    </row>
    <row r="736" spans="1:13" ht="14.4">
      <c r="A736" s="199" t="str">
        <f ca="1">IFERROR(__xludf.DUMMYFUNCTION("""COMPUTED_VALUE"""),"G")</f>
        <v>G</v>
      </c>
      <c r="B736" s="207" t="str">
        <f ca="1">IFERROR(__xludf.DUMMYFUNCTION("""COMPUTED_VALUE"""),"Avery Lawrence")</f>
        <v>Avery Lawrence</v>
      </c>
      <c r="C736" s="199">
        <f ca="1">IFERROR(__xludf.DUMMYFUNCTION("""COMPUTED_VALUE"""),14)</f>
        <v>14</v>
      </c>
      <c r="D736" s="199" t="str">
        <f ca="1">IFERROR(__xludf.DUMMYFUNCTION("""COMPUTED_VALUE"""),"G")</f>
        <v>G</v>
      </c>
      <c r="E736" s="202" t="str">
        <f ca="1">IFERROR(__xludf.DUMMYFUNCTION("""COMPUTED_VALUE"""),"I")</f>
        <v>I</v>
      </c>
      <c r="F736" s="202" t="str">
        <f ca="1">IFERROR(__xludf.DUMMYFUNCTION("""COMPUTED_VALUE"""),"S")</f>
        <v>S</v>
      </c>
      <c r="G736" s="202">
        <f ca="1">IFERROR(__xludf.DUMMYFUNCTION("""COMPUTED_VALUE"""),6)</f>
        <v>6</v>
      </c>
      <c r="H736" s="208">
        <v>71.099999999999994</v>
      </c>
      <c r="I736" s="208"/>
      <c r="J736" s="208" t="s">
        <v>121</v>
      </c>
      <c r="K736" s="208"/>
      <c r="L736" s="208" t="str">
        <v xml:space="preserve"> 71.1</v>
      </c>
      <c r="M736" s="208" t="str">
        <v/>
      </c>
    </row>
    <row r="737" spans="1:13" ht="14.4">
      <c r="A737" s="199" t="str">
        <f ca="1">IFERROR(__xludf.DUMMYFUNCTION("""COMPUTED_VALUE"""),"G")</f>
        <v>G</v>
      </c>
      <c r="B737" s="207" t="str">
        <f ca="1">IFERROR(__xludf.DUMMYFUNCTION("""COMPUTED_VALUE"""),"Evie Kehoe")</f>
        <v>Evie Kehoe</v>
      </c>
      <c r="C737" s="199">
        <f ca="1">IFERROR(__xludf.DUMMYFUNCTION("""COMPUTED_VALUE"""),13)</f>
        <v>13</v>
      </c>
      <c r="D737" s="199" t="str">
        <f ca="1">IFERROR(__xludf.DUMMYFUNCTION("""COMPUTED_VALUE"""),"G")</f>
        <v>G</v>
      </c>
      <c r="E737" s="202" t="str">
        <f ca="1">IFERROR(__xludf.DUMMYFUNCTION("""COMPUTED_VALUE"""),"I")</f>
        <v>I</v>
      </c>
      <c r="F737" s="202" t="str">
        <f ca="1">IFERROR(__xludf.DUMMYFUNCTION("""COMPUTED_VALUE"""),"S")</f>
        <v>S</v>
      </c>
      <c r="G737" s="202">
        <f ca="1">IFERROR(__xludf.DUMMYFUNCTION("""COMPUTED_VALUE"""),6)</f>
        <v>6</v>
      </c>
      <c r="H737" s="206"/>
      <c r="I737" s="206"/>
      <c r="J737" s="206"/>
      <c r="K737" s="206"/>
      <c r="L737" s="206" t="str">
        <v/>
      </c>
      <c r="M737" s="206" t="str">
        <v/>
      </c>
    </row>
    <row r="738" spans="1:13" ht="14.4">
      <c r="A738" s="199" t="str">
        <f ca="1">IFERROR(__xludf.DUMMYFUNCTION("""COMPUTED_VALUE"""),"G")</f>
        <v>G</v>
      </c>
      <c r="B738" s="207" t="str">
        <f ca="1">IFERROR(__xludf.DUMMYFUNCTION("""COMPUTED_VALUE"""),"Evie Miller")</f>
        <v>Evie Miller</v>
      </c>
      <c r="C738" s="199">
        <f ca="1">IFERROR(__xludf.DUMMYFUNCTION("""COMPUTED_VALUE"""),14)</f>
        <v>14</v>
      </c>
      <c r="D738" s="199" t="str">
        <f ca="1">IFERROR(__xludf.DUMMYFUNCTION("""COMPUTED_VALUE"""),"G")</f>
        <v>G</v>
      </c>
      <c r="E738" s="202" t="str">
        <f ca="1">IFERROR(__xludf.DUMMYFUNCTION("""COMPUTED_VALUE"""),"I")</f>
        <v>I</v>
      </c>
      <c r="F738" s="202" t="str">
        <f ca="1">IFERROR(__xludf.DUMMYFUNCTION("""COMPUTED_VALUE"""),"S")</f>
        <v>S</v>
      </c>
      <c r="G738" s="202">
        <f ca="1">IFERROR(__xludf.DUMMYFUNCTION("""COMPUTED_VALUE"""),6)</f>
        <v>6</v>
      </c>
      <c r="H738" s="206">
        <v>146.44999999999999</v>
      </c>
      <c r="I738" s="206"/>
      <c r="J738" s="206" t="s">
        <v>121</v>
      </c>
      <c r="K738" s="206"/>
      <c r="L738" s="206" t="str">
        <v xml:space="preserve"> 146.45</v>
      </c>
      <c r="M738" s="206" t="str">
        <v/>
      </c>
    </row>
    <row r="739" spans="1:13" ht="14.4">
      <c r="A739" s="199" t="str">
        <f ca="1">IFERROR(__xludf.DUMMYFUNCTION("""COMPUTED_VALUE"""),"G")</f>
        <v>G</v>
      </c>
      <c r="B739" s="207" t="str">
        <f ca="1">IFERROR(__xludf.DUMMYFUNCTION("""COMPUTED_VALUE"""),"Hazel Flynn")</f>
        <v>Hazel Flynn</v>
      </c>
      <c r="C739" s="199">
        <f ca="1">IFERROR(__xludf.DUMMYFUNCTION("""COMPUTED_VALUE"""),14)</f>
        <v>14</v>
      </c>
      <c r="D739" s="199" t="str">
        <f ca="1">IFERROR(__xludf.DUMMYFUNCTION("""COMPUTED_VALUE"""),"G")</f>
        <v>G</v>
      </c>
      <c r="E739" s="202" t="str">
        <f ca="1">IFERROR(__xludf.DUMMYFUNCTION("""COMPUTED_VALUE"""),"I")</f>
        <v>I</v>
      </c>
      <c r="F739" s="202" t="str">
        <f ca="1">IFERROR(__xludf.DUMMYFUNCTION("""COMPUTED_VALUE"""),"S")</f>
        <v>S</v>
      </c>
      <c r="G739" s="202">
        <f ca="1">IFERROR(__xludf.DUMMYFUNCTION("""COMPUTED_VALUE"""),6)</f>
        <v>6</v>
      </c>
      <c r="H739" s="208">
        <v>108.35</v>
      </c>
      <c r="I739" s="208"/>
      <c r="J739" s="208" t="s">
        <v>121</v>
      </c>
      <c r="K739" s="208"/>
      <c r="L739" s="208" t="str">
        <v xml:space="preserve"> 108.35</v>
      </c>
      <c r="M739" s="208" t="str">
        <v/>
      </c>
    </row>
    <row r="740" spans="1:13" ht="14.4">
      <c r="A740" s="199" t="str">
        <f ca="1">IFERROR(__xludf.DUMMYFUNCTION("""COMPUTED_VALUE"""),"G")</f>
        <v>G</v>
      </c>
      <c r="B740" s="207" t="str">
        <f ca="1">IFERROR(__xludf.DUMMYFUNCTION("""COMPUTED_VALUE"""),"Kendall Arnz")</f>
        <v>Kendall Arnz</v>
      </c>
      <c r="C740" s="199">
        <f ca="1">IFERROR(__xludf.DUMMYFUNCTION("""COMPUTED_VALUE"""),13)</f>
        <v>13</v>
      </c>
      <c r="D740" s="199" t="str">
        <f ca="1">IFERROR(__xludf.DUMMYFUNCTION("""COMPUTED_VALUE"""),"G")</f>
        <v>G</v>
      </c>
      <c r="E740" s="202" t="str">
        <f ca="1">IFERROR(__xludf.DUMMYFUNCTION("""COMPUTED_VALUE"""),"I")</f>
        <v>I</v>
      </c>
      <c r="F740" s="202" t="str">
        <f ca="1">IFERROR(__xludf.DUMMYFUNCTION("""COMPUTED_VALUE"""),"S")</f>
        <v>S</v>
      </c>
      <c r="G740" s="202">
        <f ca="1">IFERROR(__xludf.DUMMYFUNCTION("""COMPUTED_VALUE"""),6)</f>
        <v>6</v>
      </c>
      <c r="H740" s="208">
        <v>110.95</v>
      </c>
      <c r="I740" s="208"/>
      <c r="J740" s="208" t="s">
        <v>121</v>
      </c>
      <c r="K740" s="208"/>
      <c r="L740" s="208" t="str">
        <v xml:space="preserve"> 110.95</v>
      </c>
      <c r="M740" s="208" t="str">
        <v/>
      </c>
    </row>
    <row r="741" spans="1:13" ht="14.4">
      <c r="A741" s="199" t="str">
        <f ca="1">IFERROR(__xludf.DUMMYFUNCTION("""COMPUTED_VALUE"""),"G")</f>
        <v>G</v>
      </c>
      <c r="B741" s="207" t="str">
        <f ca="1">IFERROR(__xludf.DUMMYFUNCTION("""COMPUTED_VALUE"""),"Fitz Chewning")</f>
        <v>Fitz Chewning</v>
      </c>
      <c r="C741" s="199">
        <f ca="1">IFERROR(__xludf.DUMMYFUNCTION("""COMPUTED_VALUE"""),12)</f>
        <v>12</v>
      </c>
      <c r="D741" s="199" t="str">
        <f ca="1">IFERROR(__xludf.DUMMYFUNCTION("""COMPUTED_VALUE"""),"B")</f>
        <v>B</v>
      </c>
      <c r="E741" s="202" t="str">
        <f ca="1">IFERROR(__xludf.DUMMYFUNCTION("""COMPUTED_VALUE"""),"J")</f>
        <v>J</v>
      </c>
      <c r="F741" s="202" t="str">
        <f ca="1">IFERROR(__xludf.DUMMYFUNCTION("""COMPUTED_VALUE"""),"I")</f>
        <v>I</v>
      </c>
      <c r="G741" s="202">
        <f ca="1">IFERROR(__xludf.DUMMYFUNCTION("""COMPUTED_VALUE"""),6)</f>
        <v>6</v>
      </c>
      <c r="H741" s="206"/>
      <c r="I741" s="206"/>
      <c r="J741" s="206"/>
      <c r="K741" s="206"/>
      <c r="L741" s="206" t="str">
        <v/>
      </c>
      <c r="M741" s="206" t="str">
        <v/>
      </c>
    </row>
    <row r="742" spans="1:13" ht="14.4">
      <c r="A742" s="199" t="str">
        <f ca="1">IFERROR(__xludf.DUMMYFUNCTION("""COMPUTED_VALUE"""),"G")</f>
        <v>G</v>
      </c>
      <c r="B742" s="207" t="str">
        <f ca="1">IFERROR(__xludf.DUMMYFUNCTION("""COMPUTED_VALUE"""),"Levi Raich")</f>
        <v>Levi Raich</v>
      </c>
      <c r="C742" s="199">
        <f ca="1">IFERROR(__xludf.DUMMYFUNCTION("""COMPUTED_VALUE"""),12)</f>
        <v>12</v>
      </c>
      <c r="D742" s="199" t="str">
        <f ca="1">IFERROR(__xludf.DUMMYFUNCTION("""COMPUTED_VALUE"""),"B")</f>
        <v>B</v>
      </c>
      <c r="E742" s="202" t="str">
        <f ca="1">IFERROR(__xludf.DUMMYFUNCTION("""COMPUTED_VALUE"""),"J")</f>
        <v>J</v>
      </c>
      <c r="F742" s="202" t="str">
        <f ca="1">IFERROR(__xludf.DUMMYFUNCTION("""COMPUTED_VALUE"""),"I")</f>
        <v>I</v>
      </c>
      <c r="G742" s="202">
        <f ca="1">IFERROR(__xludf.DUMMYFUNCTION("""COMPUTED_VALUE"""),6)</f>
        <v>6</v>
      </c>
      <c r="H742" s="206"/>
      <c r="I742" s="206"/>
      <c r="J742" s="206"/>
      <c r="K742" s="206"/>
      <c r="L742" s="206" t="str">
        <v/>
      </c>
      <c r="M742" s="206" t="str">
        <v/>
      </c>
    </row>
    <row r="743" spans="1:13" ht="14.4">
      <c r="A743" s="199" t="str">
        <f ca="1">IFERROR(__xludf.DUMMYFUNCTION("""COMPUTED_VALUE"""),"G")</f>
        <v>G</v>
      </c>
      <c r="B743" s="207" t="str">
        <f ca="1">IFERROR(__xludf.DUMMYFUNCTION("""COMPUTED_VALUE"""),"Luke Snyder")</f>
        <v>Luke Snyder</v>
      </c>
      <c r="C743" s="199">
        <f ca="1">IFERROR(__xludf.DUMMYFUNCTION("""COMPUTED_VALUE"""),11)</f>
        <v>11</v>
      </c>
      <c r="D743" s="199" t="str">
        <f ca="1">IFERROR(__xludf.DUMMYFUNCTION("""COMPUTED_VALUE"""),"B")</f>
        <v>B</v>
      </c>
      <c r="E743" s="202" t="str">
        <f ca="1">IFERROR(__xludf.DUMMYFUNCTION("""COMPUTED_VALUE"""),"J")</f>
        <v>J</v>
      </c>
      <c r="F743" s="202" t="str">
        <f ca="1">IFERROR(__xludf.DUMMYFUNCTION("""COMPUTED_VALUE"""),"I")</f>
        <v>I</v>
      </c>
      <c r="G743" s="202">
        <f ca="1">IFERROR(__xludf.DUMMYFUNCTION("""COMPUTED_VALUE"""),6)</f>
        <v>6</v>
      </c>
      <c r="H743" s="206"/>
      <c r="I743" s="206">
        <v>45.4</v>
      </c>
      <c r="J743" s="206"/>
      <c r="K743" s="206" t="s">
        <v>121</v>
      </c>
      <c r="L743" s="206" t="str">
        <v xml:space="preserve"> 45.4</v>
      </c>
      <c r="M743" s="206" t="str">
        <v/>
      </c>
    </row>
    <row r="744" spans="1:13" ht="14.4">
      <c r="A744" s="199" t="str">
        <f ca="1">IFERROR(__xludf.DUMMYFUNCTION("""COMPUTED_VALUE"""),"G")</f>
        <v>G</v>
      </c>
      <c r="B744" s="207" t="str">
        <f ca="1">IFERROR(__xludf.DUMMYFUNCTION("""COMPUTED_VALUE"""),"Eliza Miller")</f>
        <v>Eliza Miller</v>
      </c>
      <c r="C744" s="199">
        <f ca="1">IFERROR(__xludf.DUMMYFUNCTION("""COMPUTED_VALUE"""),12)</f>
        <v>12</v>
      </c>
      <c r="D744" s="199" t="str">
        <f ca="1">IFERROR(__xludf.DUMMYFUNCTION("""COMPUTED_VALUE"""),"G")</f>
        <v>G</v>
      </c>
      <c r="E744" s="202" t="str">
        <f ca="1">IFERROR(__xludf.DUMMYFUNCTION("""COMPUTED_VALUE"""),"J")</f>
        <v>J</v>
      </c>
      <c r="F744" s="202" t="str">
        <f ca="1">IFERROR(__xludf.DUMMYFUNCTION("""COMPUTED_VALUE"""),"I")</f>
        <v>I</v>
      </c>
      <c r="G744" s="202">
        <f ca="1">IFERROR(__xludf.DUMMYFUNCTION("""COMPUTED_VALUE"""),6)</f>
        <v>6</v>
      </c>
      <c r="H744" s="206">
        <v>92.6</v>
      </c>
      <c r="I744" s="206"/>
      <c r="J744" s="206" t="s">
        <v>121</v>
      </c>
      <c r="K744" s="206"/>
      <c r="L744" s="206" t="str">
        <v xml:space="preserve"> 92.6</v>
      </c>
      <c r="M744" s="206" t="str">
        <v/>
      </c>
    </row>
    <row r="745" spans="1:13" ht="14.4">
      <c r="A745" s="199" t="str">
        <f ca="1">IFERROR(__xludf.DUMMYFUNCTION("""COMPUTED_VALUE"""),"G")</f>
        <v>G</v>
      </c>
      <c r="B745" s="207" t="str">
        <f ca="1">IFERROR(__xludf.DUMMYFUNCTION("""COMPUTED_VALUE"""),"Jenna Speredelozzi")</f>
        <v>Jenna Speredelozzi</v>
      </c>
      <c r="C745" s="199">
        <f ca="1">IFERROR(__xludf.DUMMYFUNCTION("""COMPUTED_VALUE"""),11)</f>
        <v>11</v>
      </c>
      <c r="D745" s="199" t="str">
        <f ca="1">IFERROR(__xludf.DUMMYFUNCTION("""COMPUTED_VALUE"""),"G")</f>
        <v>G</v>
      </c>
      <c r="E745" s="202" t="str">
        <f ca="1">IFERROR(__xludf.DUMMYFUNCTION("""COMPUTED_VALUE"""),"J")</f>
        <v>J</v>
      </c>
      <c r="F745" s="202" t="str">
        <f ca="1">IFERROR(__xludf.DUMMYFUNCTION("""COMPUTED_VALUE"""),"I")</f>
        <v>I</v>
      </c>
      <c r="G745" s="202">
        <f ca="1">IFERROR(__xludf.DUMMYFUNCTION("""COMPUTED_VALUE"""),6)</f>
        <v>6</v>
      </c>
      <c r="H745" s="208"/>
      <c r="I745" s="208"/>
      <c r="J745" s="208"/>
      <c r="K745" s="208"/>
      <c r="L745" s="208" t="str">
        <v/>
      </c>
      <c r="M745" s="208" t="str">
        <v/>
      </c>
    </row>
    <row r="746" spans="1:13" ht="14.4">
      <c r="A746" s="199" t="str">
        <f ca="1">IFERROR(__xludf.DUMMYFUNCTION("""COMPUTED_VALUE"""),"G")</f>
        <v>G</v>
      </c>
      <c r="B746" s="207" t="str">
        <f ca="1">IFERROR(__xludf.DUMMYFUNCTION("""COMPUTED_VALUE"""),"Penny Lawrence")</f>
        <v>Penny Lawrence</v>
      </c>
      <c r="C746" s="199">
        <f ca="1">IFERROR(__xludf.DUMMYFUNCTION("""COMPUTED_VALUE"""),11)</f>
        <v>11</v>
      </c>
      <c r="D746" s="199" t="str">
        <f ca="1">IFERROR(__xludf.DUMMYFUNCTION("""COMPUTED_VALUE"""),"G")</f>
        <v>G</v>
      </c>
      <c r="E746" s="202" t="str">
        <f ca="1">IFERROR(__xludf.DUMMYFUNCTION("""COMPUTED_VALUE"""),"J")</f>
        <v>J</v>
      </c>
      <c r="F746" s="202" t="str">
        <f ca="1">IFERROR(__xludf.DUMMYFUNCTION("""COMPUTED_VALUE"""),"I")</f>
        <v>I</v>
      </c>
      <c r="G746" s="202">
        <f ca="1">IFERROR(__xludf.DUMMYFUNCTION("""COMPUTED_VALUE"""),6)</f>
        <v>6</v>
      </c>
      <c r="H746" s="206">
        <v>63.05</v>
      </c>
      <c r="I746" s="206"/>
      <c r="J746" s="206" t="s">
        <v>121</v>
      </c>
      <c r="K746" s="206"/>
      <c r="L746" s="206" t="str">
        <v xml:space="preserve"> 63.05</v>
      </c>
      <c r="M746" s="206" t="str">
        <v/>
      </c>
    </row>
    <row r="747" spans="1:13" ht="14.4">
      <c r="A747" s="199" t="str">
        <f ca="1">IFERROR(__xludf.DUMMYFUNCTION("""COMPUTED_VALUE"""),"G")</f>
        <v>G</v>
      </c>
      <c r="B747" s="207" t="str">
        <f ca="1">IFERROR(__xludf.DUMMYFUNCTION("""COMPUTED_VALUE"""),"Rowan Threadgill")</f>
        <v>Rowan Threadgill</v>
      </c>
      <c r="C747" s="199">
        <f ca="1">IFERROR(__xludf.DUMMYFUNCTION("""COMPUTED_VALUE"""),12)</f>
        <v>12</v>
      </c>
      <c r="D747" s="199" t="str">
        <f ca="1">IFERROR(__xludf.DUMMYFUNCTION("""COMPUTED_VALUE"""),"G")</f>
        <v>G</v>
      </c>
      <c r="E747" s="202" t="str">
        <f ca="1">IFERROR(__xludf.DUMMYFUNCTION("""COMPUTED_VALUE"""),"J")</f>
        <v>J</v>
      </c>
      <c r="F747" s="202" t="str">
        <f ca="1">IFERROR(__xludf.DUMMYFUNCTION("""COMPUTED_VALUE"""),"I")</f>
        <v>I</v>
      </c>
      <c r="G747" s="202">
        <f ca="1">IFERROR(__xludf.DUMMYFUNCTION("""COMPUTED_VALUE"""),6)</f>
        <v>6</v>
      </c>
      <c r="H747" s="206">
        <v>77.75</v>
      </c>
      <c r="I747" s="206"/>
      <c r="J747" s="206" t="s">
        <v>121</v>
      </c>
      <c r="K747" s="206"/>
      <c r="L747" s="206" t="str">
        <v xml:space="preserve"> 77.75</v>
      </c>
      <c r="M747" s="206" t="str">
        <v/>
      </c>
    </row>
    <row r="748" spans="1:13" ht="14.4">
      <c r="A748" s="199" t="str">
        <f ca="1">IFERROR(__xludf.DUMMYFUNCTION("""COMPUTED_VALUE"""),"G")</f>
        <v>G</v>
      </c>
      <c r="B748" s="207" t="str">
        <f ca="1">IFERROR(__xludf.DUMMYFUNCTION("""COMPUTED_VALUE"""),"Sage Smyth")</f>
        <v>Sage Smyth</v>
      </c>
      <c r="C748" s="199">
        <f ca="1">IFERROR(__xludf.DUMMYFUNCTION("""COMPUTED_VALUE"""),11)</f>
        <v>11</v>
      </c>
      <c r="D748" s="199" t="str">
        <f ca="1">IFERROR(__xludf.DUMMYFUNCTION("""COMPUTED_VALUE"""),"G")</f>
        <v>G</v>
      </c>
      <c r="E748" s="202" t="str">
        <f ca="1">IFERROR(__xludf.DUMMYFUNCTION("""COMPUTED_VALUE"""),"J")</f>
        <v>J</v>
      </c>
      <c r="F748" s="202" t="str">
        <f ca="1">IFERROR(__xludf.DUMMYFUNCTION("""COMPUTED_VALUE"""),"I")</f>
        <v>I</v>
      </c>
      <c r="G748" s="202">
        <f ca="1">IFERROR(__xludf.DUMMYFUNCTION("""COMPUTED_VALUE"""),6)</f>
        <v>6</v>
      </c>
      <c r="H748" s="208">
        <v>67.5</v>
      </c>
      <c r="I748" s="208"/>
      <c r="J748" s="208" t="s">
        <v>121</v>
      </c>
      <c r="K748" s="208"/>
      <c r="L748" s="208" t="str">
        <v xml:space="preserve"> 67.5</v>
      </c>
      <c r="M748" s="208" t="str">
        <v/>
      </c>
    </row>
    <row r="749" spans="1:13" ht="14.4">
      <c r="A749" s="199" t="str">
        <f ca="1">IFERROR(__xludf.DUMMYFUNCTION("""COMPUTED_VALUE"""),"G")</f>
        <v>G</v>
      </c>
      <c r="B749" s="207" t="str">
        <f ca="1">IFERROR(__xludf.DUMMYFUNCTION("""COMPUTED_VALUE"""),"H K Kim")</f>
        <v>H K Kim</v>
      </c>
      <c r="C749" s="199">
        <f ca="1">IFERROR(__xludf.DUMMYFUNCTION("""COMPUTED_VALUE"""),15)</f>
        <v>15</v>
      </c>
      <c r="D749" s="199" t="str">
        <f ca="1">IFERROR(__xludf.DUMMYFUNCTION("""COMPUTED_VALUE"""),"B")</f>
        <v>B</v>
      </c>
      <c r="E749" s="202" t="str">
        <f ca="1">IFERROR(__xludf.DUMMYFUNCTION("""COMPUTED_VALUE"""),"S")</f>
        <v>S</v>
      </c>
      <c r="F749" s="202" t="str">
        <f ca="1">IFERROR(__xludf.DUMMYFUNCTION("""COMPUTED_VALUE"""),"S")</f>
        <v>S</v>
      </c>
      <c r="G749" s="202">
        <f ca="1">IFERROR(__xludf.DUMMYFUNCTION("""COMPUTED_VALUE"""),6)</f>
        <v>6</v>
      </c>
      <c r="H749" s="206"/>
      <c r="I749" s="206">
        <v>137.75</v>
      </c>
      <c r="J749" s="206"/>
      <c r="K749" s="206" t="s">
        <v>121</v>
      </c>
      <c r="L749" s="206" t="str">
        <v xml:space="preserve"> 137.75</v>
      </c>
      <c r="M749" s="206" t="str">
        <v/>
      </c>
    </row>
    <row r="750" spans="1:13" ht="14.4">
      <c r="A750" s="199" t="str">
        <f ca="1">IFERROR(__xludf.DUMMYFUNCTION("""COMPUTED_VALUE"""),"G")</f>
        <v>G</v>
      </c>
      <c r="B750" s="207" t="str">
        <f ca="1">IFERROR(__xludf.DUMMYFUNCTION("""COMPUTED_VALUE"""),"Hugh Gannon")</f>
        <v>Hugh Gannon</v>
      </c>
      <c r="C750" s="199">
        <f ca="1">IFERROR(__xludf.DUMMYFUNCTION("""COMPUTED_VALUE"""),19)</f>
        <v>19</v>
      </c>
      <c r="D750" s="199" t="str">
        <f ca="1">IFERROR(__xludf.DUMMYFUNCTION("""COMPUTED_VALUE"""),"B")</f>
        <v>B</v>
      </c>
      <c r="E750" s="202" t="str">
        <f ca="1">IFERROR(__xludf.DUMMYFUNCTION("""COMPUTED_VALUE"""),"S")</f>
        <v>S</v>
      </c>
      <c r="F750" s="202" t="str">
        <f ca="1">IFERROR(__xludf.DUMMYFUNCTION("""COMPUTED_VALUE"""),"S")</f>
        <v>S</v>
      </c>
      <c r="G750" s="202">
        <f ca="1">IFERROR(__xludf.DUMMYFUNCTION("""COMPUTED_VALUE"""),6)</f>
        <v>6</v>
      </c>
      <c r="H750" s="206"/>
      <c r="I750" s="206">
        <v>156.35</v>
      </c>
      <c r="J750" s="206"/>
      <c r="K750" s="206" t="s">
        <v>121</v>
      </c>
      <c r="L750" s="206" t="str">
        <v xml:space="preserve"> 156.35</v>
      </c>
      <c r="M750" s="206" t="str">
        <v/>
      </c>
    </row>
    <row r="751" spans="1:13" ht="14.4">
      <c r="A751" s="199" t="str">
        <f ca="1">IFERROR(__xludf.DUMMYFUNCTION("""COMPUTED_VALUE"""),"G")</f>
        <v>G</v>
      </c>
      <c r="B751" s="207" t="str">
        <f ca="1">IFERROR(__xludf.DUMMYFUNCTION("""COMPUTED_VALUE"""),"Kai Threadgill")</f>
        <v>Kai Threadgill</v>
      </c>
      <c r="C751" s="199">
        <f ca="1">IFERROR(__xludf.DUMMYFUNCTION("""COMPUTED_VALUE"""),15)</f>
        <v>15</v>
      </c>
      <c r="D751" s="199" t="str">
        <f ca="1">IFERROR(__xludf.DUMMYFUNCTION("""COMPUTED_VALUE"""),"B")</f>
        <v>B</v>
      </c>
      <c r="E751" s="202" t="str">
        <f ca="1">IFERROR(__xludf.DUMMYFUNCTION("""COMPUTED_VALUE"""),"S")</f>
        <v>S</v>
      </c>
      <c r="F751" s="202" t="str">
        <f ca="1">IFERROR(__xludf.DUMMYFUNCTION("""COMPUTED_VALUE"""),"S")</f>
        <v>S</v>
      </c>
      <c r="G751" s="202">
        <f ca="1">IFERROR(__xludf.DUMMYFUNCTION("""COMPUTED_VALUE"""),6)</f>
        <v>6</v>
      </c>
      <c r="H751" s="208"/>
      <c r="I751" s="208"/>
      <c r="J751" s="208"/>
      <c r="K751" s="208"/>
      <c r="L751" s="208" t="str">
        <v/>
      </c>
      <c r="M751" s="208" t="str">
        <v/>
      </c>
    </row>
    <row r="752" spans="1:13" ht="14.4">
      <c r="A752" s="199" t="str">
        <f ca="1">IFERROR(__xludf.DUMMYFUNCTION("""COMPUTED_VALUE"""),"G")</f>
        <v>G</v>
      </c>
      <c r="B752" s="207" t="str">
        <f ca="1">IFERROR(__xludf.DUMMYFUNCTION("""COMPUTED_VALUE"""),"Matthew Bray")</f>
        <v>Matthew Bray</v>
      </c>
      <c r="C752" s="199">
        <f ca="1">IFERROR(__xludf.DUMMYFUNCTION("""COMPUTED_VALUE"""),16)</f>
        <v>16</v>
      </c>
      <c r="D752" s="199" t="str">
        <f ca="1">IFERROR(__xludf.DUMMYFUNCTION("""COMPUTED_VALUE"""),"B")</f>
        <v>B</v>
      </c>
      <c r="E752" s="202" t="str">
        <f ca="1">IFERROR(__xludf.DUMMYFUNCTION("""COMPUTED_VALUE"""),"S")</f>
        <v>S</v>
      </c>
      <c r="F752" s="202" t="str">
        <f ca="1">IFERROR(__xludf.DUMMYFUNCTION("""COMPUTED_VALUE"""),"S")</f>
        <v>S</v>
      </c>
      <c r="G752" s="202">
        <f ca="1">IFERROR(__xludf.DUMMYFUNCTION("""COMPUTED_VALUE"""),6)</f>
        <v>6</v>
      </c>
      <c r="H752" s="206"/>
      <c r="I752" s="206">
        <v>259.2</v>
      </c>
      <c r="J752" s="206"/>
      <c r="K752" s="206" t="s">
        <v>121</v>
      </c>
      <c r="L752" s="206" t="str">
        <v xml:space="preserve"> 259.2</v>
      </c>
      <c r="M752" s="206" t="str">
        <v/>
      </c>
    </row>
    <row r="753" spans="1:13" ht="14.4">
      <c r="A753" s="199" t="str">
        <f ca="1">IFERROR(__xludf.DUMMYFUNCTION("""COMPUTED_VALUE"""),"G")</f>
        <v>G</v>
      </c>
      <c r="B753" s="207" t="str">
        <f ca="1">IFERROR(__xludf.DUMMYFUNCTION("""COMPUTED_VALUE"""),"Wesley Green")</f>
        <v>Wesley Green</v>
      </c>
      <c r="C753" s="199">
        <f ca="1">IFERROR(__xludf.DUMMYFUNCTION("""COMPUTED_VALUE"""),18)</f>
        <v>18</v>
      </c>
      <c r="D753" s="199" t="str">
        <f ca="1">IFERROR(__xludf.DUMMYFUNCTION("""COMPUTED_VALUE"""),"B")</f>
        <v>B</v>
      </c>
      <c r="E753" s="202" t="str">
        <f ca="1">IFERROR(__xludf.DUMMYFUNCTION("""COMPUTED_VALUE"""),"S")</f>
        <v>S</v>
      </c>
      <c r="F753" s="202" t="str">
        <f ca="1">IFERROR(__xludf.DUMMYFUNCTION("""COMPUTED_VALUE"""),"S")</f>
        <v>S</v>
      </c>
      <c r="G753" s="202">
        <f ca="1">IFERROR(__xludf.DUMMYFUNCTION("""COMPUTED_VALUE"""),6)</f>
        <v>6</v>
      </c>
      <c r="H753" s="206"/>
      <c r="I753" s="206"/>
      <c r="J753" s="206"/>
      <c r="K753" s="206"/>
      <c r="L753" s="206" t="str">
        <v/>
      </c>
      <c r="M753" s="206" t="str">
        <v/>
      </c>
    </row>
    <row r="754" spans="1:13" ht="14.4">
      <c r="A754" s="199" t="str">
        <f ca="1">IFERROR(__xludf.DUMMYFUNCTION("""COMPUTED_VALUE"""),"G")</f>
        <v>G</v>
      </c>
      <c r="B754" s="207" t="str">
        <f ca="1">IFERROR(__xludf.DUMMYFUNCTION("""COMPUTED_VALUE"""),"Alyse Madsen")</f>
        <v>Alyse Madsen</v>
      </c>
      <c r="C754" s="199">
        <f ca="1">IFERROR(__xludf.DUMMYFUNCTION("""COMPUTED_VALUE"""),17)</f>
        <v>17</v>
      </c>
      <c r="D754" s="199" t="str">
        <f ca="1">IFERROR(__xludf.DUMMYFUNCTION("""COMPUTED_VALUE"""),"G")</f>
        <v>G</v>
      </c>
      <c r="E754" s="202" t="str">
        <f ca="1">IFERROR(__xludf.DUMMYFUNCTION("""COMPUTED_VALUE"""),"S")</f>
        <v>S</v>
      </c>
      <c r="F754" s="202" t="str">
        <f ca="1">IFERROR(__xludf.DUMMYFUNCTION("""COMPUTED_VALUE"""),"S")</f>
        <v>S</v>
      </c>
      <c r="G754" s="202">
        <f ca="1">IFERROR(__xludf.DUMMYFUNCTION("""COMPUTED_VALUE"""),6)</f>
        <v>6</v>
      </c>
      <c r="H754" s="206">
        <v>129.25</v>
      </c>
      <c r="I754" s="206"/>
      <c r="J754" s="206" t="s">
        <v>121</v>
      </c>
      <c r="K754" s="206"/>
      <c r="L754" s="206" t="str">
        <v xml:space="preserve"> 129.25</v>
      </c>
      <c r="M754" s="206" t="str">
        <v/>
      </c>
    </row>
    <row r="755" spans="1:13" ht="14.4">
      <c r="A755" s="199" t="str">
        <f ca="1">IFERROR(__xludf.DUMMYFUNCTION("""COMPUTED_VALUE"""),"G")</f>
        <v>G</v>
      </c>
      <c r="B755" s="207" t="str">
        <f ca="1">IFERROR(__xludf.DUMMYFUNCTION("""COMPUTED_VALUE"""),"Hannah Quick")</f>
        <v>Hannah Quick</v>
      </c>
      <c r="C755" s="199">
        <f ca="1">IFERROR(__xludf.DUMMYFUNCTION("""COMPUTED_VALUE"""),15)</f>
        <v>15</v>
      </c>
      <c r="D755" s="199" t="str">
        <f ca="1">IFERROR(__xludf.DUMMYFUNCTION("""COMPUTED_VALUE"""),"G")</f>
        <v>G</v>
      </c>
      <c r="E755" s="202" t="str">
        <f ca="1">IFERROR(__xludf.DUMMYFUNCTION("""COMPUTED_VALUE"""),"S")</f>
        <v>S</v>
      </c>
      <c r="F755" s="202" t="str">
        <f ca="1">IFERROR(__xludf.DUMMYFUNCTION("""COMPUTED_VALUE"""),"S")</f>
        <v>S</v>
      </c>
      <c r="G755" s="202">
        <f ca="1">IFERROR(__xludf.DUMMYFUNCTION("""COMPUTED_VALUE"""),6)</f>
        <v>6</v>
      </c>
      <c r="H755" s="206">
        <v>99.25</v>
      </c>
      <c r="I755" s="206"/>
      <c r="J755" s="206" t="s">
        <v>121</v>
      </c>
      <c r="K755" s="206"/>
      <c r="L755" s="206" t="str">
        <v xml:space="preserve"> 99.25</v>
      </c>
      <c r="M755" s="206" t="str">
        <v/>
      </c>
    </row>
    <row r="756" spans="1:13" ht="14.4">
      <c r="A756" s="199" t="str">
        <f ca="1">IFERROR(__xludf.DUMMYFUNCTION("""COMPUTED_VALUE"""),"G")</f>
        <v>G</v>
      </c>
      <c r="B756" s="207" t="str">
        <f ca="1">IFERROR(__xludf.DUMMYFUNCTION("""COMPUTED_VALUE"""),"Katelyn Ruehle")</f>
        <v>Katelyn Ruehle</v>
      </c>
      <c r="C756" s="199">
        <f ca="1">IFERROR(__xludf.DUMMYFUNCTION("""COMPUTED_VALUE"""),15)</f>
        <v>15</v>
      </c>
      <c r="D756" s="199" t="str">
        <f ca="1">IFERROR(__xludf.DUMMYFUNCTION("""COMPUTED_VALUE"""),"G")</f>
        <v>G</v>
      </c>
      <c r="E756" s="202" t="str">
        <f ca="1">IFERROR(__xludf.DUMMYFUNCTION("""COMPUTED_VALUE"""),"S")</f>
        <v>S</v>
      </c>
      <c r="F756" s="202" t="str">
        <f ca="1">IFERROR(__xludf.DUMMYFUNCTION("""COMPUTED_VALUE"""),"S")</f>
        <v>S</v>
      </c>
      <c r="G756" s="202">
        <f ca="1">IFERROR(__xludf.DUMMYFUNCTION("""COMPUTED_VALUE"""),6)</f>
        <v>6</v>
      </c>
      <c r="H756" s="206">
        <v>101.75</v>
      </c>
      <c r="I756" s="206"/>
      <c r="J756" s="206" t="s">
        <v>121</v>
      </c>
      <c r="K756" s="206"/>
      <c r="L756" s="206" t="str">
        <v xml:space="preserve"> 101.75</v>
      </c>
      <c r="M756" s="206" t="str">
        <v/>
      </c>
    </row>
    <row r="757" spans="1:13" ht="14.4">
      <c r="A757" s="199" t="str">
        <f ca="1">IFERROR(__xludf.DUMMYFUNCTION("""COMPUTED_VALUE"""),"G")</f>
        <v>G</v>
      </c>
      <c r="B757" s="207" t="str">
        <f ca="1">IFERROR(__xludf.DUMMYFUNCTION("""COMPUTED_VALUE"""),"Leah Mozeleski")</f>
        <v>Leah Mozeleski</v>
      </c>
      <c r="C757" s="199">
        <f ca="1">IFERROR(__xludf.DUMMYFUNCTION("""COMPUTED_VALUE"""),16)</f>
        <v>16</v>
      </c>
      <c r="D757" s="199" t="str">
        <f ca="1">IFERROR(__xludf.DUMMYFUNCTION("""COMPUTED_VALUE"""),"G")</f>
        <v>G</v>
      </c>
      <c r="E757" s="202" t="str">
        <f ca="1">IFERROR(__xludf.DUMMYFUNCTION("""COMPUTED_VALUE"""),"S")</f>
        <v>S</v>
      </c>
      <c r="F757" s="202" t="str">
        <f ca="1">IFERROR(__xludf.DUMMYFUNCTION("""COMPUTED_VALUE"""),"S")</f>
        <v>S</v>
      </c>
      <c r="G757" s="202">
        <f ca="1">IFERROR(__xludf.DUMMYFUNCTION("""COMPUTED_VALUE"""),6)</f>
        <v>6</v>
      </c>
      <c r="H757" s="206"/>
      <c r="I757" s="206"/>
      <c r="J757" s="206"/>
      <c r="K757" s="206"/>
      <c r="L757" s="206" t="str">
        <v/>
      </c>
      <c r="M757" s="206" t="str">
        <v/>
      </c>
    </row>
    <row r="758" spans="1:13" ht="14.4">
      <c r="A758" s="199" t="str">
        <f ca="1">IFERROR(__xludf.DUMMYFUNCTION("""COMPUTED_VALUE"""),"G")</f>
        <v>G</v>
      </c>
      <c r="B758" s="207" t="str">
        <f ca="1">IFERROR(__xludf.DUMMYFUNCTION("""COMPUTED_VALUE"""),"Sarah-Lane Roberts")</f>
        <v>Sarah-Lane Roberts</v>
      </c>
      <c r="C758" s="199">
        <f ca="1">IFERROR(__xludf.DUMMYFUNCTION("""COMPUTED_VALUE"""),15)</f>
        <v>15</v>
      </c>
      <c r="D758" s="199" t="str">
        <f ca="1">IFERROR(__xludf.DUMMYFUNCTION("""COMPUTED_VALUE"""),"G")</f>
        <v>G</v>
      </c>
      <c r="E758" s="202" t="str">
        <f ca="1">IFERROR(__xludf.DUMMYFUNCTION("""COMPUTED_VALUE"""),"S")</f>
        <v>S</v>
      </c>
      <c r="F758" s="202" t="str">
        <f ca="1">IFERROR(__xludf.DUMMYFUNCTION("""COMPUTED_VALUE"""),"S")</f>
        <v>S</v>
      </c>
      <c r="G758" s="202">
        <f ca="1">IFERROR(__xludf.DUMMYFUNCTION("""COMPUTED_VALUE"""),6)</f>
        <v>6</v>
      </c>
      <c r="H758" s="206"/>
      <c r="I758" s="206"/>
      <c r="J758" s="206"/>
      <c r="K758" s="206"/>
      <c r="L758" s="206" t="str">
        <v/>
      </c>
      <c r="M758" s="206" t="str">
        <v/>
      </c>
    </row>
    <row r="759" spans="1:13" ht="14.4">
      <c r="A759" s="199" t="str">
        <f ca="1">IFERROR(__xludf.DUMMYFUNCTION("""COMPUTED_VALUE"""),"G")</f>
        <v>G</v>
      </c>
      <c r="B759" s="207" t="str">
        <f ca="1">IFERROR(__xludf.DUMMYFUNCTION("""COMPUTED_VALUE"""),"Virginia Portofe")</f>
        <v>Virginia Portofe</v>
      </c>
      <c r="C759" s="199">
        <f ca="1">IFERROR(__xludf.DUMMYFUNCTION("""COMPUTED_VALUE"""),15)</f>
        <v>15</v>
      </c>
      <c r="D759" s="199" t="str">
        <f ca="1">IFERROR(__xludf.DUMMYFUNCTION("""COMPUTED_VALUE"""),"G")</f>
        <v>G</v>
      </c>
      <c r="E759" s="202" t="str">
        <f ca="1">IFERROR(__xludf.DUMMYFUNCTION("""COMPUTED_VALUE"""),"S")</f>
        <v>S</v>
      </c>
      <c r="F759" s="202" t="str">
        <f ca="1">IFERROR(__xludf.DUMMYFUNCTION("""COMPUTED_VALUE"""),"S")</f>
        <v>S</v>
      </c>
      <c r="G759" s="202">
        <f ca="1">IFERROR(__xludf.DUMMYFUNCTION("""COMPUTED_VALUE"""),6)</f>
        <v>6</v>
      </c>
      <c r="H759" s="206"/>
      <c r="I759" s="206"/>
      <c r="J759" s="206"/>
      <c r="K759" s="206"/>
      <c r="L759" s="206" t="str">
        <v/>
      </c>
      <c r="M759" s="206" t="str">
        <v/>
      </c>
    </row>
    <row r="760" spans="1:13" ht="14.4">
      <c r="A760" s="199" t="str">
        <f ca="1">IFERROR(__xludf.DUMMYFUNCTION("""COMPUTED_VALUE"""),"GF")</f>
        <v>GF</v>
      </c>
      <c r="B760" s="207" t="str">
        <f ca="1">IFERROR(__xludf.DUMMYFUNCTION("""COMPUTED_VALUE"""),"Alexandre Kroely")</f>
        <v>Alexandre Kroely</v>
      </c>
      <c r="C760" s="199">
        <f ca="1">IFERROR(__xludf.DUMMYFUNCTION("""COMPUTED_VALUE"""),9)</f>
        <v>9</v>
      </c>
      <c r="D760" s="199" t="str">
        <f ca="1">IFERROR(__xludf.DUMMYFUNCTION("""COMPUTED_VALUE"""),"B")</f>
        <v>B</v>
      </c>
      <c r="E760" s="202" t="str">
        <f ca="1">IFERROR(__xludf.DUMMYFUNCTION("""COMPUTED_VALUE"""),"F")</f>
        <v>F</v>
      </c>
      <c r="F760" s="202" t="str">
        <f ca="1">IFERROR(__xludf.DUMMYFUNCTION("""COMPUTED_VALUE"""),"J")</f>
        <v>J</v>
      </c>
      <c r="G760" s="202">
        <f ca="1">IFERROR(__xludf.DUMMYFUNCTION("""COMPUTED_VALUE"""),2)</f>
        <v>2</v>
      </c>
      <c r="H760" s="206"/>
      <c r="I760" s="206"/>
      <c r="J760" s="206"/>
      <c r="K760" s="206"/>
      <c r="L760" s="206" t="str">
        <v/>
      </c>
      <c r="M760" s="206" t="str">
        <v/>
      </c>
    </row>
    <row r="761" spans="1:13" ht="14.4">
      <c r="A761" s="199" t="str">
        <f ca="1">IFERROR(__xludf.DUMMYFUNCTION("""COMPUTED_VALUE"""),"GF")</f>
        <v>GF</v>
      </c>
      <c r="B761" s="207" t="str">
        <f ca="1">IFERROR(__xludf.DUMMYFUNCTION("""COMPUTED_VALUE"""),"Colin Lymphany")</f>
        <v>Colin Lymphany</v>
      </c>
      <c r="C761" s="199">
        <f ca="1">IFERROR(__xludf.DUMMYFUNCTION("""COMPUTED_VALUE"""),9)</f>
        <v>9</v>
      </c>
      <c r="D761" s="199" t="str">
        <f ca="1">IFERROR(__xludf.DUMMYFUNCTION("""COMPUTED_VALUE"""),"B")</f>
        <v>B</v>
      </c>
      <c r="E761" s="202" t="str">
        <f ca="1">IFERROR(__xludf.DUMMYFUNCTION("""COMPUTED_VALUE"""),"F")</f>
        <v>F</v>
      </c>
      <c r="F761" s="202" t="str">
        <f ca="1">IFERROR(__xludf.DUMMYFUNCTION("""COMPUTED_VALUE"""),"J")</f>
        <v>J</v>
      </c>
      <c r="G761" s="202">
        <f ca="1">IFERROR(__xludf.DUMMYFUNCTION("""COMPUTED_VALUE"""),2)</f>
        <v>2</v>
      </c>
      <c r="H761" s="208"/>
      <c r="I761" s="208"/>
      <c r="J761" s="208"/>
      <c r="K761" s="208"/>
      <c r="L761" s="208" t="str">
        <v/>
      </c>
      <c r="M761" s="208" t="str">
        <v/>
      </c>
    </row>
    <row r="762" spans="1:13" ht="14.4">
      <c r="A762" s="199" t="str">
        <f ca="1">IFERROR(__xludf.DUMMYFUNCTION("""COMPUTED_VALUE"""),"GF")</f>
        <v>GF</v>
      </c>
      <c r="B762" s="207" t="str">
        <f ca="1">IFERROR(__xludf.DUMMYFUNCTION("""COMPUTED_VALUE"""),"Eli Bockman")</f>
        <v>Eli Bockman</v>
      </c>
      <c r="C762" s="199">
        <f ca="1">IFERROR(__xludf.DUMMYFUNCTION("""COMPUTED_VALUE"""),9)</f>
        <v>9</v>
      </c>
      <c r="D762" s="199" t="str">
        <f ca="1">IFERROR(__xludf.DUMMYFUNCTION("""COMPUTED_VALUE"""),"B")</f>
        <v>B</v>
      </c>
      <c r="E762" s="202" t="str">
        <f ca="1">IFERROR(__xludf.DUMMYFUNCTION("""COMPUTED_VALUE"""),"F")</f>
        <v>F</v>
      </c>
      <c r="F762" s="202" t="str">
        <f ca="1">IFERROR(__xludf.DUMMYFUNCTION("""COMPUTED_VALUE"""),"J")</f>
        <v>J</v>
      </c>
      <c r="G762" s="202">
        <f ca="1">IFERROR(__xludf.DUMMYFUNCTION("""COMPUTED_VALUE"""),2)</f>
        <v>2</v>
      </c>
      <c r="H762" s="206"/>
      <c r="I762" s="206">
        <v>50.9</v>
      </c>
      <c r="J762" s="206"/>
      <c r="K762" s="206" t="s">
        <v>121</v>
      </c>
      <c r="L762" s="206" t="str">
        <v xml:space="preserve"> 50.9</v>
      </c>
      <c r="M762" s="206" t="str">
        <v/>
      </c>
    </row>
    <row r="763" spans="1:13" ht="14.4">
      <c r="A763" s="199" t="str">
        <f ca="1">IFERROR(__xludf.DUMMYFUNCTION("""COMPUTED_VALUE"""),"GF")</f>
        <v>GF</v>
      </c>
      <c r="B763" s="207" t="str">
        <f ca="1">IFERROR(__xludf.DUMMYFUNCTION("""COMPUTED_VALUE"""),"Finn Pierson")</f>
        <v>Finn Pierson</v>
      </c>
      <c r="C763" s="199">
        <f ca="1">IFERROR(__xludf.DUMMYFUNCTION("""COMPUTED_VALUE"""),8)</f>
        <v>8</v>
      </c>
      <c r="D763" s="199" t="str">
        <f ca="1">IFERROR(__xludf.DUMMYFUNCTION("""COMPUTED_VALUE"""),"B")</f>
        <v>B</v>
      </c>
      <c r="E763" s="202" t="str">
        <f ca="1">IFERROR(__xludf.DUMMYFUNCTION("""COMPUTED_VALUE"""),"F")</f>
        <v>F</v>
      </c>
      <c r="F763" s="202" t="str">
        <f ca="1">IFERROR(__xludf.DUMMYFUNCTION("""COMPUTED_VALUE"""),"J")</f>
        <v>J</v>
      </c>
      <c r="G763" s="202">
        <f ca="1">IFERROR(__xludf.DUMMYFUNCTION("""COMPUTED_VALUE"""),2)</f>
        <v>2</v>
      </c>
      <c r="H763" s="206"/>
      <c r="I763" s="206"/>
      <c r="J763" s="206"/>
      <c r="K763" s="206"/>
      <c r="L763" s="206" t="str">
        <v/>
      </c>
      <c r="M763" s="206" t="str">
        <v/>
      </c>
    </row>
    <row r="764" spans="1:13" ht="14.4">
      <c r="A764" s="199" t="str">
        <f ca="1">IFERROR(__xludf.DUMMYFUNCTION("""COMPUTED_VALUE"""),"GF")</f>
        <v>GF</v>
      </c>
      <c r="B764" s="207" t="str">
        <f ca="1">IFERROR(__xludf.DUMMYFUNCTION("""COMPUTED_VALUE"""),"Harper Clayton")</f>
        <v>Harper Clayton</v>
      </c>
      <c r="C764" s="199">
        <f ca="1">IFERROR(__xludf.DUMMYFUNCTION("""COMPUTED_VALUE"""),7)</f>
        <v>7</v>
      </c>
      <c r="D764" s="199" t="str">
        <f ca="1">IFERROR(__xludf.DUMMYFUNCTION("""COMPUTED_VALUE"""),"B")</f>
        <v>B</v>
      </c>
      <c r="E764" s="202" t="str">
        <f ca="1">IFERROR(__xludf.DUMMYFUNCTION("""COMPUTED_VALUE"""),"F")</f>
        <v>F</v>
      </c>
      <c r="F764" s="202" t="str">
        <f ca="1">IFERROR(__xludf.DUMMYFUNCTION("""COMPUTED_VALUE"""),"J")</f>
        <v>J</v>
      </c>
      <c r="G764" s="202">
        <f ca="1">IFERROR(__xludf.DUMMYFUNCTION("""COMPUTED_VALUE"""),2)</f>
        <v>2</v>
      </c>
      <c r="H764" s="206"/>
      <c r="I764" s="206"/>
      <c r="J764" s="206"/>
      <c r="K764" s="206"/>
      <c r="L764" s="206" t="str">
        <v/>
      </c>
      <c r="M764" s="206" t="str">
        <v/>
      </c>
    </row>
    <row r="765" spans="1:13" ht="14.4">
      <c r="A765" s="199" t="str">
        <f ca="1">IFERROR(__xludf.DUMMYFUNCTION("""COMPUTED_VALUE"""),"GF")</f>
        <v>GF</v>
      </c>
      <c r="B765" s="207" t="str">
        <f ca="1">IFERROR(__xludf.DUMMYFUNCTION("""COMPUTED_VALUE"""),"Nikolas Aucoin")</f>
        <v>Nikolas Aucoin</v>
      </c>
      <c r="C765" s="199">
        <f ca="1">IFERROR(__xludf.DUMMYFUNCTION("""COMPUTED_VALUE"""),10)</f>
        <v>10</v>
      </c>
      <c r="D765" s="199" t="str">
        <f ca="1">IFERROR(__xludf.DUMMYFUNCTION("""COMPUTED_VALUE"""),"B")</f>
        <v>B</v>
      </c>
      <c r="E765" s="202" t="str">
        <f ca="1">IFERROR(__xludf.DUMMYFUNCTION("""COMPUTED_VALUE"""),"F")</f>
        <v>F</v>
      </c>
      <c r="F765" s="202" t="str">
        <f ca="1">IFERROR(__xludf.DUMMYFUNCTION("""COMPUTED_VALUE"""),"J")</f>
        <v>J</v>
      </c>
      <c r="G765" s="202">
        <f ca="1">IFERROR(__xludf.DUMMYFUNCTION("""COMPUTED_VALUE"""),2)</f>
        <v>2</v>
      </c>
      <c r="H765" s="206"/>
      <c r="I765" s="206"/>
      <c r="J765" s="206"/>
      <c r="K765" s="206"/>
      <c r="L765" s="206" t="str">
        <v/>
      </c>
      <c r="M765" s="206" t="str">
        <v/>
      </c>
    </row>
    <row r="766" spans="1:13" ht="14.4">
      <c r="A766" s="199" t="str">
        <f ca="1">IFERROR(__xludf.DUMMYFUNCTION("""COMPUTED_VALUE"""),"GF")</f>
        <v>GF</v>
      </c>
      <c r="B766" s="207" t="str">
        <f ca="1">IFERROR(__xludf.DUMMYFUNCTION("""COMPUTED_VALUE"""),"Ryan Mekouar")</f>
        <v>Ryan Mekouar</v>
      </c>
      <c r="C766" s="199">
        <f ca="1">IFERROR(__xludf.DUMMYFUNCTION("""COMPUTED_VALUE"""),6)</f>
        <v>6</v>
      </c>
      <c r="D766" s="199" t="str">
        <f ca="1">IFERROR(__xludf.DUMMYFUNCTION("""COMPUTED_VALUE"""),"B")</f>
        <v>B</v>
      </c>
      <c r="E766" s="202" t="str">
        <f ca="1">IFERROR(__xludf.DUMMYFUNCTION("""COMPUTED_VALUE"""),"F")</f>
        <v>F</v>
      </c>
      <c r="F766" s="202" t="str">
        <f ca="1">IFERROR(__xludf.DUMMYFUNCTION("""COMPUTED_VALUE"""),"J")</f>
        <v>J</v>
      </c>
      <c r="G766" s="202">
        <f ca="1">IFERROR(__xludf.DUMMYFUNCTION("""COMPUTED_VALUE"""),2)</f>
        <v>2</v>
      </c>
      <c r="H766" s="206"/>
      <c r="I766" s="206"/>
      <c r="J766" s="206"/>
      <c r="K766" s="206"/>
      <c r="L766" s="206" t="str">
        <v/>
      </c>
      <c r="M766" s="206" t="str">
        <v/>
      </c>
    </row>
    <row r="767" spans="1:13" ht="14.4">
      <c r="A767" s="199" t="str">
        <f ca="1">IFERROR(__xludf.DUMMYFUNCTION("""COMPUTED_VALUE"""),"GF")</f>
        <v>GF</v>
      </c>
      <c r="B767" s="207" t="str">
        <f ca="1">IFERROR(__xludf.DUMMYFUNCTION("""COMPUTED_VALUE"""),"Sasha Gilstrap")</f>
        <v>Sasha Gilstrap</v>
      </c>
      <c r="C767" s="199">
        <f ca="1">IFERROR(__xludf.DUMMYFUNCTION("""COMPUTED_VALUE"""),7)</f>
        <v>7</v>
      </c>
      <c r="D767" s="199" t="str">
        <f ca="1">IFERROR(__xludf.DUMMYFUNCTION("""COMPUTED_VALUE"""),"B")</f>
        <v>B</v>
      </c>
      <c r="E767" s="202" t="str">
        <f ca="1">IFERROR(__xludf.DUMMYFUNCTION("""COMPUTED_VALUE"""),"F")</f>
        <v>F</v>
      </c>
      <c r="F767" s="202" t="str">
        <f ca="1">IFERROR(__xludf.DUMMYFUNCTION("""COMPUTED_VALUE"""),"J")</f>
        <v>J</v>
      </c>
      <c r="G767" s="202">
        <f ca="1">IFERROR(__xludf.DUMMYFUNCTION("""COMPUTED_VALUE"""),2)</f>
        <v>2</v>
      </c>
      <c r="H767" s="206"/>
      <c r="I767" s="206"/>
      <c r="J767" s="206"/>
      <c r="K767" s="206"/>
      <c r="L767" s="206" t="str">
        <v/>
      </c>
      <c r="M767" s="206" t="str">
        <v/>
      </c>
    </row>
    <row r="768" spans="1:13" ht="14.4">
      <c r="A768" s="199" t="str">
        <f ca="1">IFERROR(__xludf.DUMMYFUNCTION("""COMPUTED_VALUE"""),"GF")</f>
        <v>GF</v>
      </c>
      <c r="B768" s="207" t="str">
        <f ca="1">IFERROR(__xludf.DUMMYFUNCTION("""COMPUTED_VALUE"""),"Sebastian Lam")</f>
        <v>Sebastian Lam</v>
      </c>
      <c r="C768" s="199">
        <f ca="1">IFERROR(__xludf.DUMMYFUNCTION("""COMPUTED_VALUE"""),9)</f>
        <v>9</v>
      </c>
      <c r="D768" s="199" t="str">
        <f ca="1">IFERROR(__xludf.DUMMYFUNCTION("""COMPUTED_VALUE"""),"B")</f>
        <v>B</v>
      </c>
      <c r="E768" s="202" t="str">
        <f ca="1">IFERROR(__xludf.DUMMYFUNCTION("""COMPUTED_VALUE"""),"F")</f>
        <v>F</v>
      </c>
      <c r="F768" s="202" t="str">
        <f ca="1">IFERROR(__xludf.DUMMYFUNCTION("""COMPUTED_VALUE"""),"J")</f>
        <v>J</v>
      </c>
      <c r="G768" s="202">
        <f ca="1">IFERROR(__xludf.DUMMYFUNCTION("""COMPUTED_VALUE"""),2)</f>
        <v>2</v>
      </c>
      <c r="H768" s="208"/>
      <c r="I768" s="208"/>
      <c r="J768" s="208"/>
      <c r="K768" s="208"/>
      <c r="L768" s="208" t="str">
        <v/>
      </c>
      <c r="M768" s="208" t="str">
        <v/>
      </c>
    </row>
    <row r="769" spans="1:13" ht="14.4">
      <c r="A769" s="199" t="str">
        <f ca="1">IFERROR(__xludf.DUMMYFUNCTION("""COMPUTED_VALUE"""),"GF")</f>
        <v>GF</v>
      </c>
      <c r="B769" s="207" t="str">
        <f ca="1">IFERROR(__xludf.DUMMYFUNCTION("""COMPUTED_VALUE"""),"Sutton Pierson")</f>
        <v>Sutton Pierson</v>
      </c>
      <c r="C769" s="199">
        <f ca="1">IFERROR(__xludf.DUMMYFUNCTION("""COMPUTED_VALUE"""),5)</f>
        <v>5</v>
      </c>
      <c r="D769" s="199" t="str">
        <f ca="1">IFERROR(__xludf.DUMMYFUNCTION("""COMPUTED_VALUE"""),"B")</f>
        <v>B</v>
      </c>
      <c r="E769" s="202" t="str">
        <f ca="1">IFERROR(__xludf.DUMMYFUNCTION("""COMPUTED_VALUE"""),"F")</f>
        <v>F</v>
      </c>
      <c r="F769" s="202" t="str">
        <f ca="1">IFERROR(__xludf.DUMMYFUNCTION("""COMPUTED_VALUE"""),"J")</f>
        <v>J</v>
      </c>
      <c r="G769" s="202">
        <f ca="1">IFERROR(__xludf.DUMMYFUNCTION("""COMPUTED_VALUE"""),2)</f>
        <v>2</v>
      </c>
      <c r="H769" s="206"/>
      <c r="I769" s="206">
        <v>27</v>
      </c>
      <c r="J769" s="206"/>
      <c r="K769" s="206" t="s">
        <v>121</v>
      </c>
      <c r="L769" s="206" t="str">
        <v xml:space="preserve"> 27</v>
      </c>
      <c r="M769" s="206" t="str">
        <v/>
      </c>
    </row>
    <row r="770" spans="1:13" ht="14.4">
      <c r="A770" s="199" t="str">
        <f ca="1">IFERROR(__xludf.DUMMYFUNCTION("""COMPUTED_VALUE"""),"GF")</f>
        <v>GF</v>
      </c>
      <c r="B770" s="207" t="str">
        <f ca="1">IFERROR(__xludf.DUMMYFUNCTION("""COMPUTED_VALUE"""),"Thomas Barletta")</f>
        <v>Thomas Barletta</v>
      </c>
      <c r="C770" s="199">
        <f ca="1">IFERROR(__xludf.DUMMYFUNCTION("""COMPUTED_VALUE"""),7)</f>
        <v>7</v>
      </c>
      <c r="D770" s="199" t="str">
        <f ca="1">IFERROR(__xludf.DUMMYFUNCTION("""COMPUTED_VALUE"""),"B")</f>
        <v>B</v>
      </c>
      <c r="E770" s="202" t="str">
        <f ca="1">IFERROR(__xludf.DUMMYFUNCTION("""COMPUTED_VALUE"""),"F")</f>
        <v>F</v>
      </c>
      <c r="F770" s="202" t="str">
        <f ca="1">IFERROR(__xludf.DUMMYFUNCTION("""COMPUTED_VALUE"""),"J")</f>
        <v>J</v>
      </c>
      <c r="G770" s="202">
        <f ca="1">IFERROR(__xludf.DUMMYFUNCTION("""COMPUTED_VALUE"""),2)</f>
        <v>2</v>
      </c>
      <c r="H770" s="206"/>
      <c r="I770" s="206"/>
      <c r="J770" s="206"/>
      <c r="K770" s="206"/>
      <c r="L770" s="206" t="str">
        <v/>
      </c>
      <c r="M770" s="206" t="str">
        <v/>
      </c>
    </row>
    <row r="771" spans="1:13" ht="14.4">
      <c r="A771" s="199" t="str">
        <f ca="1">IFERROR(__xludf.DUMMYFUNCTION("""COMPUTED_VALUE"""),"GF")</f>
        <v>GF</v>
      </c>
      <c r="B771" s="207" t="str">
        <f ca="1">IFERROR(__xludf.DUMMYFUNCTION("""COMPUTED_VALUE"""),"William Jeffery")</f>
        <v>William Jeffery</v>
      </c>
      <c r="C771" s="199">
        <f ca="1">IFERROR(__xludf.DUMMYFUNCTION("""COMPUTED_VALUE"""),6)</f>
        <v>6</v>
      </c>
      <c r="D771" s="199" t="str">
        <f ca="1">IFERROR(__xludf.DUMMYFUNCTION("""COMPUTED_VALUE"""),"B")</f>
        <v>B</v>
      </c>
      <c r="E771" s="202" t="str">
        <f ca="1">IFERROR(__xludf.DUMMYFUNCTION("""COMPUTED_VALUE"""),"F")</f>
        <v>F</v>
      </c>
      <c r="F771" s="202" t="str">
        <f ca="1">IFERROR(__xludf.DUMMYFUNCTION("""COMPUTED_VALUE"""),"J")</f>
        <v>J</v>
      </c>
      <c r="G771" s="202">
        <f ca="1">IFERROR(__xludf.DUMMYFUNCTION("""COMPUTED_VALUE"""),2)</f>
        <v>2</v>
      </c>
      <c r="H771" s="206"/>
      <c r="I771" s="206"/>
      <c r="J771" s="206"/>
      <c r="K771" s="206"/>
      <c r="L771" s="206" t="str">
        <v/>
      </c>
      <c r="M771" s="206" t="str">
        <v/>
      </c>
    </row>
    <row r="772" spans="1:13" ht="14.4">
      <c r="A772" s="199" t="str">
        <f ca="1">IFERROR(__xludf.DUMMYFUNCTION("""COMPUTED_VALUE"""),"GF")</f>
        <v>GF</v>
      </c>
      <c r="B772" s="207" t="str">
        <f ca="1">IFERROR(__xludf.DUMMYFUNCTION("""COMPUTED_VALUE"""),"Zade Shoheiber")</f>
        <v>Zade Shoheiber</v>
      </c>
      <c r="C772" s="199">
        <f ca="1">IFERROR(__xludf.DUMMYFUNCTION("""COMPUTED_VALUE"""),7)</f>
        <v>7</v>
      </c>
      <c r="D772" s="199" t="str">
        <f ca="1">IFERROR(__xludf.DUMMYFUNCTION("""COMPUTED_VALUE"""),"B")</f>
        <v>B</v>
      </c>
      <c r="E772" s="202" t="str">
        <f ca="1">IFERROR(__xludf.DUMMYFUNCTION("""COMPUTED_VALUE"""),"F")</f>
        <v>F</v>
      </c>
      <c r="F772" s="202" t="str">
        <f ca="1">IFERROR(__xludf.DUMMYFUNCTION("""COMPUTED_VALUE"""),"J")</f>
        <v>J</v>
      </c>
      <c r="G772" s="202">
        <f ca="1">IFERROR(__xludf.DUMMYFUNCTION("""COMPUTED_VALUE"""),2)</f>
        <v>2</v>
      </c>
      <c r="H772" s="208"/>
      <c r="I772" s="208"/>
      <c r="J772" s="208"/>
      <c r="K772" s="208"/>
      <c r="L772" s="208" t="str">
        <v/>
      </c>
      <c r="M772" s="208" t="str">
        <v/>
      </c>
    </row>
    <row r="773" spans="1:13" ht="14.4">
      <c r="A773" s="199" t="str">
        <f ca="1">IFERROR(__xludf.DUMMYFUNCTION("""COMPUTED_VALUE"""),"GF")</f>
        <v>GF</v>
      </c>
      <c r="B773" s="207" t="str">
        <f ca="1">IFERROR(__xludf.DUMMYFUNCTION("""COMPUTED_VALUE"""),"Abby Bockman")</f>
        <v>Abby Bockman</v>
      </c>
      <c r="C773" s="199">
        <f ca="1">IFERROR(__xludf.DUMMYFUNCTION("""COMPUTED_VALUE"""),6)</f>
        <v>6</v>
      </c>
      <c r="D773" s="199" t="str">
        <f ca="1">IFERROR(__xludf.DUMMYFUNCTION("""COMPUTED_VALUE"""),"G")</f>
        <v>G</v>
      </c>
      <c r="E773" s="202" t="str">
        <f ca="1">IFERROR(__xludf.DUMMYFUNCTION("""COMPUTED_VALUE"""),"F")</f>
        <v>F</v>
      </c>
      <c r="F773" s="202" t="str">
        <f ca="1">IFERROR(__xludf.DUMMYFUNCTION("""COMPUTED_VALUE"""),"J")</f>
        <v>J</v>
      </c>
      <c r="G773" s="202">
        <f ca="1">IFERROR(__xludf.DUMMYFUNCTION("""COMPUTED_VALUE"""),2)</f>
        <v>2</v>
      </c>
      <c r="H773" s="208"/>
      <c r="I773" s="208"/>
      <c r="J773" s="208"/>
      <c r="K773" s="208"/>
      <c r="L773" s="208" t="str">
        <v/>
      </c>
      <c r="M773" s="208" t="str">
        <v/>
      </c>
    </row>
    <row r="774" spans="1:13" ht="14.4">
      <c r="A774" s="199" t="str">
        <f ca="1">IFERROR(__xludf.DUMMYFUNCTION("""COMPUTED_VALUE"""),"GF")</f>
        <v>GF</v>
      </c>
      <c r="B774" s="207" t="str">
        <f ca="1">IFERROR(__xludf.DUMMYFUNCTION("""COMPUTED_VALUE"""),"Alexa Landi")</f>
        <v>Alexa Landi</v>
      </c>
      <c r="C774" s="199">
        <f ca="1">IFERROR(__xludf.DUMMYFUNCTION("""COMPUTED_VALUE"""),10)</f>
        <v>10</v>
      </c>
      <c r="D774" s="199" t="str">
        <f ca="1">IFERROR(__xludf.DUMMYFUNCTION("""COMPUTED_VALUE"""),"G")</f>
        <v>G</v>
      </c>
      <c r="E774" s="202" t="str">
        <f ca="1">IFERROR(__xludf.DUMMYFUNCTION("""COMPUTED_VALUE"""),"F")</f>
        <v>F</v>
      </c>
      <c r="F774" s="202" t="str">
        <f ca="1">IFERROR(__xludf.DUMMYFUNCTION("""COMPUTED_VALUE"""),"J")</f>
        <v>J</v>
      </c>
      <c r="G774" s="202">
        <f ca="1">IFERROR(__xludf.DUMMYFUNCTION("""COMPUTED_VALUE"""),2)</f>
        <v>2</v>
      </c>
      <c r="H774" s="206">
        <v>44.35</v>
      </c>
      <c r="I774" s="206"/>
      <c r="J774" s="206" t="s">
        <v>121</v>
      </c>
      <c r="K774" s="206"/>
      <c r="L774" s="206" t="str">
        <v xml:space="preserve"> 44.35</v>
      </c>
      <c r="M774" s="206" t="str">
        <v/>
      </c>
    </row>
    <row r="775" spans="1:13" ht="14.4">
      <c r="A775" s="199" t="str">
        <f ca="1">IFERROR(__xludf.DUMMYFUNCTION("""COMPUTED_VALUE"""),"GF")</f>
        <v>GF</v>
      </c>
      <c r="B775" s="207" t="str">
        <f ca="1">IFERROR(__xludf.DUMMYFUNCTION("""COMPUTED_VALUE"""),"Ali Wiley-Jimenez")</f>
        <v>Ali Wiley-Jimenez</v>
      </c>
      <c r="C775" s="199">
        <f ca="1">IFERROR(__xludf.DUMMYFUNCTION("""COMPUTED_VALUE"""),8)</f>
        <v>8</v>
      </c>
      <c r="D775" s="199" t="str">
        <f ca="1">IFERROR(__xludf.DUMMYFUNCTION("""COMPUTED_VALUE"""),"G")</f>
        <v>G</v>
      </c>
      <c r="E775" s="202" t="str">
        <f ca="1">IFERROR(__xludf.DUMMYFUNCTION("""COMPUTED_VALUE"""),"F")</f>
        <v>F</v>
      </c>
      <c r="F775" s="202" t="str">
        <f ca="1">IFERROR(__xludf.DUMMYFUNCTION("""COMPUTED_VALUE"""),"J")</f>
        <v>J</v>
      </c>
      <c r="G775" s="202">
        <f ca="1">IFERROR(__xludf.DUMMYFUNCTION("""COMPUTED_VALUE"""),2)</f>
        <v>2</v>
      </c>
      <c r="H775" s="208">
        <v>49.45</v>
      </c>
      <c r="I775" s="208"/>
      <c r="J775" s="208" t="s">
        <v>121</v>
      </c>
      <c r="K775" s="208"/>
      <c r="L775" s="208" t="str">
        <v xml:space="preserve"> 49.45</v>
      </c>
      <c r="M775" s="208" t="str">
        <v/>
      </c>
    </row>
    <row r="776" spans="1:13" ht="14.4">
      <c r="A776" s="199" t="str">
        <f ca="1">IFERROR(__xludf.DUMMYFUNCTION("""COMPUTED_VALUE"""),"GF")</f>
        <v>GF</v>
      </c>
      <c r="B776" s="207" t="str">
        <f ca="1">IFERROR(__xludf.DUMMYFUNCTION("""COMPUTED_VALUE"""),"Amelia Lochhead")</f>
        <v>Amelia Lochhead</v>
      </c>
      <c r="C776" s="199">
        <f ca="1">IFERROR(__xludf.DUMMYFUNCTION("""COMPUTED_VALUE"""),9)</f>
        <v>9</v>
      </c>
      <c r="D776" s="199" t="str">
        <f ca="1">IFERROR(__xludf.DUMMYFUNCTION("""COMPUTED_VALUE"""),"G")</f>
        <v>G</v>
      </c>
      <c r="E776" s="202" t="str">
        <f ca="1">IFERROR(__xludf.DUMMYFUNCTION("""COMPUTED_VALUE"""),"F")</f>
        <v>F</v>
      </c>
      <c r="F776" s="202" t="str">
        <f ca="1">IFERROR(__xludf.DUMMYFUNCTION("""COMPUTED_VALUE"""),"J")</f>
        <v>J</v>
      </c>
      <c r="G776" s="202">
        <f ca="1">IFERROR(__xludf.DUMMYFUNCTION("""COMPUTED_VALUE"""),2)</f>
        <v>2</v>
      </c>
      <c r="H776" s="206"/>
      <c r="I776" s="206"/>
      <c r="J776" s="206"/>
      <c r="K776" s="206"/>
      <c r="L776" s="206" t="str">
        <v/>
      </c>
      <c r="M776" s="206" t="str">
        <v/>
      </c>
    </row>
    <row r="777" spans="1:13" ht="14.4">
      <c r="A777" s="199" t="str">
        <f ca="1">IFERROR(__xludf.DUMMYFUNCTION("""COMPUTED_VALUE"""),"GF")</f>
        <v>GF</v>
      </c>
      <c r="B777" s="207" t="str">
        <f ca="1">IFERROR(__xludf.DUMMYFUNCTION("""COMPUTED_VALUE"""),"Ana Pourbabai")</f>
        <v>Ana Pourbabai</v>
      </c>
      <c r="C777" s="199">
        <f ca="1">IFERROR(__xludf.DUMMYFUNCTION("""COMPUTED_VALUE"""),9)</f>
        <v>9</v>
      </c>
      <c r="D777" s="199" t="str">
        <f ca="1">IFERROR(__xludf.DUMMYFUNCTION("""COMPUTED_VALUE"""),"G")</f>
        <v>G</v>
      </c>
      <c r="E777" s="202" t="str">
        <f ca="1">IFERROR(__xludf.DUMMYFUNCTION("""COMPUTED_VALUE"""),"F")</f>
        <v>F</v>
      </c>
      <c r="F777" s="202" t="str">
        <f ca="1">IFERROR(__xludf.DUMMYFUNCTION("""COMPUTED_VALUE"""),"J")</f>
        <v>J</v>
      </c>
      <c r="G777" s="202">
        <f ca="1">IFERROR(__xludf.DUMMYFUNCTION("""COMPUTED_VALUE"""),2)</f>
        <v>2</v>
      </c>
      <c r="H777" s="206"/>
      <c r="I777" s="206"/>
      <c r="J777" s="206"/>
      <c r="K777" s="206"/>
      <c r="L777" s="206" t="str">
        <v/>
      </c>
      <c r="M777" s="206" t="str">
        <v/>
      </c>
    </row>
    <row r="778" spans="1:13" ht="14.4">
      <c r="A778" s="199" t="str">
        <f ca="1">IFERROR(__xludf.DUMMYFUNCTION("""COMPUTED_VALUE"""),"GF")</f>
        <v>GF</v>
      </c>
      <c r="B778" s="207" t="str">
        <f ca="1">IFERROR(__xludf.DUMMYFUNCTION("""COMPUTED_VALUE"""),"Ari Wiley-Jimenez")</f>
        <v>Ari Wiley-Jimenez</v>
      </c>
      <c r="C778" s="199">
        <f ca="1">IFERROR(__xludf.DUMMYFUNCTION("""COMPUTED_VALUE"""),8)</f>
        <v>8</v>
      </c>
      <c r="D778" s="199" t="str">
        <f ca="1">IFERROR(__xludf.DUMMYFUNCTION("""COMPUTED_VALUE"""),"G")</f>
        <v>G</v>
      </c>
      <c r="E778" s="202" t="str">
        <f ca="1">IFERROR(__xludf.DUMMYFUNCTION("""COMPUTED_VALUE"""),"F")</f>
        <v>F</v>
      </c>
      <c r="F778" s="202" t="str">
        <f ca="1">IFERROR(__xludf.DUMMYFUNCTION("""COMPUTED_VALUE"""),"J")</f>
        <v>J</v>
      </c>
      <c r="G778" s="202">
        <f ca="1">IFERROR(__xludf.DUMMYFUNCTION("""COMPUTED_VALUE"""),2)</f>
        <v>2</v>
      </c>
      <c r="H778" s="208">
        <v>40.25</v>
      </c>
      <c r="I778" s="208"/>
      <c r="J778" s="208" t="s">
        <v>121</v>
      </c>
      <c r="K778" s="208"/>
      <c r="L778" s="208" t="str">
        <v xml:space="preserve"> 40.25</v>
      </c>
      <c r="M778" s="208" t="str">
        <v/>
      </c>
    </row>
    <row r="779" spans="1:13" ht="14.4">
      <c r="A779" s="199" t="str">
        <f ca="1">IFERROR(__xludf.DUMMYFUNCTION("""COMPUTED_VALUE"""),"GF")</f>
        <v>GF</v>
      </c>
      <c r="B779" s="207" t="str">
        <f ca="1">IFERROR(__xludf.DUMMYFUNCTION("""COMPUTED_VALUE"""),"Ashley Sanders")</f>
        <v>Ashley Sanders</v>
      </c>
      <c r="C779" s="199">
        <f ca="1">IFERROR(__xludf.DUMMYFUNCTION("""COMPUTED_VALUE"""),8)</f>
        <v>8</v>
      </c>
      <c r="D779" s="199" t="str">
        <f ca="1">IFERROR(__xludf.DUMMYFUNCTION("""COMPUTED_VALUE"""),"G")</f>
        <v>G</v>
      </c>
      <c r="E779" s="202" t="str">
        <f ca="1">IFERROR(__xludf.DUMMYFUNCTION("""COMPUTED_VALUE"""),"F")</f>
        <v>F</v>
      </c>
      <c r="F779" s="202" t="str">
        <f ca="1">IFERROR(__xludf.DUMMYFUNCTION("""COMPUTED_VALUE"""),"J")</f>
        <v>J</v>
      </c>
      <c r="G779" s="202">
        <f ca="1">IFERROR(__xludf.DUMMYFUNCTION("""COMPUTED_VALUE"""),2)</f>
        <v>2</v>
      </c>
      <c r="H779" s="208"/>
      <c r="I779" s="208"/>
      <c r="J779" s="208"/>
      <c r="K779" s="208"/>
      <c r="L779" s="208" t="str">
        <v/>
      </c>
      <c r="M779" s="208" t="str">
        <v/>
      </c>
    </row>
    <row r="780" spans="1:13" ht="14.4">
      <c r="A780" s="199" t="str">
        <f ca="1">IFERROR(__xludf.DUMMYFUNCTION("""COMPUTED_VALUE"""),"GF")</f>
        <v>GF</v>
      </c>
      <c r="B780" s="207" t="str">
        <f ca="1">IFERROR(__xludf.DUMMYFUNCTION("""COMPUTED_VALUE"""),"Ayla Asner")</f>
        <v>Ayla Asner</v>
      </c>
      <c r="C780" s="199">
        <f ca="1">IFERROR(__xludf.DUMMYFUNCTION("""COMPUTED_VALUE"""),10)</f>
        <v>10</v>
      </c>
      <c r="D780" s="199" t="str">
        <f ca="1">IFERROR(__xludf.DUMMYFUNCTION("""COMPUTED_VALUE"""),"G")</f>
        <v>G</v>
      </c>
      <c r="E780" s="202" t="str">
        <f ca="1">IFERROR(__xludf.DUMMYFUNCTION("""COMPUTED_VALUE"""),"F")</f>
        <v>F</v>
      </c>
      <c r="F780" s="202" t="str">
        <f ca="1">IFERROR(__xludf.DUMMYFUNCTION("""COMPUTED_VALUE"""),"J")</f>
        <v>J</v>
      </c>
      <c r="G780" s="202">
        <f ca="1">IFERROR(__xludf.DUMMYFUNCTION("""COMPUTED_VALUE"""),2)</f>
        <v>2</v>
      </c>
      <c r="H780" s="206">
        <v>34.25</v>
      </c>
      <c r="I780" s="206"/>
      <c r="J780" s="206" t="s">
        <v>121</v>
      </c>
      <c r="K780" s="206"/>
      <c r="L780" s="206" t="str">
        <v xml:space="preserve"> 34.25</v>
      </c>
      <c r="M780" s="206" t="str">
        <v/>
      </c>
    </row>
    <row r="781" spans="1:13" ht="14.4">
      <c r="A781" s="199" t="str">
        <f ca="1">IFERROR(__xludf.DUMMYFUNCTION("""COMPUTED_VALUE"""),"GF")</f>
        <v>GF</v>
      </c>
      <c r="B781" s="207" t="str">
        <f ca="1">IFERROR(__xludf.DUMMYFUNCTION("""COMPUTED_VALUE"""),"Bennett Barletta")</f>
        <v>Bennett Barletta</v>
      </c>
      <c r="C781" s="199">
        <f ca="1">IFERROR(__xludf.DUMMYFUNCTION("""COMPUTED_VALUE"""),9)</f>
        <v>9</v>
      </c>
      <c r="D781" s="199" t="str">
        <f ca="1">IFERROR(__xludf.DUMMYFUNCTION("""COMPUTED_VALUE"""),"G")</f>
        <v>G</v>
      </c>
      <c r="E781" s="202" t="str">
        <f ca="1">IFERROR(__xludf.DUMMYFUNCTION("""COMPUTED_VALUE"""),"F")</f>
        <v>F</v>
      </c>
      <c r="F781" s="202" t="str">
        <f ca="1">IFERROR(__xludf.DUMMYFUNCTION("""COMPUTED_VALUE"""),"J")</f>
        <v>J</v>
      </c>
      <c r="G781" s="202">
        <f ca="1">IFERROR(__xludf.DUMMYFUNCTION("""COMPUTED_VALUE"""),2)</f>
        <v>2</v>
      </c>
      <c r="H781" s="206"/>
      <c r="I781" s="206"/>
      <c r="J781" s="206"/>
      <c r="K781" s="206"/>
      <c r="L781" s="206" t="str">
        <v/>
      </c>
      <c r="M781" s="206" t="str">
        <v/>
      </c>
    </row>
    <row r="782" spans="1:13" ht="14.4">
      <c r="A782" s="199" t="str">
        <f ca="1">IFERROR(__xludf.DUMMYFUNCTION("""COMPUTED_VALUE"""),"GF")</f>
        <v>GF</v>
      </c>
      <c r="B782" s="207" t="str">
        <f ca="1">IFERROR(__xludf.DUMMYFUNCTION("""COMPUTED_VALUE"""),"Byanne Shoheiber")</f>
        <v>Byanne Shoheiber</v>
      </c>
      <c r="C782" s="199">
        <f ca="1">IFERROR(__xludf.DUMMYFUNCTION("""COMPUTED_VALUE"""),9)</f>
        <v>9</v>
      </c>
      <c r="D782" s="199" t="str">
        <f ca="1">IFERROR(__xludf.DUMMYFUNCTION("""COMPUTED_VALUE"""),"G")</f>
        <v>G</v>
      </c>
      <c r="E782" s="202" t="str">
        <f ca="1">IFERROR(__xludf.DUMMYFUNCTION("""COMPUTED_VALUE"""),"F")</f>
        <v>F</v>
      </c>
      <c r="F782" s="202" t="str">
        <f ca="1">IFERROR(__xludf.DUMMYFUNCTION("""COMPUTED_VALUE"""),"J")</f>
        <v>J</v>
      </c>
      <c r="G782" s="202">
        <f ca="1">IFERROR(__xludf.DUMMYFUNCTION("""COMPUTED_VALUE"""),2)</f>
        <v>2</v>
      </c>
      <c r="H782" s="208"/>
      <c r="I782" s="208"/>
      <c r="J782" s="208"/>
      <c r="K782" s="208"/>
      <c r="L782" s="208" t="str">
        <v/>
      </c>
      <c r="M782" s="208" t="str">
        <v/>
      </c>
    </row>
    <row r="783" spans="1:13" ht="14.4">
      <c r="A783" s="199" t="str">
        <f ca="1">IFERROR(__xludf.DUMMYFUNCTION("""COMPUTED_VALUE"""),"GF")</f>
        <v>GF</v>
      </c>
      <c r="B783" s="207" t="str">
        <f ca="1">IFERROR(__xludf.DUMMYFUNCTION("""COMPUTED_VALUE"""),"Cate Pino")</f>
        <v>Cate Pino</v>
      </c>
      <c r="C783" s="199">
        <f ca="1">IFERROR(__xludf.DUMMYFUNCTION("""COMPUTED_VALUE"""),9)</f>
        <v>9</v>
      </c>
      <c r="D783" s="199" t="str">
        <f ca="1">IFERROR(__xludf.DUMMYFUNCTION("""COMPUTED_VALUE"""),"G")</f>
        <v>G</v>
      </c>
      <c r="E783" s="202" t="str">
        <f ca="1">IFERROR(__xludf.DUMMYFUNCTION("""COMPUTED_VALUE"""),"F")</f>
        <v>F</v>
      </c>
      <c r="F783" s="202" t="str">
        <f ca="1">IFERROR(__xludf.DUMMYFUNCTION("""COMPUTED_VALUE"""),"J")</f>
        <v>J</v>
      </c>
      <c r="G783" s="202">
        <f ca="1">IFERROR(__xludf.DUMMYFUNCTION("""COMPUTED_VALUE"""),2)</f>
        <v>2</v>
      </c>
      <c r="H783" s="208"/>
      <c r="I783" s="208"/>
      <c r="J783" s="208"/>
      <c r="K783" s="208"/>
      <c r="L783" s="208" t="str">
        <v/>
      </c>
      <c r="M783" s="208" t="str">
        <v/>
      </c>
    </row>
    <row r="784" spans="1:13" ht="14.4">
      <c r="A784" s="199" t="str">
        <f ca="1">IFERROR(__xludf.DUMMYFUNCTION("""COMPUTED_VALUE"""),"GF")</f>
        <v>GF</v>
      </c>
      <c r="B784" s="207" t="str">
        <f ca="1">IFERROR(__xludf.DUMMYFUNCTION("""COMPUTED_VALUE"""),"Daliyah McKimmy")</f>
        <v>Daliyah McKimmy</v>
      </c>
      <c r="C784" s="199">
        <f ca="1">IFERROR(__xludf.DUMMYFUNCTION("""COMPUTED_VALUE"""),10)</f>
        <v>10</v>
      </c>
      <c r="D784" s="199" t="str">
        <f ca="1">IFERROR(__xludf.DUMMYFUNCTION("""COMPUTED_VALUE"""),"G")</f>
        <v>G</v>
      </c>
      <c r="E784" s="202" t="str">
        <f ca="1">IFERROR(__xludf.DUMMYFUNCTION("""COMPUTED_VALUE"""),"F")</f>
        <v>F</v>
      </c>
      <c r="F784" s="202" t="str">
        <f ca="1">IFERROR(__xludf.DUMMYFUNCTION("""COMPUTED_VALUE"""),"J")</f>
        <v>J</v>
      </c>
      <c r="G784" s="202">
        <f ca="1">IFERROR(__xludf.DUMMYFUNCTION("""COMPUTED_VALUE"""),2)</f>
        <v>2</v>
      </c>
      <c r="H784" s="206">
        <v>38.950000000000003</v>
      </c>
      <c r="I784" s="206"/>
      <c r="J784" s="206" t="s">
        <v>121</v>
      </c>
      <c r="K784" s="206"/>
      <c r="L784" s="206" t="str">
        <v xml:space="preserve"> 38.95</v>
      </c>
      <c r="M784" s="206" t="str">
        <v/>
      </c>
    </row>
    <row r="785" spans="1:13" ht="14.4">
      <c r="A785" s="199" t="str">
        <f ca="1">IFERROR(__xludf.DUMMYFUNCTION("""COMPUTED_VALUE"""),"GF")</f>
        <v>GF</v>
      </c>
      <c r="B785" s="207" t="str">
        <f ca="1">IFERROR(__xludf.DUMMYFUNCTION("""COMPUTED_VALUE"""),"Ellie Vroom")</f>
        <v>Ellie Vroom</v>
      </c>
      <c r="C785" s="199">
        <f ca="1">IFERROR(__xludf.DUMMYFUNCTION("""COMPUTED_VALUE"""),9)</f>
        <v>9</v>
      </c>
      <c r="D785" s="199" t="str">
        <f ca="1">IFERROR(__xludf.DUMMYFUNCTION("""COMPUTED_VALUE"""),"G")</f>
        <v>G</v>
      </c>
      <c r="E785" s="202" t="str">
        <f ca="1">IFERROR(__xludf.DUMMYFUNCTION("""COMPUTED_VALUE"""),"F")</f>
        <v>F</v>
      </c>
      <c r="F785" s="202" t="str">
        <f ca="1">IFERROR(__xludf.DUMMYFUNCTION("""COMPUTED_VALUE"""),"J")</f>
        <v>J</v>
      </c>
      <c r="G785" s="202">
        <f ca="1">IFERROR(__xludf.DUMMYFUNCTION("""COMPUTED_VALUE"""),2)</f>
        <v>2</v>
      </c>
      <c r="H785" s="208">
        <v>64.7</v>
      </c>
      <c r="I785" s="208"/>
      <c r="J785" s="208" t="s">
        <v>121</v>
      </c>
      <c r="K785" s="208"/>
      <c r="L785" s="208" t="str">
        <v xml:space="preserve"> 64.7</v>
      </c>
      <c r="M785" s="208" t="str">
        <v/>
      </c>
    </row>
    <row r="786" spans="1:13" ht="14.4">
      <c r="A786" s="199" t="str">
        <f ca="1">IFERROR(__xludf.DUMMYFUNCTION("""COMPUTED_VALUE"""),"GF")</f>
        <v>GF</v>
      </c>
      <c r="B786" s="207" t="str">
        <f ca="1">IFERROR(__xludf.DUMMYFUNCTION("""COMPUTED_VALUE"""),"Estella Lam")</f>
        <v>Estella Lam</v>
      </c>
      <c r="C786" s="199">
        <f ca="1">IFERROR(__xludf.DUMMYFUNCTION("""COMPUTED_VALUE"""),6)</f>
        <v>6</v>
      </c>
      <c r="D786" s="199" t="str">
        <f ca="1">IFERROR(__xludf.DUMMYFUNCTION("""COMPUTED_VALUE"""),"G")</f>
        <v>G</v>
      </c>
      <c r="E786" s="202" t="str">
        <f ca="1">IFERROR(__xludf.DUMMYFUNCTION("""COMPUTED_VALUE"""),"F")</f>
        <v>F</v>
      </c>
      <c r="F786" s="202" t="str">
        <f ca="1">IFERROR(__xludf.DUMMYFUNCTION("""COMPUTED_VALUE"""),"J")</f>
        <v>J</v>
      </c>
      <c r="G786" s="202">
        <f ca="1">IFERROR(__xludf.DUMMYFUNCTION("""COMPUTED_VALUE"""),2)</f>
        <v>2</v>
      </c>
      <c r="H786" s="208"/>
      <c r="I786" s="208"/>
      <c r="J786" s="208"/>
      <c r="K786" s="208"/>
      <c r="L786" s="208" t="str">
        <v/>
      </c>
      <c r="M786" s="208" t="str">
        <v/>
      </c>
    </row>
    <row r="787" spans="1:13" ht="14.4">
      <c r="A787" s="199" t="str">
        <f ca="1">IFERROR(__xludf.DUMMYFUNCTION("""COMPUTED_VALUE"""),"GF")</f>
        <v>GF</v>
      </c>
      <c r="B787" s="207" t="str">
        <f ca="1">IFERROR(__xludf.DUMMYFUNCTION("""COMPUTED_VALUE"""),"Heidi Stoddard")</f>
        <v>Heidi Stoddard</v>
      </c>
      <c r="C787" s="199">
        <f ca="1">IFERROR(__xludf.DUMMYFUNCTION("""COMPUTED_VALUE"""),9)</f>
        <v>9</v>
      </c>
      <c r="D787" s="199" t="str">
        <f ca="1">IFERROR(__xludf.DUMMYFUNCTION("""COMPUTED_VALUE"""),"G")</f>
        <v>G</v>
      </c>
      <c r="E787" s="202" t="str">
        <f ca="1">IFERROR(__xludf.DUMMYFUNCTION("""COMPUTED_VALUE"""),"F")</f>
        <v>F</v>
      </c>
      <c r="F787" s="202" t="str">
        <f ca="1">IFERROR(__xludf.DUMMYFUNCTION("""COMPUTED_VALUE"""),"J")</f>
        <v>J</v>
      </c>
      <c r="G787" s="202">
        <f ca="1">IFERROR(__xludf.DUMMYFUNCTION("""COMPUTED_VALUE"""),2)</f>
        <v>2</v>
      </c>
      <c r="H787" s="208">
        <v>42.3</v>
      </c>
      <c r="I787" s="208"/>
      <c r="J787" s="208" t="s">
        <v>121</v>
      </c>
      <c r="K787" s="208"/>
      <c r="L787" s="208" t="str">
        <v xml:space="preserve"> 42.3</v>
      </c>
      <c r="M787" s="208" t="str">
        <v/>
      </c>
    </row>
    <row r="788" spans="1:13" ht="14.4">
      <c r="A788" s="199" t="str">
        <f ca="1">IFERROR(__xludf.DUMMYFUNCTION("""COMPUTED_VALUE"""),"GF")</f>
        <v>GF</v>
      </c>
      <c r="B788" s="207" t="str">
        <f ca="1">IFERROR(__xludf.DUMMYFUNCTION("""COMPUTED_VALUE"""),"Mia Hansen")</f>
        <v>Mia Hansen</v>
      </c>
      <c r="C788" s="199">
        <f ca="1">IFERROR(__xludf.DUMMYFUNCTION("""COMPUTED_VALUE"""),7)</f>
        <v>7</v>
      </c>
      <c r="D788" s="199" t="str">
        <f ca="1">IFERROR(__xludf.DUMMYFUNCTION("""COMPUTED_VALUE"""),"G")</f>
        <v>G</v>
      </c>
      <c r="E788" s="202" t="str">
        <f ca="1">IFERROR(__xludf.DUMMYFUNCTION("""COMPUTED_VALUE"""),"F")</f>
        <v>F</v>
      </c>
      <c r="F788" s="202" t="str">
        <f ca="1">IFERROR(__xludf.DUMMYFUNCTION("""COMPUTED_VALUE"""),"J")</f>
        <v>J</v>
      </c>
      <c r="G788" s="202">
        <f ca="1">IFERROR(__xludf.DUMMYFUNCTION("""COMPUTED_VALUE"""),2)</f>
        <v>2</v>
      </c>
      <c r="H788" s="206"/>
      <c r="I788" s="206"/>
      <c r="J788" s="206"/>
      <c r="K788" s="206"/>
      <c r="L788" s="206" t="str">
        <v/>
      </c>
      <c r="M788" s="206" t="str">
        <v/>
      </c>
    </row>
    <row r="789" spans="1:13" ht="14.4">
      <c r="A789" s="199" t="str">
        <f ca="1">IFERROR(__xludf.DUMMYFUNCTION("""COMPUTED_VALUE"""),"GF")</f>
        <v>GF</v>
      </c>
      <c r="B789" s="207" t="str">
        <f ca="1">IFERROR(__xludf.DUMMYFUNCTION("""COMPUTED_VALUE"""),"Nora Mekouar")</f>
        <v>Nora Mekouar</v>
      </c>
      <c r="C789" s="199">
        <f ca="1">IFERROR(__xludf.DUMMYFUNCTION("""COMPUTED_VALUE"""),8)</f>
        <v>8</v>
      </c>
      <c r="D789" s="199" t="str">
        <f ca="1">IFERROR(__xludf.DUMMYFUNCTION("""COMPUTED_VALUE"""),"G")</f>
        <v>G</v>
      </c>
      <c r="E789" s="202" t="str">
        <f ca="1">IFERROR(__xludf.DUMMYFUNCTION("""COMPUTED_VALUE"""),"F")</f>
        <v>F</v>
      </c>
      <c r="F789" s="202" t="str">
        <f ca="1">IFERROR(__xludf.DUMMYFUNCTION("""COMPUTED_VALUE"""),"J")</f>
        <v>J</v>
      </c>
      <c r="G789" s="202">
        <f ca="1">IFERROR(__xludf.DUMMYFUNCTION("""COMPUTED_VALUE"""),2)</f>
        <v>2</v>
      </c>
      <c r="H789" s="208"/>
      <c r="I789" s="208"/>
      <c r="J789" s="208"/>
      <c r="K789" s="208"/>
      <c r="L789" s="208" t="str">
        <v/>
      </c>
      <c r="M789" s="208" t="str">
        <v/>
      </c>
    </row>
    <row r="790" spans="1:13" ht="14.4">
      <c r="A790" s="199" t="str">
        <f ca="1">IFERROR(__xludf.DUMMYFUNCTION("""COMPUTED_VALUE"""),"GF")</f>
        <v>GF</v>
      </c>
      <c r="B790" s="207" t="str">
        <f ca="1">IFERROR(__xludf.DUMMYFUNCTION("""COMPUTED_VALUE"""),"Olivia Meng")</f>
        <v>Olivia Meng</v>
      </c>
      <c r="C790" s="199">
        <f ca="1">IFERROR(__xludf.DUMMYFUNCTION("""COMPUTED_VALUE"""),8)</f>
        <v>8</v>
      </c>
      <c r="D790" s="199" t="str">
        <f ca="1">IFERROR(__xludf.DUMMYFUNCTION("""COMPUTED_VALUE"""),"G")</f>
        <v>G</v>
      </c>
      <c r="E790" s="202" t="str">
        <f ca="1">IFERROR(__xludf.DUMMYFUNCTION("""COMPUTED_VALUE"""),"F")</f>
        <v>F</v>
      </c>
      <c r="F790" s="202" t="str">
        <f ca="1">IFERROR(__xludf.DUMMYFUNCTION("""COMPUTED_VALUE"""),"J")</f>
        <v>J</v>
      </c>
      <c r="G790" s="202">
        <f ca="1">IFERROR(__xludf.DUMMYFUNCTION("""COMPUTED_VALUE"""),2)</f>
        <v>2</v>
      </c>
      <c r="H790" s="208"/>
      <c r="I790" s="208"/>
      <c r="J790" s="208"/>
      <c r="K790" s="208"/>
      <c r="L790" s="208" t="str">
        <v/>
      </c>
      <c r="M790" s="208" t="str">
        <v/>
      </c>
    </row>
    <row r="791" spans="1:13" ht="14.4">
      <c r="A791" s="199" t="str">
        <f ca="1">IFERROR(__xludf.DUMMYFUNCTION("""COMPUTED_VALUE"""),"GF")</f>
        <v>GF</v>
      </c>
      <c r="B791" s="207" t="str">
        <f ca="1">IFERROR(__xludf.DUMMYFUNCTION("""COMPUTED_VALUE"""),"Phoebe Jeffery")</f>
        <v>Phoebe Jeffery</v>
      </c>
      <c r="C791" s="199">
        <f ca="1">IFERROR(__xludf.DUMMYFUNCTION("""COMPUTED_VALUE"""),8)</f>
        <v>8</v>
      </c>
      <c r="D791" s="199" t="str">
        <f ca="1">IFERROR(__xludf.DUMMYFUNCTION("""COMPUTED_VALUE"""),"G")</f>
        <v>G</v>
      </c>
      <c r="E791" s="202" t="str">
        <f ca="1">IFERROR(__xludf.DUMMYFUNCTION("""COMPUTED_VALUE"""),"F")</f>
        <v>F</v>
      </c>
      <c r="F791" s="202" t="str">
        <f ca="1">IFERROR(__xludf.DUMMYFUNCTION("""COMPUTED_VALUE"""),"J")</f>
        <v>J</v>
      </c>
      <c r="G791" s="202">
        <f ca="1">IFERROR(__xludf.DUMMYFUNCTION("""COMPUTED_VALUE"""),2)</f>
        <v>2</v>
      </c>
      <c r="H791" s="206">
        <v>46.6</v>
      </c>
      <c r="I791" s="206"/>
      <c r="J791" s="206" t="s">
        <v>121</v>
      </c>
      <c r="K791" s="206"/>
      <c r="L791" s="206" t="str">
        <v xml:space="preserve"> 46.6</v>
      </c>
      <c r="M791" s="206" t="str">
        <v/>
      </c>
    </row>
    <row r="792" spans="1:13" ht="14.4">
      <c r="A792" s="199" t="str">
        <f ca="1">IFERROR(__xludf.DUMMYFUNCTION("""COMPUTED_VALUE"""),"GF")</f>
        <v>GF</v>
      </c>
      <c r="B792" s="207" t="str">
        <f ca="1">IFERROR(__xludf.DUMMYFUNCTION("""COMPUTED_VALUE"""),"Riyah McKimmy")</f>
        <v>Riyah McKimmy</v>
      </c>
      <c r="C792" s="199">
        <f ca="1">IFERROR(__xludf.DUMMYFUNCTION("""COMPUTED_VALUE"""),9)</f>
        <v>9</v>
      </c>
      <c r="D792" s="199" t="str">
        <f ca="1">IFERROR(__xludf.DUMMYFUNCTION("""COMPUTED_VALUE"""),"G")</f>
        <v>G</v>
      </c>
      <c r="E792" s="202" t="str">
        <f ca="1">IFERROR(__xludf.DUMMYFUNCTION("""COMPUTED_VALUE"""),"F")</f>
        <v>F</v>
      </c>
      <c r="F792" s="202" t="str">
        <f ca="1">IFERROR(__xludf.DUMMYFUNCTION("""COMPUTED_VALUE"""),"J")</f>
        <v>J</v>
      </c>
      <c r="G792" s="202">
        <f ca="1">IFERROR(__xludf.DUMMYFUNCTION("""COMPUTED_VALUE"""),2)</f>
        <v>2</v>
      </c>
      <c r="H792" s="208">
        <v>30.35</v>
      </c>
      <c r="I792" s="208"/>
      <c r="J792" s="208" t="s">
        <v>121</v>
      </c>
      <c r="K792" s="208"/>
      <c r="L792" s="208" t="str">
        <v xml:space="preserve"> 30.35</v>
      </c>
      <c r="M792" s="208" t="str">
        <v/>
      </c>
    </row>
    <row r="793" spans="1:13" ht="14.4">
      <c r="A793" s="199" t="str">
        <f ca="1">IFERROR(__xludf.DUMMYFUNCTION("""COMPUTED_VALUE"""),"GF")</f>
        <v>GF</v>
      </c>
      <c r="B793" s="207" t="str">
        <f ca="1">IFERROR(__xludf.DUMMYFUNCTION("""COMPUTED_VALUE"""),"Taylor Mathey")</f>
        <v>Taylor Mathey</v>
      </c>
      <c r="C793" s="199">
        <f ca="1">IFERROR(__xludf.DUMMYFUNCTION("""COMPUTED_VALUE"""),10)</f>
        <v>10</v>
      </c>
      <c r="D793" s="199" t="str">
        <f ca="1">IFERROR(__xludf.DUMMYFUNCTION("""COMPUTED_VALUE"""),"G")</f>
        <v>G</v>
      </c>
      <c r="E793" s="202" t="str">
        <f ca="1">IFERROR(__xludf.DUMMYFUNCTION("""COMPUTED_VALUE"""),"F")</f>
        <v>F</v>
      </c>
      <c r="F793" s="202" t="str">
        <f ca="1">IFERROR(__xludf.DUMMYFUNCTION("""COMPUTED_VALUE"""),"J")</f>
        <v>J</v>
      </c>
      <c r="G793" s="202">
        <f ca="1">IFERROR(__xludf.DUMMYFUNCTION("""COMPUTED_VALUE"""),2)</f>
        <v>2</v>
      </c>
      <c r="H793" s="206"/>
      <c r="I793" s="206"/>
      <c r="J793" s="206"/>
      <c r="K793" s="206"/>
      <c r="L793" s="206" t="str">
        <v/>
      </c>
      <c r="M793" s="206" t="str">
        <v/>
      </c>
    </row>
    <row r="794" spans="1:13" ht="14.4">
      <c r="A794" s="199" t="str">
        <f ca="1">IFERROR(__xludf.DUMMYFUNCTION("""COMPUTED_VALUE"""),"GF")</f>
        <v>GF</v>
      </c>
      <c r="B794" s="207" t="str">
        <f ca="1">IFERROR(__xludf.DUMMYFUNCTION("""COMPUTED_VALUE"""),"Cameron Crawford")</f>
        <v>Cameron Crawford</v>
      </c>
      <c r="C794" s="199">
        <f ca="1">IFERROR(__xludf.DUMMYFUNCTION("""COMPUTED_VALUE"""),13)</f>
        <v>13</v>
      </c>
      <c r="D794" s="199" t="str">
        <f ca="1">IFERROR(__xludf.DUMMYFUNCTION("""COMPUTED_VALUE"""),"B")</f>
        <v>B</v>
      </c>
      <c r="E794" s="202" t="str">
        <f ca="1">IFERROR(__xludf.DUMMYFUNCTION("""COMPUTED_VALUE"""),"I")</f>
        <v>I</v>
      </c>
      <c r="F794" s="202" t="str">
        <f ca="1">IFERROR(__xludf.DUMMYFUNCTION("""COMPUTED_VALUE"""),"S")</f>
        <v>S</v>
      </c>
      <c r="G794" s="202">
        <f ca="1">IFERROR(__xludf.DUMMYFUNCTION("""COMPUTED_VALUE"""),2)</f>
        <v>2</v>
      </c>
      <c r="H794" s="208"/>
      <c r="I794" s="208"/>
      <c r="J794" s="208"/>
      <c r="K794" s="208"/>
      <c r="L794" s="208" t="str">
        <v/>
      </c>
      <c r="M794" s="208" t="str">
        <v/>
      </c>
    </row>
    <row r="795" spans="1:13" ht="14.4">
      <c r="A795" s="199" t="str">
        <f ca="1">IFERROR(__xludf.DUMMYFUNCTION("""COMPUTED_VALUE"""),"GF")</f>
        <v>GF</v>
      </c>
      <c r="B795" s="207" t="str">
        <f ca="1">IFERROR(__xludf.DUMMYFUNCTION("""COMPUTED_VALUE"""),"Cian Gallagher")</f>
        <v>Cian Gallagher</v>
      </c>
      <c r="C795" s="199">
        <f ca="1">IFERROR(__xludf.DUMMYFUNCTION("""COMPUTED_VALUE"""),13)</f>
        <v>13</v>
      </c>
      <c r="D795" s="199" t="str">
        <f ca="1">IFERROR(__xludf.DUMMYFUNCTION("""COMPUTED_VALUE"""),"B")</f>
        <v>B</v>
      </c>
      <c r="E795" s="202" t="str">
        <f ca="1">IFERROR(__xludf.DUMMYFUNCTION("""COMPUTED_VALUE"""),"I")</f>
        <v>I</v>
      </c>
      <c r="F795" s="202" t="str">
        <f ca="1">IFERROR(__xludf.DUMMYFUNCTION("""COMPUTED_VALUE"""),"S")</f>
        <v>S</v>
      </c>
      <c r="G795" s="202">
        <f ca="1">IFERROR(__xludf.DUMMYFUNCTION("""COMPUTED_VALUE"""),2)</f>
        <v>2</v>
      </c>
      <c r="H795" s="208"/>
      <c r="I795" s="208">
        <v>103.15</v>
      </c>
      <c r="J795" s="208"/>
      <c r="K795" s="208" t="s">
        <v>121</v>
      </c>
      <c r="L795" s="208" t="str">
        <v xml:space="preserve"> 103.15</v>
      </c>
      <c r="M795" s="208" t="str">
        <v/>
      </c>
    </row>
    <row r="796" spans="1:13" ht="14.4">
      <c r="A796" s="199" t="str">
        <f ca="1">IFERROR(__xludf.DUMMYFUNCTION("""COMPUTED_VALUE"""),"GF")</f>
        <v>GF</v>
      </c>
      <c r="B796" s="207" t="str">
        <f ca="1">IFERROR(__xludf.DUMMYFUNCTION("""COMPUTED_VALUE"""),"Kebeer Chawla")</f>
        <v>Kebeer Chawla</v>
      </c>
      <c r="C796" s="199">
        <f ca="1">IFERROR(__xludf.DUMMYFUNCTION("""COMPUTED_VALUE"""),13)</f>
        <v>13</v>
      </c>
      <c r="D796" s="199" t="str">
        <f ca="1">IFERROR(__xludf.DUMMYFUNCTION("""COMPUTED_VALUE"""),"B")</f>
        <v>B</v>
      </c>
      <c r="E796" s="202" t="str">
        <f ca="1">IFERROR(__xludf.DUMMYFUNCTION("""COMPUTED_VALUE"""),"I")</f>
        <v>I</v>
      </c>
      <c r="F796" s="202" t="str">
        <f ca="1">IFERROR(__xludf.DUMMYFUNCTION("""COMPUTED_VALUE"""),"S")</f>
        <v>S</v>
      </c>
      <c r="G796" s="202">
        <f ca="1">IFERROR(__xludf.DUMMYFUNCTION("""COMPUTED_VALUE"""),2)</f>
        <v>2</v>
      </c>
      <c r="H796" s="208"/>
      <c r="I796" s="208"/>
      <c r="J796" s="208"/>
      <c r="K796" s="208"/>
      <c r="L796" s="208" t="str">
        <v/>
      </c>
      <c r="M796" s="208" t="str">
        <v/>
      </c>
    </row>
    <row r="797" spans="1:13" ht="14.4">
      <c r="A797" s="199" t="str">
        <f ca="1">IFERROR(__xludf.DUMMYFUNCTION("""COMPUTED_VALUE"""),"GF")</f>
        <v>GF</v>
      </c>
      <c r="B797" s="207" t="str">
        <f ca="1">IFERROR(__xludf.DUMMYFUNCTION("""COMPUTED_VALUE"""),"Tajan Wiley-Jimenez")</f>
        <v>Tajan Wiley-Jimenez</v>
      </c>
      <c r="C797" s="199">
        <f ca="1">IFERROR(__xludf.DUMMYFUNCTION("""COMPUTED_VALUE"""),13)</f>
        <v>13</v>
      </c>
      <c r="D797" s="199" t="str">
        <f ca="1">IFERROR(__xludf.DUMMYFUNCTION("""COMPUTED_VALUE"""),"B")</f>
        <v>B</v>
      </c>
      <c r="E797" s="202" t="str">
        <f ca="1">IFERROR(__xludf.DUMMYFUNCTION("""COMPUTED_VALUE"""),"I")</f>
        <v>I</v>
      </c>
      <c r="F797" s="202" t="str">
        <f ca="1">IFERROR(__xludf.DUMMYFUNCTION("""COMPUTED_VALUE"""),"S")</f>
        <v>S</v>
      </c>
      <c r="G797" s="202">
        <f ca="1">IFERROR(__xludf.DUMMYFUNCTION("""COMPUTED_VALUE"""),2)</f>
        <v>2</v>
      </c>
      <c r="H797" s="208"/>
      <c r="I797" s="208"/>
      <c r="J797" s="208"/>
      <c r="K797" s="208"/>
      <c r="L797" s="208" t="str">
        <v/>
      </c>
      <c r="M797" s="208" t="str">
        <v/>
      </c>
    </row>
    <row r="798" spans="1:13" ht="14.4">
      <c r="A798" s="199" t="str">
        <f ca="1">IFERROR(__xludf.DUMMYFUNCTION("""COMPUTED_VALUE"""),"GF")</f>
        <v>GF</v>
      </c>
      <c r="B798" s="207" t="str">
        <f ca="1">IFERROR(__xludf.DUMMYFUNCTION("""COMPUTED_VALUE"""),"Will Pourbabai")</f>
        <v>Will Pourbabai</v>
      </c>
      <c r="C798" s="199">
        <f ca="1">IFERROR(__xludf.DUMMYFUNCTION("""COMPUTED_VALUE"""),13)</f>
        <v>13</v>
      </c>
      <c r="D798" s="199" t="str">
        <f ca="1">IFERROR(__xludf.DUMMYFUNCTION("""COMPUTED_VALUE"""),"B")</f>
        <v>B</v>
      </c>
      <c r="E798" s="202" t="str">
        <f ca="1">IFERROR(__xludf.DUMMYFUNCTION("""COMPUTED_VALUE"""),"I")</f>
        <v>I</v>
      </c>
      <c r="F798" s="202" t="str">
        <f ca="1">IFERROR(__xludf.DUMMYFUNCTION("""COMPUTED_VALUE"""),"S")</f>
        <v>S</v>
      </c>
      <c r="G798" s="202">
        <f ca="1">IFERROR(__xludf.DUMMYFUNCTION("""COMPUTED_VALUE"""),2)</f>
        <v>2</v>
      </c>
      <c r="H798" s="208"/>
      <c r="I798" s="208"/>
      <c r="J798" s="208"/>
      <c r="K798" s="208"/>
      <c r="L798" s="208" t="str">
        <v/>
      </c>
      <c r="M798" s="208" t="str">
        <v/>
      </c>
    </row>
    <row r="799" spans="1:13" ht="14.4">
      <c r="A799" s="199" t="str">
        <f ca="1">IFERROR(__xludf.DUMMYFUNCTION("""COMPUTED_VALUE"""),"GF")</f>
        <v>GF</v>
      </c>
      <c r="B799" s="207" t="str">
        <f ca="1">IFERROR(__xludf.DUMMYFUNCTION("""COMPUTED_VALUE"""),"Cami Knight")</f>
        <v>Cami Knight</v>
      </c>
      <c r="C799" s="199">
        <f ca="1">IFERROR(__xludf.DUMMYFUNCTION("""COMPUTED_VALUE"""),14)</f>
        <v>14</v>
      </c>
      <c r="D799" s="199" t="str">
        <f ca="1">IFERROR(__xludf.DUMMYFUNCTION("""COMPUTED_VALUE"""),"G")</f>
        <v>G</v>
      </c>
      <c r="E799" s="202" t="str">
        <f ca="1">IFERROR(__xludf.DUMMYFUNCTION("""COMPUTED_VALUE"""),"I")</f>
        <v>I</v>
      </c>
      <c r="F799" s="202" t="str">
        <f ca="1">IFERROR(__xludf.DUMMYFUNCTION("""COMPUTED_VALUE"""),"S")</f>
        <v>S</v>
      </c>
      <c r="G799" s="202">
        <f ca="1">IFERROR(__xludf.DUMMYFUNCTION("""COMPUTED_VALUE"""),2)</f>
        <v>2</v>
      </c>
      <c r="H799" s="208"/>
      <c r="I799" s="208"/>
      <c r="J799" s="208"/>
      <c r="K799" s="208"/>
      <c r="L799" s="208" t="str">
        <v/>
      </c>
      <c r="M799" s="208" t="str">
        <v/>
      </c>
    </row>
    <row r="800" spans="1:13" ht="14.4">
      <c r="A800" s="199" t="str">
        <f ca="1">IFERROR(__xludf.DUMMYFUNCTION("""COMPUTED_VALUE"""),"GF")</f>
        <v>GF</v>
      </c>
      <c r="B800" s="207" t="str">
        <f ca="1">IFERROR(__xludf.DUMMYFUNCTION("""COMPUTED_VALUE"""),"Corinne Jaggard")</f>
        <v>Corinne Jaggard</v>
      </c>
      <c r="C800" s="199">
        <f ca="1">IFERROR(__xludf.DUMMYFUNCTION("""COMPUTED_VALUE"""),14)</f>
        <v>14</v>
      </c>
      <c r="D800" s="199" t="str">
        <f ca="1">IFERROR(__xludf.DUMMYFUNCTION("""COMPUTED_VALUE"""),"G")</f>
        <v>G</v>
      </c>
      <c r="E800" s="202" t="str">
        <f ca="1">IFERROR(__xludf.DUMMYFUNCTION("""COMPUTED_VALUE"""),"I")</f>
        <v>I</v>
      </c>
      <c r="F800" s="202" t="str">
        <f ca="1">IFERROR(__xludf.DUMMYFUNCTION("""COMPUTED_VALUE"""),"S")</f>
        <v>S</v>
      </c>
      <c r="G800" s="202">
        <f ca="1">IFERROR(__xludf.DUMMYFUNCTION("""COMPUTED_VALUE"""),2)</f>
        <v>2</v>
      </c>
      <c r="H800" s="206"/>
      <c r="I800" s="206"/>
      <c r="J800" s="206"/>
      <c r="K800" s="206"/>
      <c r="L800" s="206" t="str">
        <v/>
      </c>
      <c r="M800" s="206" t="str">
        <v/>
      </c>
    </row>
    <row r="801" spans="1:13" ht="14.4">
      <c r="A801" s="199" t="str">
        <f ca="1">IFERROR(__xludf.DUMMYFUNCTION("""COMPUTED_VALUE"""),"GF")</f>
        <v>GF</v>
      </c>
      <c r="B801" s="207" t="str">
        <f ca="1">IFERROR(__xludf.DUMMYFUNCTION("""COMPUTED_VALUE"""),"Ella Decker")</f>
        <v>Ella Decker</v>
      </c>
      <c r="C801" s="199">
        <f ca="1">IFERROR(__xludf.DUMMYFUNCTION("""COMPUTED_VALUE"""),13)</f>
        <v>13</v>
      </c>
      <c r="D801" s="199" t="str">
        <f ca="1">IFERROR(__xludf.DUMMYFUNCTION("""COMPUTED_VALUE"""),"G")</f>
        <v>G</v>
      </c>
      <c r="E801" s="202" t="str">
        <f ca="1">IFERROR(__xludf.DUMMYFUNCTION("""COMPUTED_VALUE"""),"I")</f>
        <v>I</v>
      </c>
      <c r="F801" s="202" t="str">
        <f ca="1">IFERROR(__xludf.DUMMYFUNCTION("""COMPUTED_VALUE"""),"S")</f>
        <v>S</v>
      </c>
      <c r="G801" s="202">
        <f ca="1">IFERROR(__xludf.DUMMYFUNCTION("""COMPUTED_VALUE"""),2)</f>
        <v>2</v>
      </c>
      <c r="H801" s="208">
        <v>107.4</v>
      </c>
      <c r="I801" s="208"/>
      <c r="J801" s="208" t="s">
        <v>121</v>
      </c>
      <c r="K801" s="208"/>
      <c r="L801" s="208" t="str">
        <v xml:space="preserve"> 107.4</v>
      </c>
      <c r="M801" s="208" t="str">
        <v/>
      </c>
    </row>
    <row r="802" spans="1:13" ht="14.4">
      <c r="A802" s="199" t="str">
        <f ca="1">IFERROR(__xludf.DUMMYFUNCTION("""COMPUTED_VALUE"""),"GF")</f>
        <v>GF</v>
      </c>
      <c r="B802" s="207" t="str">
        <f ca="1">IFERROR(__xludf.DUMMYFUNCTION("""COMPUTED_VALUE"""),"Grant Clark")</f>
        <v>Grant Clark</v>
      </c>
      <c r="C802" s="199">
        <f ca="1">IFERROR(__xludf.DUMMYFUNCTION("""COMPUTED_VALUE"""),11)</f>
        <v>11</v>
      </c>
      <c r="D802" s="199" t="str">
        <f ca="1">IFERROR(__xludf.DUMMYFUNCTION("""COMPUTED_VALUE"""),"B")</f>
        <v>B</v>
      </c>
      <c r="E802" s="202" t="str">
        <f ca="1">IFERROR(__xludf.DUMMYFUNCTION("""COMPUTED_VALUE"""),"J")</f>
        <v>J</v>
      </c>
      <c r="F802" s="202" t="str">
        <f ca="1">IFERROR(__xludf.DUMMYFUNCTION("""COMPUTED_VALUE"""),"I")</f>
        <v>I</v>
      </c>
      <c r="G802" s="202">
        <f ca="1">IFERROR(__xludf.DUMMYFUNCTION("""COMPUTED_VALUE"""),2)</f>
        <v>2</v>
      </c>
      <c r="H802" s="206"/>
      <c r="I802" s="206"/>
      <c r="J802" s="206"/>
      <c r="K802" s="206"/>
      <c r="L802" s="206" t="str">
        <v/>
      </c>
      <c r="M802" s="206" t="str">
        <v/>
      </c>
    </row>
    <row r="803" spans="1:13" ht="14.4">
      <c r="A803" s="199" t="str">
        <f ca="1">IFERROR(__xludf.DUMMYFUNCTION("""COMPUTED_VALUE"""),"GF")</f>
        <v>GF</v>
      </c>
      <c r="B803" s="207" t="str">
        <f ca="1">IFERROR(__xludf.DUMMYFUNCTION("""COMPUTED_VALUE"""),"Hudson Clayton")</f>
        <v>Hudson Clayton</v>
      </c>
      <c r="C803" s="199">
        <f ca="1">IFERROR(__xludf.DUMMYFUNCTION("""COMPUTED_VALUE"""),11)</f>
        <v>11</v>
      </c>
      <c r="D803" s="199" t="str">
        <f ca="1">IFERROR(__xludf.DUMMYFUNCTION("""COMPUTED_VALUE"""),"B")</f>
        <v>B</v>
      </c>
      <c r="E803" s="202" t="str">
        <f ca="1">IFERROR(__xludf.DUMMYFUNCTION("""COMPUTED_VALUE"""),"J")</f>
        <v>J</v>
      </c>
      <c r="F803" s="202" t="str">
        <f ca="1">IFERROR(__xludf.DUMMYFUNCTION("""COMPUTED_VALUE"""),"I")</f>
        <v>I</v>
      </c>
      <c r="G803" s="202">
        <f ca="1">IFERROR(__xludf.DUMMYFUNCTION("""COMPUTED_VALUE"""),2)</f>
        <v>2</v>
      </c>
      <c r="H803" s="206"/>
      <c r="I803" s="206"/>
      <c r="J803" s="206"/>
      <c r="K803" s="206"/>
      <c r="L803" s="206" t="str">
        <v/>
      </c>
      <c r="M803" s="206" t="str">
        <v/>
      </c>
    </row>
    <row r="804" spans="1:13" ht="14.4">
      <c r="A804" s="199" t="str">
        <f ca="1">IFERROR(__xludf.DUMMYFUNCTION("""COMPUTED_VALUE"""),"GF")</f>
        <v>GF</v>
      </c>
      <c r="B804" s="207" t="str">
        <f ca="1">IFERROR(__xludf.DUMMYFUNCTION("""COMPUTED_VALUE"""),"Lucian DeBellia")</f>
        <v>Lucian DeBellia</v>
      </c>
      <c r="C804" s="199">
        <f ca="1">IFERROR(__xludf.DUMMYFUNCTION("""COMPUTED_VALUE"""),11)</f>
        <v>11</v>
      </c>
      <c r="D804" s="199" t="str">
        <f ca="1">IFERROR(__xludf.DUMMYFUNCTION("""COMPUTED_VALUE"""),"B")</f>
        <v>B</v>
      </c>
      <c r="E804" s="202" t="str">
        <f ca="1">IFERROR(__xludf.DUMMYFUNCTION("""COMPUTED_VALUE"""),"J")</f>
        <v>J</v>
      </c>
      <c r="F804" s="202" t="str">
        <f ca="1">IFERROR(__xludf.DUMMYFUNCTION("""COMPUTED_VALUE"""),"I")</f>
        <v>I</v>
      </c>
      <c r="G804" s="202">
        <f ca="1">IFERROR(__xludf.DUMMYFUNCTION("""COMPUTED_VALUE"""),2)</f>
        <v>2</v>
      </c>
      <c r="H804" s="208"/>
      <c r="I804" s="208"/>
      <c r="J804" s="208"/>
      <c r="K804" s="208"/>
      <c r="L804" s="208" t="str">
        <v/>
      </c>
      <c r="M804" s="208" t="str">
        <v/>
      </c>
    </row>
    <row r="805" spans="1:13" ht="14.4">
      <c r="A805" s="199" t="str">
        <f ca="1">IFERROR(__xludf.DUMMYFUNCTION("""COMPUTED_VALUE"""),"GF")</f>
        <v>GF</v>
      </c>
      <c r="B805" s="207" t="str">
        <f ca="1">IFERROR(__xludf.DUMMYFUNCTION("""COMPUTED_VALUE"""),"Peter Baird")</f>
        <v>Peter Baird</v>
      </c>
      <c r="C805" s="199">
        <f ca="1">IFERROR(__xludf.DUMMYFUNCTION("""COMPUTED_VALUE"""),12)</f>
        <v>12</v>
      </c>
      <c r="D805" s="199" t="str">
        <f ca="1">IFERROR(__xludf.DUMMYFUNCTION("""COMPUTED_VALUE"""),"B")</f>
        <v>B</v>
      </c>
      <c r="E805" s="202" t="str">
        <f ca="1">IFERROR(__xludf.DUMMYFUNCTION("""COMPUTED_VALUE"""),"J")</f>
        <v>J</v>
      </c>
      <c r="F805" s="202" t="str">
        <f ca="1">IFERROR(__xludf.DUMMYFUNCTION("""COMPUTED_VALUE"""),"I")</f>
        <v>I</v>
      </c>
      <c r="G805" s="202">
        <f ca="1">IFERROR(__xludf.DUMMYFUNCTION("""COMPUTED_VALUE"""),2)</f>
        <v>2</v>
      </c>
      <c r="H805" s="208"/>
      <c r="I805" s="208"/>
      <c r="J805" s="208"/>
      <c r="K805" s="208"/>
      <c r="L805" s="208" t="str">
        <v/>
      </c>
      <c r="M805" s="208" t="str">
        <v/>
      </c>
    </row>
    <row r="806" spans="1:13" ht="14.4">
      <c r="A806" s="199" t="str">
        <f ca="1">IFERROR(__xludf.DUMMYFUNCTION("""COMPUTED_VALUE"""),"GF")</f>
        <v>GF</v>
      </c>
      <c r="B806" s="207" t="str">
        <f ca="1">IFERROR(__xludf.DUMMYFUNCTION("""COMPUTED_VALUE"""),"Trey Donovan")</f>
        <v>Trey Donovan</v>
      </c>
      <c r="C806" s="199">
        <f ca="1">IFERROR(__xludf.DUMMYFUNCTION("""COMPUTED_VALUE"""),11)</f>
        <v>11</v>
      </c>
      <c r="D806" s="199" t="str">
        <f ca="1">IFERROR(__xludf.DUMMYFUNCTION("""COMPUTED_VALUE"""),"B")</f>
        <v>B</v>
      </c>
      <c r="E806" s="202" t="str">
        <f ca="1">IFERROR(__xludf.DUMMYFUNCTION("""COMPUTED_VALUE"""),"J")</f>
        <v>J</v>
      </c>
      <c r="F806" s="202" t="str">
        <f ca="1">IFERROR(__xludf.DUMMYFUNCTION("""COMPUTED_VALUE"""),"I")</f>
        <v>I</v>
      </c>
      <c r="G806" s="202">
        <f ca="1">IFERROR(__xludf.DUMMYFUNCTION("""COMPUTED_VALUE"""),2)</f>
        <v>2</v>
      </c>
      <c r="H806" s="206"/>
      <c r="I806" s="206"/>
      <c r="J806" s="206"/>
      <c r="K806" s="206"/>
      <c r="L806" s="206" t="str">
        <v/>
      </c>
      <c r="M806" s="206" t="str">
        <v/>
      </c>
    </row>
    <row r="807" spans="1:13" ht="14.4">
      <c r="A807" s="199" t="str">
        <f ca="1">IFERROR(__xludf.DUMMYFUNCTION("""COMPUTED_VALUE"""),"GF")</f>
        <v>GF</v>
      </c>
      <c r="B807" s="207" t="str">
        <f ca="1">IFERROR(__xludf.DUMMYFUNCTION("""COMPUTED_VALUE"""),"Vincent Landi")</f>
        <v>Vincent Landi</v>
      </c>
      <c r="C807" s="199">
        <f ca="1">IFERROR(__xludf.DUMMYFUNCTION("""COMPUTED_VALUE"""),11)</f>
        <v>11</v>
      </c>
      <c r="D807" s="199" t="str">
        <f ca="1">IFERROR(__xludf.DUMMYFUNCTION("""COMPUTED_VALUE"""),"B")</f>
        <v>B</v>
      </c>
      <c r="E807" s="202" t="str">
        <f ca="1">IFERROR(__xludf.DUMMYFUNCTION("""COMPUTED_VALUE"""),"J")</f>
        <v>J</v>
      </c>
      <c r="F807" s="202" t="str">
        <f ca="1">IFERROR(__xludf.DUMMYFUNCTION("""COMPUTED_VALUE"""),"I")</f>
        <v>I</v>
      </c>
      <c r="G807" s="202">
        <f ca="1">IFERROR(__xludf.DUMMYFUNCTION("""COMPUTED_VALUE"""),2)</f>
        <v>2</v>
      </c>
      <c r="H807" s="208"/>
      <c r="I807" s="208">
        <v>68.55</v>
      </c>
      <c r="J807" s="208"/>
      <c r="K807" s="208" t="s">
        <v>121</v>
      </c>
      <c r="L807" s="208" t="str">
        <v xml:space="preserve"> 68.55</v>
      </c>
      <c r="M807" s="208" t="str">
        <v/>
      </c>
    </row>
    <row r="808" spans="1:13" ht="14.4">
      <c r="A808" s="199" t="str">
        <f ca="1">IFERROR(__xludf.DUMMYFUNCTION("""COMPUTED_VALUE"""),"GF")</f>
        <v>GF</v>
      </c>
      <c r="B808" s="207" t="str">
        <f ca="1">IFERROR(__xludf.DUMMYFUNCTION("""COMPUTED_VALUE"""),"Caroline Mascatella")</f>
        <v>Caroline Mascatella</v>
      </c>
      <c r="C808" s="199">
        <f ca="1">IFERROR(__xludf.DUMMYFUNCTION("""COMPUTED_VALUE"""),11)</f>
        <v>11</v>
      </c>
      <c r="D808" s="199" t="str">
        <f ca="1">IFERROR(__xludf.DUMMYFUNCTION("""COMPUTED_VALUE"""),"G")</f>
        <v>G</v>
      </c>
      <c r="E808" s="202" t="str">
        <f ca="1">IFERROR(__xludf.DUMMYFUNCTION("""COMPUTED_VALUE"""),"J")</f>
        <v>J</v>
      </c>
      <c r="F808" s="202" t="str">
        <f ca="1">IFERROR(__xludf.DUMMYFUNCTION("""COMPUTED_VALUE"""),"I")</f>
        <v>I</v>
      </c>
      <c r="G808" s="202">
        <f ca="1">IFERROR(__xludf.DUMMYFUNCTION("""COMPUTED_VALUE"""),2)</f>
        <v>2</v>
      </c>
      <c r="H808" s="206"/>
      <c r="I808" s="206"/>
      <c r="J808" s="206"/>
      <c r="K808" s="206"/>
      <c r="L808" s="206" t="str">
        <v/>
      </c>
      <c r="M808" s="206" t="str">
        <v/>
      </c>
    </row>
    <row r="809" spans="1:13" ht="14.4">
      <c r="A809" s="199" t="str">
        <f ca="1">IFERROR(__xludf.DUMMYFUNCTION("""COMPUTED_VALUE"""),"GF")</f>
        <v>GF</v>
      </c>
      <c r="B809" s="207" t="str">
        <f ca="1">IFERROR(__xludf.DUMMYFUNCTION("""COMPUTED_VALUE"""),"Christine Rolph")</f>
        <v>Christine Rolph</v>
      </c>
      <c r="C809" s="199">
        <f ca="1">IFERROR(__xludf.DUMMYFUNCTION("""COMPUTED_VALUE"""),11)</f>
        <v>11</v>
      </c>
      <c r="D809" s="199" t="str">
        <f ca="1">IFERROR(__xludf.DUMMYFUNCTION("""COMPUTED_VALUE"""),"G")</f>
        <v>G</v>
      </c>
      <c r="E809" s="202" t="str">
        <f ca="1">IFERROR(__xludf.DUMMYFUNCTION("""COMPUTED_VALUE"""),"J")</f>
        <v>J</v>
      </c>
      <c r="F809" s="202" t="str">
        <f ca="1">IFERROR(__xludf.DUMMYFUNCTION("""COMPUTED_VALUE"""),"I")</f>
        <v>I</v>
      </c>
      <c r="G809" s="202">
        <f ca="1">IFERROR(__xludf.DUMMYFUNCTION("""COMPUTED_VALUE"""),2)</f>
        <v>2</v>
      </c>
      <c r="H809" s="206"/>
      <c r="I809" s="206"/>
      <c r="J809" s="206"/>
      <c r="K809" s="206"/>
      <c r="L809" s="206" t="str">
        <v/>
      </c>
      <c r="M809" s="206" t="str">
        <v/>
      </c>
    </row>
    <row r="810" spans="1:13" ht="14.4">
      <c r="A810" s="199" t="str">
        <f ca="1">IFERROR(__xludf.DUMMYFUNCTION("""COMPUTED_VALUE"""),"GF")</f>
        <v>GF</v>
      </c>
      <c r="B810" s="207" t="str">
        <f ca="1">IFERROR(__xludf.DUMMYFUNCTION("""COMPUTED_VALUE"""),"Elizabeth Crawford")</f>
        <v>Elizabeth Crawford</v>
      </c>
      <c r="C810" s="199">
        <f ca="1">IFERROR(__xludf.DUMMYFUNCTION("""COMPUTED_VALUE"""),11)</f>
        <v>11</v>
      </c>
      <c r="D810" s="199" t="str">
        <f ca="1">IFERROR(__xludf.DUMMYFUNCTION("""COMPUTED_VALUE"""),"G")</f>
        <v>G</v>
      </c>
      <c r="E810" s="202" t="str">
        <f ca="1">IFERROR(__xludf.DUMMYFUNCTION("""COMPUTED_VALUE"""),"J")</f>
        <v>J</v>
      </c>
      <c r="F810" s="202" t="str">
        <f ca="1">IFERROR(__xludf.DUMMYFUNCTION("""COMPUTED_VALUE"""),"I")</f>
        <v>I</v>
      </c>
      <c r="G810" s="202">
        <f ca="1">IFERROR(__xludf.DUMMYFUNCTION("""COMPUTED_VALUE"""),2)</f>
        <v>2</v>
      </c>
      <c r="H810" s="208"/>
      <c r="I810" s="208"/>
      <c r="J810" s="208"/>
      <c r="K810" s="208"/>
      <c r="L810" s="208" t="str">
        <v/>
      </c>
      <c r="M810" s="208" t="str">
        <v/>
      </c>
    </row>
    <row r="811" spans="1:13" ht="14.4">
      <c r="A811" s="199" t="str">
        <f ca="1">IFERROR(__xludf.DUMMYFUNCTION("""COMPUTED_VALUE"""),"GF")</f>
        <v>GF</v>
      </c>
      <c r="B811" s="207" t="str">
        <f ca="1">IFERROR(__xludf.DUMMYFUNCTION("""COMPUTED_VALUE"""),"Gigi Ruse")</f>
        <v>Gigi Ruse</v>
      </c>
      <c r="C811" s="199">
        <f ca="1">IFERROR(__xludf.DUMMYFUNCTION("""COMPUTED_VALUE"""),12)</f>
        <v>12</v>
      </c>
      <c r="D811" s="199" t="str">
        <f ca="1">IFERROR(__xludf.DUMMYFUNCTION("""COMPUTED_VALUE"""),"G")</f>
        <v>G</v>
      </c>
      <c r="E811" s="202" t="str">
        <f ca="1">IFERROR(__xludf.DUMMYFUNCTION("""COMPUTED_VALUE"""),"J")</f>
        <v>J</v>
      </c>
      <c r="F811" s="202" t="str">
        <f ca="1">IFERROR(__xludf.DUMMYFUNCTION("""COMPUTED_VALUE"""),"I")</f>
        <v>I</v>
      </c>
      <c r="G811" s="202">
        <f ca="1">IFERROR(__xludf.DUMMYFUNCTION("""COMPUTED_VALUE"""),2)</f>
        <v>2</v>
      </c>
      <c r="H811" s="208">
        <v>82.5</v>
      </c>
      <c r="I811" s="208"/>
      <c r="J811" s="208" t="s">
        <v>121</v>
      </c>
      <c r="K811" s="208"/>
      <c r="L811" s="208" t="str">
        <v xml:space="preserve"> 82.5</v>
      </c>
      <c r="M811" s="208" t="str">
        <v/>
      </c>
    </row>
    <row r="812" spans="1:13" ht="14.4">
      <c r="A812" s="199" t="str">
        <f ca="1">IFERROR(__xludf.DUMMYFUNCTION("""COMPUTED_VALUE"""),"GF")</f>
        <v>GF</v>
      </c>
      <c r="B812" s="207" t="str">
        <f ca="1">IFERROR(__xludf.DUMMYFUNCTION("""COMPUTED_VALUE"""),"Mary Clare Abela")</f>
        <v>Mary Clare Abela</v>
      </c>
      <c r="C812" s="199">
        <f ca="1">IFERROR(__xludf.DUMMYFUNCTION("""COMPUTED_VALUE"""),12)</f>
        <v>12</v>
      </c>
      <c r="D812" s="199" t="str">
        <f ca="1">IFERROR(__xludf.DUMMYFUNCTION("""COMPUTED_VALUE"""),"G")</f>
        <v>G</v>
      </c>
      <c r="E812" s="202" t="str">
        <f ca="1">IFERROR(__xludf.DUMMYFUNCTION("""COMPUTED_VALUE"""),"J")</f>
        <v>J</v>
      </c>
      <c r="F812" s="202" t="str">
        <f ca="1">IFERROR(__xludf.DUMMYFUNCTION("""COMPUTED_VALUE"""),"I")</f>
        <v>I</v>
      </c>
      <c r="G812" s="202">
        <f ca="1">IFERROR(__xludf.DUMMYFUNCTION("""COMPUTED_VALUE"""),2)</f>
        <v>2</v>
      </c>
      <c r="H812" s="206">
        <v>86.35</v>
      </c>
      <c r="I812" s="206"/>
      <c r="J812" s="206" t="s">
        <v>121</v>
      </c>
      <c r="K812" s="206"/>
      <c r="L812" s="206" t="str">
        <v xml:space="preserve"> 86.35</v>
      </c>
      <c r="M812" s="206" t="str">
        <v/>
      </c>
    </row>
    <row r="813" spans="1:13" ht="14.4">
      <c r="A813" s="199" t="str">
        <f ca="1">IFERROR(__xludf.DUMMYFUNCTION("""COMPUTED_VALUE"""),"GF")</f>
        <v>GF</v>
      </c>
      <c r="B813" s="207" t="str">
        <f ca="1">IFERROR(__xludf.DUMMYFUNCTION("""COMPUTED_VALUE"""),"Mia Nash")</f>
        <v>Mia Nash</v>
      </c>
      <c r="C813" s="199">
        <f ca="1">IFERROR(__xludf.DUMMYFUNCTION("""COMPUTED_VALUE"""),12)</f>
        <v>12</v>
      </c>
      <c r="D813" s="199" t="str">
        <f ca="1">IFERROR(__xludf.DUMMYFUNCTION("""COMPUTED_VALUE"""),"G")</f>
        <v>G</v>
      </c>
      <c r="E813" s="202" t="str">
        <f ca="1">IFERROR(__xludf.DUMMYFUNCTION("""COMPUTED_VALUE"""),"J")</f>
        <v>J</v>
      </c>
      <c r="F813" s="202" t="str">
        <f ca="1">IFERROR(__xludf.DUMMYFUNCTION("""COMPUTED_VALUE"""),"I")</f>
        <v>I</v>
      </c>
      <c r="G813" s="202">
        <f ca="1">IFERROR(__xludf.DUMMYFUNCTION("""COMPUTED_VALUE"""),2)</f>
        <v>2</v>
      </c>
      <c r="H813" s="206">
        <v>76.55</v>
      </c>
      <c r="I813" s="206"/>
      <c r="J813" s="206" t="s">
        <v>121</v>
      </c>
      <c r="K813" s="206"/>
      <c r="L813" s="206" t="str">
        <v xml:space="preserve"> 76.55</v>
      </c>
      <c r="M813" s="206" t="str">
        <v/>
      </c>
    </row>
    <row r="814" spans="1:13" ht="14.4">
      <c r="A814" s="199" t="str">
        <f ca="1">IFERROR(__xludf.DUMMYFUNCTION("""COMPUTED_VALUE"""),"GF")</f>
        <v>GF</v>
      </c>
      <c r="B814" s="207" t="str">
        <f ca="1">IFERROR(__xludf.DUMMYFUNCTION("""COMPUTED_VALUE"""),"Natalie Aucoin")</f>
        <v>Natalie Aucoin</v>
      </c>
      <c r="C814" s="199">
        <f ca="1">IFERROR(__xludf.DUMMYFUNCTION("""COMPUTED_VALUE"""),12)</f>
        <v>12</v>
      </c>
      <c r="D814" s="199" t="str">
        <f ca="1">IFERROR(__xludf.DUMMYFUNCTION("""COMPUTED_VALUE"""),"G")</f>
        <v>G</v>
      </c>
      <c r="E814" s="202" t="str">
        <f ca="1">IFERROR(__xludf.DUMMYFUNCTION("""COMPUTED_VALUE"""),"J")</f>
        <v>J</v>
      </c>
      <c r="F814" s="202" t="str">
        <f ca="1">IFERROR(__xludf.DUMMYFUNCTION("""COMPUTED_VALUE"""),"I")</f>
        <v>I</v>
      </c>
      <c r="G814" s="202">
        <f ca="1">IFERROR(__xludf.DUMMYFUNCTION("""COMPUTED_VALUE"""),2)</f>
        <v>2</v>
      </c>
      <c r="H814" s="206"/>
      <c r="I814" s="206"/>
      <c r="J814" s="206"/>
      <c r="K814" s="206"/>
      <c r="L814" s="206" t="str">
        <v/>
      </c>
      <c r="M814" s="206" t="str">
        <v/>
      </c>
    </row>
    <row r="815" spans="1:13" ht="14.4">
      <c r="A815" s="199" t="str">
        <f ca="1">IFERROR(__xludf.DUMMYFUNCTION("""COMPUTED_VALUE"""),"GF")</f>
        <v>GF</v>
      </c>
      <c r="B815" s="207" t="str">
        <f ca="1">IFERROR(__xludf.DUMMYFUNCTION("""COMPUTED_VALUE"""),"Samantha Schiller")</f>
        <v>Samantha Schiller</v>
      </c>
      <c r="C815" s="199">
        <f ca="1">IFERROR(__xludf.DUMMYFUNCTION("""COMPUTED_VALUE"""),12)</f>
        <v>12</v>
      </c>
      <c r="D815" s="199" t="str">
        <f ca="1">IFERROR(__xludf.DUMMYFUNCTION("""COMPUTED_VALUE"""),"G")</f>
        <v>G</v>
      </c>
      <c r="E815" s="202" t="str">
        <f ca="1">IFERROR(__xludf.DUMMYFUNCTION("""COMPUTED_VALUE"""),"J")</f>
        <v>J</v>
      </c>
      <c r="F815" s="202" t="str">
        <f ca="1">IFERROR(__xludf.DUMMYFUNCTION("""COMPUTED_VALUE"""),"I")</f>
        <v>I</v>
      </c>
      <c r="G815" s="202">
        <f ca="1">IFERROR(__xludf.DUMMYFUNCTION("""COMPUTED_VALUE"""),2)</f>
        <v>2</v>
      </c>
      <c r="H815" s="206"/>
      <c r="I815" s="206"/>
      <c r="J815" s="206"/>
      <c r="K815" s="206"/>
      <c r="L815" s="206" t="str">
        <v/>
      </c>
      <c r="M815" s="206" t="str">
        <v/>
      </c>
    </row>
    <row r="816" spans="1:13" ht="14.4">
      <c r="A816" s="199" t="str">
        <f ca="1">IFERROR(__xludf.DUMMYFUNCTION("""COMPUTED_VALUE"""),"GF")</f>
        <v>GF</v>
      </c>
      <c r="B816" s="207" t="str">
        <f ca="1">IFERROR(__xludf.DUMMYFUNCTION("""COMPUTED_VALUE"""),"Sophia Dalton")</f>
        <v>Sophia Dalton</v>
      </c>
      <c r="C816" s="199">
        <f ca="1">IFERROR(__xludf.DUMMYFUNCTION("""COMPUTED_VALUE"""),11)</f>
        <v>11</v>
      </c>
      <c r="D816" s="199" t="str">
        <f ca="1">IFERROR(__xludf.DUMMYFUNCTION("""COMPUTED_VALUE"""),"G")</f>
        <v>G</v>
      </c>
      <c r="E816" s="202" t="str">
        <f ca="1">IFERROR(__xludf.DUMMYFUNCTION("""COMPUTED_VALUE"""),"J")</f>
        <v>J</v>
      </c>
      <c r="F816" s="202" t="str">
        <f ca="1">IFERROR(__xludf.DUMMYFUNCTION("""COMPUTED_VALUE"""),"I")</f>
        <v>I</v>
      </c>
      <c r="G816" s="202">
        <f ca="1">IFERROR(__xludf.DUMMYFUNCTION("""COMPUTED_VALUE"""),2)</f>
        <v>2</v>
      </c>
      <c r="H816" s="208"/>
      <c r="I816" s="208"/>
      <c r="J816" s="208"/>
      <c r="K816" s="208"/>
      <c r="L816" s="208" t="str">
        <v/>
      </c>
      <c r="M816" s="208" t="str">
        <v/>
      </c>
    </row>
    <row r="817" spans="1:13" ht="14.4">
      <c r="A817" s="199" t="str">
        <f ca="1">IFERROR(__xludf.DUMMYFUNCTION("""COMPUTED_VALUE"""),"GF")</f>
        <v>GF</v>
      </c>
      <c r="B817" s="207" t="str">
        <f ca="1">IFERROR(__xludf.DUMMYFUNCTION("""COMPUTED_VALUE"""),"Teagan Coulon")</f>
        <v>Teagan Coulon</v>
      </c>
      <c r="C817" s="199">
        <f ca="1">IFERROR(__xludf.DUMMYFUNCTION("""COMPUTED_VALUE"""),11)</f>
        <v>11</v>
      </c>
      <c r="D817" s="199" t="str">
        <f ca="1">IFERROR(__xludf.DUMMYFUNCTION("""COMPUTED_VALUE"""),"G")</f>
        <v>G</v>
      </c>
      <c r="E817" s="202" t="str">
        <f ca="1">IFERROR(__xludf.DUMMYFUNCTION("""COMPUTED_VALUE"""),"J")</f>
        <v>J</v>
      </c>
      <c r="F817" s="202" t="str">
        <f ca="1">IFERROR(__xludf.DUMMYFUNCTION("""COMPUTED_VALUE"""),"I")</f>
        <v>I</v>
      </c>
      <c r="G817" s="202">
        <f ca="1">IFERROR(__xludf.DUMMYFUNCTION("""COMPUTED_VALUE"""),2)</f>
        <v>2</v>
      </c>
      <c r="H817" s="206"/>
      <c r="I817" s="206"/>
      <c r="J817" s="206"/>
      <c r="K817" s="206"/>
      <c r="L817" s="206" t="str">
        <v/>
      </c>
      <c r="M817" s="206" t="str">
        <v/>
      </c>
    </row>
    <row r="818" spans="1:13" ht="14.4">
      <c r="A818" s="199" t="str">
        <f ca="1">IFERROR(__xludf.DUMMYFUNCTION("""COMPUTED_VALUE"""),"GF")</f>
        <v>GF</v>
      </c>
      <c r="B818" s="207" t="str">
        <f ca="1">IFERROR(__xludf.DUMMYFUNCTION("""COMPUTED_VALUE"""),"Adam Manley")</f>
        <v>Adam Manley</v>
      </c>
      <c r="C818" s="199">
        <f ca="1">IFERROR(__xludf.DUMMYFUNCTION("""COMPUTED_VALUE"""),16)</f>
        <v>16</v>
      </c>
      <c r="D818" s="199" t="str">
        <f ca="1">IFERROR(__xludf.DUMMYFUNCTION("""COMPUTED_VALUE"""),"B")</f>
        <v>B</v>
      </c>
      <c r="E818" s="202" t="str">
        <f ca="1">IFERROR(__xludf.DUMMYFUNCTION("""COMPUTED_VALUE"""),"S")</f>
        <v>S</v>
      </c>
      <c r="F818" s="202" t="str">
        <f ca="1">IFERROR(__xludf.DUMMYFUNCTION("""COMPUTED_VALUE"""),"S")</f>
        <v>S</v>
      </c>
      <c r="G818" s="202">
        <f ca="1">IFERROR(__xludf.DUMMYFUNCTION("""COMPUTED_VALUE"""),2)</f>
        <v>2</v>
      </c>
      <c r="H818" s="206"/>
      <c r="I818" s="206">
        <v>149.55000000000001</v>
      </c>
      <c r="J818" s="206"/>
      <c r="K818" s="206" t="s">
        <v>121</v>
      </c>
      <c r="L818" s="206" t="str">
        <v xml:space="preserve"> 149.55</v>
      </c>
      <c r="M818" s="206" t="str">
        <v/>
      </c>
    </row>
    <row r="819" spans="1:13" ht="14.4">
      <c r="A819" s="199" t="str">
        <f ca="1">IFERROR(__xludf.DUMMYFUNCTION("""COMPUTED_VALUE"""),"GF")</f>
        <v>GF</v>
      </c>
      <c r="B819" s="207" t="str">
        <f ca="1">IFERROR(__xludf.DUMMYFUNCTION("""COMPUTED_VALUE"""),"Dan McGaughey")</f>
        <v>Dan McGaughey</v>
      </c>
      <c r="C819" s="199">
        <f ca="1">IFERROR(__xludf.DUMMYFUNCTION("""COMPUTED_VALUE"""),16)</f>
        <v>16</v>
      </c>
      <c r="D819" s="199" t="str">
        <f ca="1">IFERROR(__xludf.DUMMYFUNCTION("""COMPUTED_VALUE"""),"B")</f>
        <v>B</v>
      </c>
      <c r="E819" s="202" t="str">
        <f ca="1">IFERROR(__xludf.DUMMYFUNCTION("""COMPUTED_VALUE"""),"S")</f>
        <v>S</v>
      </c>
      <c r="F819" s="202" t="str">
        <f ca="1">IFERROR(__xludf.DUMMYFUNCTION("""COMPUTED_VALUE"""),"S")</f>
        <v>S</v>
      </c>
      <c r="G819" s="202">
        <f ca="1">IFERROR(__xludf.DUMMYFUNCTION("""COMPUTED_VALUE"""),2)</f>
        <v>2</v>
      </c>
      <c r="H819" s="208"/>
      <c r="I819" s="208">
        <v>217.2</v>
      </c>
      <c r="J819" s="208"/>
      <c r="K819" s="208" t="s">
        <v>121</v>
      </c>
      <c r="L819" s="208" t="str">
        <v xml:space="preserve"> 217.2</v>
      </c>
      <c r="M819" s="208" t="str">
        <v/>
      </c>
    </row>
    <row r="820" spans="1:13" ht="14.4">
      <c r="A820" s="199" t="str">
        <f ca="1">IFERROR(__xludf.DUMMYFUNCTION("""COMPUTED_VALUE"""),"GF")</f>
        <v>GF</v>
      </c>
      <c r="B820" s="207" t="str">
        <f ca="1">IFERROR(__xludf.DUMMYFUNCTION("""COMPUTED_VALUE"""),"Max Pourbabai")</f>
        <v>Max Pourbabai</v>
      </c>
      <c r="C820" s="199">
        <f ca="1">IFERROR(__xludf.DUMMYFUNCTION("""COMPUTED_VALUE"""),16)</f>
        <v>16</v>
      </c>
      <c r="D820" s="199" t="str">
        <f ca="1">IFERROR(__xludf.DUMMYFUNCTION("""COMPUTED_VALUE"""),"B")</f>
        <v>B</v>
      </c>
      <c r="E820" s="202" t="str">
        <f ca="1">IFERROR(__xludf.DUMMYFUNCTION("""COMPUTED_VALUE"""),"S")</f>
        <v>S</v>
      </c>
      <c r="F820" s="202" t="str">
        <f ca="1">IFERROR(__xludf.DUMMYFUNCTION("""COMPUTED_VALUE"""),"S")</f>
        <v>S</v>
      </c>
      <c r="G820" s="202">
        <f ca="1">IFERROR(__xludf.DUMMYFUNCTION("""COMPUTED_VALUE"""),2)</f>
        <v>2</v>
      </c>
      <c r="H820" s="208"/>
      <c r="I820" s="208"/>
      <c r="J820" s="208"/>
      <c r="K820" s="208"/>
      <c r="L820" s="208" t="str">
        <v/>
      </c>
      <c r="M820" s="208" t="str">
        <v/>
      </c>
    </row>
    <row r="821" spans="1:13" ht="14.4">
      <c r="A821" s="199" t="str">
        <f ca="1">IFERROR(__xludf.DUMMYFUNCTION("""COMPUTED_VALUE"""),"GF")</f>
        <v>GF</v>
      </c>
      <c r="B821" s="207" t="str">
        <f ca="1">IFERROR(__xludf.DUMMYFUNCTION("""COMPUTED_VALUE"""),"Caroline Gallagher")</f>
        <v>Caroline Gallagher</v>
      </c>
      <c r="C821" s="199">
        <f ca="1">IFERROR(__xludf.DUMMYFUNCTION("""COMPUTED_VALUE"""),15)</f>
        <v>15</v>
      </c>
      <c r="D821" s="199" t="str">
        <f ca="1">IFERROR(__xludf.DUMMYFUNCTION("""COMPUTED_VALUE"""),"G")</f>
        <v>G</v>
      </c>
      <c r="E821" s="202" t="str">
        <f ca="1">IFERROR(__xludf.DUMMYFUNCTION("""COMPUTED_VALUE"""),"S")</f>
        <v>S</v>
      </c>
      <c r="F821" s="202" t="str">
        <f ca="1">IFERROR(__xludf.DUMMYFUNCTION("""COMPUTED_VALUE"""),"S")</f>
        <v>S</v>
      </c>
      <c r="G821" s="202">
        <f ca="1">IFERROR(__xludf.DUMMYFUNCTION("""COMPUTED_VALUE"""),2)</f>
        <v>2</v>
      </c>
      <c r="H821" s="206">
        <v>116.7</v>
      </c>
      <c r="I821" s="206"/>
      <c r="J821" s="206" t="s">
        <v>121</v>
      </c>
      <c r="K821" s="206"/>
      <c r="L821" s="206" t="str">
        <v xml:space="preserve"> 116.7</v>
      </c>
      <c r="M821" s="206" t="str">
        <v/>
      </c>
    </row>
    <row r="822" spans="1:13" ht="14.4">
      <c r="A822" s="199" t="str">
        <f ca="1">IFERROR(__xludf.DUMMYFUNCTION("""COMPUTED_VALUE"""),"GF")</f>
        <v>GF</v>
      </c>
      <c r="B822" s="207" t="str">
        <f ca="1">IFERROR(__xludf.DUMMYFUNCTION("""COMPUTED_VALUE"""),"Claire Vroom")</f>
        <v>Claire Vroom</v>
      </c>
      <c r="C822" s="199">
        <f ca="1">IFERROR(__xludf.DUMMYFUNCTION("""COMPUTED_VALUE"""),17)</f>
        <v>17</v>
      </c>
      <c r="D822" s="199" t="str">
        <f ca="1">IFERROR(__xludf.DUMMYFUNCTION("""COMPUTED_VALUE"""),"G")</f>
        <v>G</v>
      </c>
      <c r="E822" s="202" t="str">
        <f ca="1">IFERROR(__xludf.DUMMYFUNCTION("""COMPUTED_VALUE"""),"S")</f>
        <v>S</v>
      </c>
      <c r="F822" s="202" t="str">
        <f ca="1">IFERROR(__xludf.DUMMYFUNCTION("""COMPUTED_VALUE"""),"S")</f>
        <v>S</v>
      </c>
      <c r="G822" s="202">
        <f ca="1">IFERROR(__xludf.DUMMYFUNCTION("""COMPUTED_VALUE"""),2)</f>
        <v>2</v>
      </c>
      <c r="H822" s="206">
        <v>206.05</v>
      </c>
      <c r="I822" s="206"/>
      <c r="J822" s="206" t="s">
        <v>121</v>
      </c>
      <c r="K822" s="206"/>
      <c r="L822" s="206" t="str">
        <v xml:space="preserve"> 206.05</v>
      </c>
      <c r="M822" s="206" t="str">
        <v/>
      </c>
    </row>
    <row r="823" spans="1:13" ht="14.4">
      <c r="A823" s="199" t="str">
        <f ca="1">IFERROR(__xludf.DUMMYFUNCTION("""COMPUTED_VALUE"""),"GF")</f>
        <v>GF</v>
      </c>
      <c r="B823" s="207" t="str">
        <f ca="1">IFERROR(__xludf.DUMMYFUNCTION("""COMPUTED_VALUE"""),"Julia Toloczko")</f>
        <v>Julia Toloczko</v>
      </c>
      <c r="C823" s="199">
        <f ca="1">IFERROR(__xludf.DUMMYFUNCTION("""COMPUTED_VALUE"""),17)</f>
        <v>17</v>
      </c>
      <c r="D823" s="199" t="str">
        <f ca="1">IFERROR(__xludf.DUMMYFUNCTION("""COMPUTED_VALUE"""),"G")</f>
        <v>G</v>
      </c>
      <c r="E823" s="202" t="str">
        <f ca="1">IFERROR(__xludf.DUMMYFUNCTION("""COMPUTED_VALUE"""),"S")</f>
        <v>S</v>
      </c>
      <c r="F823" s="202" t="str">
        <f ca="1">IFERROR(__xludf.DUMMYFUNCTION("""COMPUTED_VALUE"""),"S")</f>
        <v>S</v>
      </c>
      <c r="G823" s="202">
        <f ca="1">IFERROR(__xludf.DUMMYFUNCTION("""COMPUTED_VALUE"""),2)</f>
        <v>2</v>
      </c>
      <c r="H823" s="208"/>
      <c r="I823" s="208"/>
      <c r="J823" s="208"/>
      <c r="K823" s="208"/>
      <c r="L823" s="208" t="str">
        <v/>
      </c>
      <c r="M823" s="208" t="str">
        <v/>
      </c>
    </row>
    <row r="824" spans="1:13" ht="14.4">
      <c r="A824" s="199" t="str">
        <f ca="1">IFERROR(__xludf.DUMMYFUNCTION("""COMPUTED_VALUE"""),"HF")</f>
        <v>HF</v>
      </c>
      <c r="B824" s="207" t="str">
        <f ca="1">IFERROR(__xludf.DUMMYFUNCTION("""COMPUTED_VALUE"""),"Ben Lyon")</f>
        <v>Ben Lyon</v>
      </c>
      <c r="C824" s="199">
        <f ca="1">IFERROR(__xludf.DUMMYFUNCTION("""COMPUTED_VALUE"""),6)</f>
        <v>6</v>
      </c>
      <c r="D824" s="199" t="str">
        <f ca="1">IFERROR(__xludf.DUMMYFUNCTION("""COMPUTED_VALUE"""),"B")</f>
        <v>B</v>
      </c>
      <c r="E824" s="202" t="str">
        <f ca="1">IFERROR(__xludf.DUMMYFUNCTION("""COMPUTED_VALUE"""),"F")</f>
        <v>F</v>
      </c>
      <c r="F824" s="202" t="str">
        <f ca="1">IFERROR(__xludf.DUMMYFUNCTION("""COMPUTED_VALUE"""),"J")</f>
        <v>J</v>
      </c>
      <c r="G824" s="202">
        <f ca="1">IFERROR(__xludf.DUMMYFUNCTION("""COMPUTED_VALUE"""),4)</f>
        <v>4</v>
      </c>
      <c r="H824" s="208"/>
      <c r="I824" s="208"/>
      <c r="J824" s="208"/>
      <c r="K824" s="208"/>
      <c r="L824" s="208" t="str">
        <v/>
      </c>
      <c r="M824" s="208" t="str">
        <v/>
      </c>
    </row>
    <row r="825" spans="1:13" ht="14.4">
      <c r="A825" s="199" t="str">
        <f ca="1">IFERROR(__xludf.DUMMYFUNCTION("""COMPUTED_VALUE"""),"HF")</f>
        <v>HF</v>
      </c>
      <c r="B825" s="207" t="str">
        <f ca="1">IFERROR(__xludf.DUMMYFUNCTION("""COMPUTED_VALUE"""),"Caleb Lyon")</f>
        <v>Caleb Lyon</v>
      </c>
      <c r="C825" s="199">
        <f ca="1">IFERROR(__xludf.DUMMYFUNCTION("""COMPUTED_VALUE"""),8)</f>
        <v>8</v>
      </c>
      <c r="D825" s="199" t="str">
        <f ca="1">IFERROR(__xludf.DUMMYFUNCTION("""COMPUTED_VALUE"""),"B")</f>
        <v>B</v>
      </c>
      <c r="E825" s="202" t="str">
        <f ca="1">IFERROR(__xludf.DUMMYFUNCTION("""COMPUTED_VALUE"""),"F")</f>
        <v>F</v>
      </c>
      <c r="F825" s="202" t="str">
        <f ca="1">IFERROR(__xludf.DUMMYFUNCTION("""COMPUTED_VALUE"""),"J")</f>
        <v>J</v>
      </c>
      <c r="G825" s="202">
        <f ca="1">IFERROR(__xludf.DUMMYFUNCTION("""COMPUTED_VALUE"""),4)</f>
        <v>4</v>
      </c>
      <c r="H825" s="206"/>
      <c r="I825" s="206"/>
      <c r="J825" s="206"/>
      <c r="K825" s="206"/>
      <c r="L825" s="206" t="str">
        <v/>
      </c>
      <c r="M825" s="206" t="str">
        <v/>
      </c>
    </row>
    <row r="826" spans="1:13" ht="14.4">
      <c r="A826" s="199" t="str">
        <f ca="1">IFERROR(__xludf.DUMMYFUNCTION("""COMPUTED_VALUE"""),"HF")</f>
        <v>HF</v>
      </c>
      <c r="B826" s="207" t="str">
        <f ca="1">IFERROR(__xludf.DUMMYFUNCTION("""COMPUTED_VALUE"""),"Carsten Stewart")</f>
        <v>Carsten Stewart</v>
      </c>
      <c r="C826" s="199">
        <f ca="1">IFERROR(__xludf.DUMMYFUNCTION("""COMPUTED_VALUE"""),8)</f>
        <v>8</v>
      </c>
      <c r="D826" s="199" t="str">
        <f ca="1">IFERROR(__xludf.DUMMYFUNCTION("""COMPUTED_VALUE"""),"B")</f>
        <v>B</v>
      </c>
      <c r="E826" s="202" t="str">
        <f ca="1">IFERROR(__xludf.DUMMYFUNCTION("""COMPUTED_VALUE"""),"F")</f>
        <v>F</v>
      </c>
      <c r="F826" s="202" t="str">
        <f ca="1">IFERROR(__xludf.DUMMYFUNCTION("""COMPUTED_VALUE"""),"J")</f>
        <v>J</v>
      </c>
      <c r="G826" s="202">
        <f ca="1">IFERROR(__xludf.DUMMYFUNCTION("""COMPUTED_VALUE"""),4)</f>
        <v>4</v>
      </c>
      <c r="H826" s="208"/>
      <c r="I826" s="208"/>
      <c r="J826" s="208"/>
      <c r="K826" s="208"/>
      <c r="L826" s="208" t="str">
        <v/>
      </c>
      <c r="M826" s="208" t="str">
        <v/>
      </c>
    </row>
    <row r="827" spans="1:13" ht="14.4">
      <c r="A827" s="199" t="str">
        <f ca="1">IFERROR(__xludf.DUMMYFUNCTION("""COMPUTED_VALUE"""),"HF")</f>
        <v>HF</v>
      </c>
      <c r="B827" s="207" t="str">
        <f ca="1">IFERROR(__xludf.DUMMYFUNCTION("""COMPUTED_VALUE"""),"Davis Carter")</f>
        <v>Davis Carter</v>
      </c>
      <c r="C827" s="199">
        <f ca="1">IFERROR(__xludf.DUMMYFUNCTION("""COMPUTED_VALUE"""),9)</f>
        <v>9</v>
      </c>
      <c r="D827" s="199" t="str">
        <f ca="1">IFERROR(__xludf.DUMMYFUNCTION("""COMPUTED_VALUE"""),"B")</f>
        <v>B</v>
      </c>
      <c r="E827" s="202" t="str">
        <f ca="1">IFERROR(__xludf.DUMMYFUNCTION("""COMPUTED_VALUE"""),"F")</f>
        <v>F</v>
      </c>
      <c r="F827" s="202" t="str">
        <f ca="1">IFERROR(__xludf.DUMMYFUNCTION("""COMPUTED_VALUE"""),"J")</f>
        <v>J</v>
      </c>
      <c r="G827" s="202">
        <f ca="1">IFERROR(__xludf.DUMMYFUNCTION("""COMPUTED_VALUE"""),4)</f>
        <v>4</v>
      </c>
      <c r="H827" s="208"/>
      <c r="I827" s="208">
        <v>30.7</v>
      </c>
      <c r="J827" s="208"/>
      <c r="K827" s="208" t="s">
        <v>121</v>
      </c>
      <c r="L827" s="208" t="str">
        <v xml:space="preserve"> 30.7</v>
      </c>
      <c r="M827" s="208" t="str">
        <v/>
      </c>
    </row>
    <row r="828" spans="1:13" ht="14.4">
      <c r="A828" s="199" t="str">
        <f ca="1">IFERROR(__xludf.DUMMYFUNCTION("""COMPUTED_VALUE"""),"HF")</f>
        <v>HF</v>
      </c>
      <c r="B828" s="207" t="str">
        <f ca="1">IFERROR(__xludf.DUMMYFUNCTION("""COMPUTED_VALUE"""),"Henry Dulaney")</f>
        <v>Henry Dulaney</v>
      </c>
      <c r="C828" s="199">
        <f ca="1">IFERROR(__xludf.DUMMYFUNCTION("""COMPUTED_VALUE"""),9)</f>
        <v>9</v>
      </c>
      <c r="D828" s="199" t="str">
        <f ca="1">IFERROR(__xludf.DUMMYFUNCTION("""COMPUTED_VALUE"""),"B")</f>
        <v>B</v>
      </c>
      <c r="E828" s="202" t="str">
        <f ca="1">IFERROR(__xludf.DUMMYFUNCTION("""COMPUTED_VALUE"""),"F")</f>
        <v>F</v>
      </c>
      <c r="F828" s="202" t="str">
        <f ca="1">IFERROR(__xludf.DUMMYFUNCTION("""COMPUTED_VALUE"""),"J")</f>
        <v>J</v>
      </c>
      <c r="G828" s="202">
        <f ca="1">IFERROR(__xludf.DUMMYFUNCTION("""COMPUTED_VALUE"""),4)</f>
        <v>4</v>
      </c>
      <c r="H828" s="206"/>
      <c r="I828" s="206"/>
      <c r="J828" s="206"/>
      <c r="K828" s="206"/>
      <c r="L828" s="206" t="str">
        <v/>
      </c>
      <c r="M828" s="206" t="str">
        <v/>
      </c>
    </row>
    <row r="829" spans="1:13" ht="14.4">
      <c r="A829" s="199" t="str">
        <f ca="1">IFERROR(__xludf.DUMMYFUNCTION("""COMPUTED_VALUE"""),"HF")</f>
        <v>HF</v>
      </c>
      <c r="B829" s="207" t="str">
        <f ca="1">IFERROR(__xludf.DUMMYFUNCTION("""COMPUTED_VALUE"""),"Jack McGuire")</f>
        <v>Jack McGuire</v>
      </c>
      <c r="C829" s="199">
        <f ca="1">IFERROR(__xludf.DUMMYFUNCTION("""COMPUTED_VALUE"""),10)</f>
        <v>10</v>
      </c>
      <c r="D829" s="199" t="str">
        <f ca="1">IFERROR(__xludf.DUMMYFUNCTION("""COMPUTED_VALUE"""),"B")</f>
        <v>B</v>
      </c>
      <c r="E829" s="202" t="str">
        <f ca="1">IFERROR(__xludf.DUMMYFUNCTION("""COMPUTED_VALUE"""),"F")</f>
        <v>F</v>
      </c>
      <c r="F829" s="202" t="str">
        <f ca="1">IFERROR(__xludf.DUMMYFUNCTION("""COMPUTED_VALUE"""),"J")</f>
        <v>J</v>
      </c>
      <c r="G829" s="202">
        <f ca="1">IFERROR(__xludf.DUMMYFUNCTION("""COMPUTED_VALUE"""),4)</f>
        <v>4</v>
      </c>
      <c r="H829" s="206"/>
      <c r="I829" s="206"/>
      <c r="J829" s="206"/>
      <c r="K829" s="206"/>
      <c r="L829" s="206" t="str">
        <v/>
      </c>
      <c r="M829" s="206" t="str">
        <v/>
      </c>
    </row>
    <row r="830" spans="1:13" ht="14.4">
      <c r="A830" s="199" t="str">
        <f ca="1">IFERROR(__xludf.DUMMYFUNCTION("""COMPUTED_VALUE"""),"HF")</f>
        <v>HF</v>
      </c>
      <c r="B830" s="207" t="str">
        <f ca="1">IFERROR(__xludf.DUMMYFUNCTION("""COMPUTED_VALUE"""),"Jonah Dulaney")</f>
        <v>Jonah Dulaney</v>
      </c>
      <c r="C830" s="199">
        <f ca="1">IFERROR(__xludf.DUMMYFUNCTION("""COMPUTED_VALUE"""),6)</f>
        <v>6</v>
      </c>
      <c r="D830" s="199" t="str">
        <f ca="1">IFERROR(__xludf.DUMMYFUNCTION("""COMPUTED_VALUE"""),"B")</f>
        <v>B</v>
      </c>
      <c r="E830" s="202" t="str">
        <f ca="1">IFERROR(__xludf.DUMMYFUNCTION("""COMPUTED_VALUE"""),"F")</f>
        <v>F</v>
      </c>
      <c r="F830" s="202" t="str">
        <f ca="1">IFERROR(__xludf.DUMMYFUNCTION("""COMPUTED_VALUE"""),"J")</f>
        <v>J</v>
      </c>
      <c r="G830" s="202">
        <f ca="1">IFERROR(__xludf.DUMMYFUNCTION("""COMPUTED_VALUE"""),4)</f>
        <v>4</v>
      </c>
      <c r="H830" s="208"/>
      <c r="I830" s="208"/>
      <c r="J830" s="208"/>
      <c r="K830" s="208"/>
      <c r="L830" s="208" t="str">
        <v/>
      </c>
      <c r="M830" s="208" t="str">
        <v/>
      </c>
    </row>
    <row r="831" spans="1:13" ht="14.4">
      <c r="A831" s="199" t="str">
        <f ca="1">IFERROR(__xludf.DUMMYFUNCTION("""COMPUTED_VALUE"""),"HF")</f>
        <v>HF</v>
      </c>
      <c r="B831" s="207" t="str">
        <f ca="1">IFERROR(__xludf.DUMMYFUNCTION("""COMPUTED_VALUE"""),"Luke Peters")</f>
        <v>Luke Peters</v>
      </c>
      <c r="C831" s="199">
        <f ca="1">IFERROR(__xludf.DUMMYFUNCTION("""COMPUTED_VALUE"""),9)</f>
        <v>9</v>
      </c>
      <c r="D831" s="199" t="str">
        <f ca="1">IFERROR(__xludf.DUMMYFUNCTION("""COMPUTED_VALUE"""),"B")</f>
        <v>B</v>
      </c>
      <c r="E831" s="202" t="str">
        <f ca="1">IFERROR(__xludf.DUMMYFUNCTION("""COMPUTED_VALUE"""),"F")</f>
        <v>F</v>
      </c>
      <c r="F831" s="202" t="str">
        <f ca="1">IFERROR(__xludf.DUMMYFUNCTION("""COMPUTED_VALUE"""),"J")</f>
        <v>J</v>
      </c>
      <c r="G831" s="202">
        <f ca="1">IFERROR(__xludf.DUMMYFUNCTION("""COMPUTED_VALUE"""),4)</f>
        <v>4</v>
      </c>
      <c r="H831" s="208"/>
      <c r="I831" s="208">
        <v>56.05</v>
      </c>
      <c r="J831" s="208"/>
      <c r="K831" s="208" t="s">
        <v>121</v>
      </c>
      <c r="L831" s="208" t="str">
        <v xml:space="preserve"> 56.05</v>
      </c>
      <c r="M831" s="208" t="str">
        <v/>
      </c>
    </row>
    <row r="832" spans="1:13" ht="14.4">
      <c r="A832" s="199" t="str">
        <f ca="1">IFERROR(__xludf.DUMMYFUNCTION("""COMPUTED_VALUE"""),"HF")</f>
        <v>HF</v>
      </c>
      <c r="B832" s="207" t="str">
        <f ca="1">IFERROR(__xludf.DUMMYFUNCTION("""COMPUTED_VALUE"""),"Michael Davis")</f>
        <v>Michael Davis</v>
      </c>
      <c r="C832" s="199">
        <f ca="1">IFERROR(__xludf.DUMMYFUNCTION("""COMPUTED_VALUE"""),10)</f>
        <v>10</v>
      </c>
      <c r="D832" s="199" t="str">
        <f ca="1">IFERROR(__xludf.DUMMYFUNCTION("""COMPUTED_VALUE"""),"B")</f>
        <v>B</v>
      </c>
      <c r="E832" s="202" t="str">
        <f ca="1">IFERROR(__xludf.DUMMYFUNCTION("""COMPUTED_VALUE"""),"F")</f>
        <v>F</v>
      </c>
      <c r="F832" s="202" t="str">
        <f ca="1">IFERROR(__xludf.DUMMYFUNCTION("""COMPUTED_VALUE"""),"J")</f>
        <v>J</v>
      </c>
      <c r="G832" s="202">
        <f ca="1">IFERROR(__xludf.DUMMYFUNCTION("""COMPUTED_VALUE"""),4)</f>
        <v>4</v>
      </c>
      <c r="H832" s="206"/>
      <c r="I832" s="206"/>
      <c r="J832" s="206"/>
      <c r="K832" s="206"/>
      <c r="L832" s="206" t="str">
        <v/>
      </c>
      <c r="M832" s="206" t="str">
        <v/>
      </c>
    </row>
    <row r="833" spans="1:13" ht="14.4">
      <c r="A833" s="199" t="str">
        <f ca="1">IFERROR(__xludf.DUMMYFUNCTION("""COMPUTED_VALUE"""),"HF")</f>
        <v>HF</v>
      </c>
      <c r="B833" s="207" t="str">
        <f ca="1">IFERROR(__xludf.DUMMYFUNCTION("""COMPUTED_VALUE"""),"Oliver Klueber")</f>
        <v>Oliver Klueber</v>
      </c>
      <c r="C833" s="199">
        <f ca="1">IFERROR(__xludf.DUMMYFUNCTION("""COMPUTED_VALUE"""),8)</f>
        <v>8</v>
      </c>
      <c r="D833" s="199" t="str">
        <f ca="1">IFERROR(__xludf.DUMMYFUNCTION("""COMPUTED_VALUE"""),"B")</f>
        <v>B</v>
      </c>
      <c r="E833" s="202" t="str">
        <f ca="1">IFERROR(__xludf.DUMMYFUNCTION("""COMPUTED_VALUE"""),"F")</f>
        <v>F</v>
      </c>
      <c r="F833" s="202" t="str">
        <f ca="1">IFERROR(__xludf.DUMMYFUNCTION("""COMPUTED_VALUE"""),"J")</f>
        <v>J</v>
      </c>
      <c r="G833" s="202">
        <f ca="1">IFERROR(__xludf.DUMMYFUNCTION("""COMPUTED_VALUE"""),4)</f>
        <v>4</v>
      </c>
      <c r="H833" s="206"/>
      <c r="I833" s="206">
        <v>36.85</v>
      </c>
      <c r="J833" s="206"/>
      <c r="K833" s="206" t="s">
        <v>121</v>
      </c>
      <c r="L833" s="206" t="str">
        <v xml:space="preserve"> 36.85</v>
      </c>
      <c r="M833" s="206" t="str">
        <v/>
      </c>
    </row>
    <row r="834" spans="1:13" ht="14.4">
      <c r="A834" s="199" t="str">
        <f ca="1">IFERROR(__xludf.DUMMYFUNCTION("""COMPUTED_VALUE"""),"HF")</f>
        <v>HF</v>
      </c>
      <c r="B834" s="207" t="str">
        <f ca="1">IFERROR(__xludf.DUMMYFUNCTION("""COMPUTED_VALUE"""),"Stone Perdue")</f>
        <v>Stone Perdue</v>
      </c>
      <c r="C834" s="199">
        <f ca="1">IFERROR(__xludf.DUMMYFUNCTION("""COMPUTED_VALUE"""),10)</f>
        <v>10</v>
      </c>
      <c r="D834" s="199" t="str">
        <f ca="1">IFERROR(__xludf.DUMMYFUNCTION("""COMPUTED_VALUE"""),"B")</f>
        <v>B</v>
      </c>
      <c r="E834" s="202" t="str">
        <f ca="1">IFERROR(__xludf.DUMMYFUNCTION("""COMPUTED_VALUE"""),"F")</f>
        <v>F</v>
      </c>
      <c r="F834" s="202" t="str">
        <f ca="1">IFERROR(__xludf.DUMMYFUNCTION("""COMPUTED_VALUE"""),"J")</f>
        <v>J</v>
      </c>
      <c r="G834" s="202">
        <f ca="1">IFERROR(__xludf.DUMMYFUNCTION("""COMPUTED_VALUE"""),4)</f>
        <v>4</v>
      </c>
      <c r="H834" s="206"/>
      <c r="I834" s="206">
        <v>48.45</v>
      </c>
      <c r="J834" s="206"/>
      <c r="K834" s="206" t="s">
        <v>121</v>
      </c>
      <c r="L834" s="206" t="str">
        <v xml:space="preserve"> 48.45</v>
      </c>
      <c r="M834" s="206" t="str">
        <v/>
      </c>
    </row>
    <row r="835" spans="1:13" ht="14.4">
      <c r="A835" s="199" t="str">
        <f ca="1">IFERROR(__xludf.DUMMYFUNCTION("""COMPUTED_VALUE"""),"HF")</f>
        <v>HF</v>
      </c>
      <c r="B835" s="207" t="str">
        <f ca="1">IFERROR(__xludf.DUMMYFUNCTION("""COMPUTED_VALUE"""),"Will Copes")</f>
        <v>Will Copes</v>
      </c>
      <c r="C835" s="199">
        <f ca="1">IFERROR(__xludf.DUMMYFUNCTION("""COMPUTED_VALUE"""),9)</f>
        <v>9</v>
      </c>
      <c r="D835" s="199" t="str">
        <f ca="1">IFERROR(__xludf.DUMMYFUNCTION("""COMPUTED_VALUE"""),"B")</f>
        <v>B</v>
      </c>
      <c r="E835" s="202" t="str">
        <f ca="1">IFERROR(__xludf.DUMMYFUNCTION("""COMPUTED_VALUE"""),"F")</f>
        <v>F</v>
      </c>
      <c r="F835" s="202" t="str">
        <f ca="1">IFERROR(__xludf.DUMMYFUNCTION("""COMPUTED_VALUE"""),"J")</f>
        <v>J</v>
      </c>
      <c r="G835" s="202">
        <f ca="1">IFERROR(__xludf.DUMMYFUNCTION("""COMPUTED_VALUE"""),4)</f>
        <v>4</v>
      </c>
      <c r="H835" s="208"/>
      <c r="I835" s="208">
        <v>47.15</v>
      </c>
      <c r="J835" s="208"/>
      <c r="K835" s="208" t="s">
        <v>121</v>
      </c>
      <c r="L835" s="208" t="str">
        <v xml:space="preserve"> 47.15</v>
      </c>
      <c r="M835" s="208" t="str">
        <v/>
      </c>
    </row>
    <row r="836" spans="1:13" ht="14.4">
      <c r="A836" s="199" t="str">
        <f ca="1">IFERROR(__xludf.DUMMYFUNCTION("""COMPUTED_VALUE"""),"HF")</f>
        <v>HF</v>
      </c>
      <c r="B836" s="207" t="str">
        <f ca="1">IFERROR(__xludf.DUMMYFUNCTION("""COMPUTED_VALUE"""),"Allie Pearson")</f>
        <v>Allie Pearson</v>
      </c>
      <c r="C836" s="199">
        <f ca="1">IFERROR(__xludf.DUMMYFUNCTION("""COMPUTED_VALUE"""),8)</f>
        <v>8</v>
      </c>
      <c r="D836" s="199" t="str">
        <f ca="1">IFERROR(__xludf.DUMMYFUNCTION("""COMPUTED_VALUE"""),"G")</f>
        <v>G</v>
      </c>
      <c r="E836" s="202" t="str">
        <f ca="1">IFERROR(__xludf.DUMMYFUNCTION("""COMPUTED_VALUE"""),"F")</f>
        <v>F</v>
      </c>
      <c r="F836" s="202" t="str">
        <f ca="1">IFERROR(__xludf.DUMMYFUNCTION("""COMPUTED_VALUE"""),"J")</f>
        <v>J</v>
      </c>
      <c r="G836" s="202">
        <f ca="1">IFERROR(__xludf.DUMMYFUNCTION("""COMPUTED_VALUE"""),4)</f>
        <v>4</v>
      </c>
      <c r="H836" s="208">
        <v>29.45</v>
      </c>
      <c r="I836" s="208"/>
      <c r="J836" s="208" t="s">
        <v>121</v>
      </c>
      <c r="K836" s="208"/>
      <c r="L836" s="208" t="str">
        <v xml:space="preserve"> 29.45</v>
      </c>
      <c r="M836" s="208" t="str">
        <v/>
      </c>
    </row>
    <row r="837" spans="1:13" ht="14.4">
      <c r="A837" s="199" t="str">
        <f ca="1">IFERROR(__xludf.DUMMYFUNCTION("""COMPUTED_VALUE"""),"HF")</f>
        <v>HF</v>
      </c>
      <c r="B837" s="207" t="str">
        <f ca="1">IFERROR(__xludf.DUMMYFUNCTION("""COMPUTED_VALUE"""),"Annabella Wilder")</f>
        <v>Annabella Wilder</v>
      </c>
      <c r="C837" s="199">
        <f ca="1">IFERROR(__xludf.DUMMYFUNCTION("""COMPUTED_VALUE"""),9)</f>
        <v>9</v>
      </c>
      <c r="D837" s="199" t="str">
        <f ca="1">IFERROR(__xludf.DUMMYFUNCTION("""COMPUTED_VALUE"""),"G")</f>
        <v>G</v>
      </c>
      <c r="E837" s="202" t="str">
        <f ca="1">IFERROR(__xludf.DUMMYFUNCTION("""COMPUTED_VALUE"""),"F")</f>
        <v>F</v>
      </c>
      <c r="F837" s="202" t="str">
        <f ca="1">IFERROR(__xludf.DUMMYFUNCTION("""COMPUTED_VALUE"""),"J")</f>
        <v>J</v>
      </c>
      <c r="G837" s="202">
        <f ca="1">IFERROR(__xludf.DUMMYFUNCTION("""COMPUTED_VALUE"""),4)</f>
        <v>4</v>
      </c>
      <c r="H837" s="208"/>
      <c r="I837" s="208"/>
      <c r="J837" s="208"/>
      <c r="K837" s="208"/>
      <c r="L837" s="208" t="str">
        <v/>
      </c>
      <c r="M837" s="208" t="str">
        <v/>
      </c>
    </row>
    <row r="838" spans="1:13" ht="14.4">
      <c r="A838" s="199" t="str">
        <f ca="1">IFERROR(__xludf.DUMMYFUNCTION("""COMPUTED_VALUE"""),"HF")</f>
        <v>HF</v>
      </c>
      <c r="B838" s="207" t="str">
        <f ca="1">IFERROR(__xludf.DUMMYFUNCTION("""COMPUTED_VALUE"""),"Ava Kowalchick")</f>
        <v>Ava Kowalchick</v>
      </c>
      <c r="C838" s="199">
        <f ca="1">IFERROR(__xludf.DUMMYFUNCTION("""COMPUTED_VALUE"""),6)</f>
        <v>6</v>
      </c>
      <c r="D838" s="199" t="str">
        <f ca="1">IFERROR(__xludf.DUMMYFUNCTION("""COMPUTED_VALUE"""),"G")</f>
        <v>G</v>
      </c>
      <c r="E838" s="202" t="str">
        <f ca="1">IFERROR(__xludf.DUMMYFUNCTION("""COMPUTED_VALUE"""),"F")</f>
        <v>F</v>
      </c>
      <c r="F838" s="202" t="str">
        <f ca="1">IFERROR(__xludf.DUMMYFUNCTION("""COMPUTED_VALUE"""),"J")</f>
        <v>J</v>
      </c>
      <c r="G838" s="202">
        <f ca="1">IFERROR(__xludf.DUMMYFUNCTION("""COMPUTED_VALUE"""),4)</f>
        <v>4</v>
      </c>
      <c r="H838" s="206">
        <v>31.1</v>
      </c>
      <c r="I838" s="206"/>
      <c r="J838" s="206" t="s">
        <v>121</v>
      </c>
      <c r="K838" s="206"/>
      <c r="L838" s="206" t="str">
        <v xml:space="preserve"> 31.1</v>
      </c>
      <c r="M838" s="206" t="str">
        <v/>
      </c>
    </row>
    <row r="839" spans="1:13" ht="14.4">
      <c r="A839" s="199" t="str">
        <f ca="1">IFERROR(__xludf.DUMMYFUNCTION("""COMPUTED_VALUE"""),"HF")</f>
        <v>HF</v>
      </c>
      <c r="B839" s="207" t="str">
        <f ca="1">IFERROR(__xludf.DUMMYFUNCTION("""COMPUTED_VALUE"""),"Harper Wilder")</f>
        <v>Harper Wilder</v>
      </c>
      <c r="C839" s="199">
        <f ca="1">IFERROR(__xludf.DUMMYFUNCTION("""COMPUTED_VALUE"""),8)</f>
        <v>8</v>
      </c>
      <c r="D839" s="199" t="str">
        <f ca="1">IFERROR(__xludf.DUMMYFUNCTION("""COMPUTED_VALUE"""),"G")</f>
        <v>G</v>
      </c>
      <c r="E839" s="202" t="str">
        <f ca="1">IFERROR(__xludf.DUMMYFUNCTION("""COMPUTED_VALUE"""),"F")</f>
        <v>F</v>
      </c>
      <c r="F839" s="202" t="str">
        <f ca="1">IFERROR(__xludf.DUMMYFUNCTION("""COMPUTED_VALUE"""),"J")</f>
        <v>J</v>
      </c>
      <c r="G839" s="202">
        <f ca="1">IFERROR(__xludf.DUMMYFUNCTION("""COMPUTED_VALUE"""),4)</f>
        <v>4</v>
      </c>
      <c r="H839" s="206"/>
      <c r="I839" s="206"/>
      <c r="J839" s="206"/>
      <c r="K839" s="206"/>
      <c r="L839" s="206" t="str">
        <v/>
      </c>
      <c r="M839" s="206" t="str">
        <v/>
      </c>
    </row>
    <row r="840" spans="1:13" ht="14.4">
      <c r="A840" s="199" t="str">
        <f ca="1">IFERROR(__xludf.DUMMYFUNCTION("""COMPUTED_VALUE"""),"HF")</f>
        <v>HF</v>
      </c>
      <c r="B840" s="207" t="str">
        <f ca="1">IFERROR(__xludf.DUMMYFUNCTION("""COMPUTED_VALUE"""),"Isabelle Quinn")</f>
        <v>Isabelle Quinn</v>
      </c>
      <c r="C840" s="199">
        <f ca="1">IFERROR(__xludf.DUMMYFUNCTION("""COMPUTED_VALUE"""),10)</f>
        <v>10</v>
      </c>
      <c r="D840" s="199" t="str">
        <f ca="1">IFERROR(__xludf.DUMMYFUNCTION("""COMPUTED_VALUE"""),"G")</f>
        <v>G</v>
      </c>
      <c r="E840" s="202" t="str">
        <f ca="1">IFERROR(__xludf.DUMMYFUNCTION("""COMPUTED_VALUE"""),"F")</f>
        <v>F</v>
      </c>
      <c r="F840" s="202" t="str">
        <f ca="1">IFERROR(__xludf.DUMMYFUNCTION("""COMPUTED_VALUE"""),"J")</f>
        <v>J</v>
      </c>
      <c r="G840" s="202">
        <f ca="1">IFERROR(__xludf.DUMMYFUNCTION("""COMPUTED_VALUE"""),4)</f>
        <v>4</v>
      </c>
      <c r="H840" s="208">
        <v>53.05</v>
      </c>
      <c r="I840" s="208"/>
      <c r="J840" s="208" t="s">
        <v>121</v>
      </c>
      <c r="K840" s="208"/>
      <c r="L840" s="208" t="str">
        <v xml:space="preserve"> 53.05</v>
      </c>
      <c r="M840" s="208" t="str">
        <v/>
      </c>
    </row>
    <row r="841" spans="1:13" ht="14.4">
      <c r="A841" s="199" t="str">
        <f ca="1">IFERROR(__xludf.DUMMYFUNCTION("""COMPUTED_VALUE"""),"HF")</f>
        <v>HF</v>
      </c>
      <c r="B841" s="207" t="str">
        <f ca="1">IFERROR(__xludf.DUMMYFUNCTION("""COMPUTED_VALUE"""),"Julianna Butler")</f>
        <v>Julianna Butler</v>
      </c>
      <c r="C841" s="199">
        <f ca="1">IFERROR(__xludf.DUMMYFUNCTION("""COMPUTED_VALUE"""),9)</f>
        <v>9</v>
      </c>
      <c r="D841" s="199" t="str">
        <f ca="1">IFERROR(__xludf.DUMMYFUNCTION("""COMPUTED_VALUE"""),"G")</f>
        <v>G</v>
      </c>
      <c r="E841" s="202" t="str">
        <f ca="1">IFERROR(__xludf.DUMMYFUNCTION("""COMPUTED_VALUE"""),"F")</f>
        <v>F</v>
      </c>
      <c r="F841" s="202" t="str">
        <f ca="1">IFERROR(__xludf.DUMMYFUNCTION("""COMPUTED_VALUE"""),"J")</f>
        <v>J</v>
      </c>
      <c r="G841" s="202">
        <f ca="1">IFERROR(__xludf.DUMMYFUNCTION("""COMPUTED_VALUE"""),4)</f>
        <v>4</v>
      </c>
      <c r="H841" s="206">
        <v>67.2</v>
      </c>
      <c r="I841" s="206"/>
      <c r="J841" s="206" t="s">
        <v>121</v>
      </c>
      <c r="K841" s="206"/>
      <c r="L841" s="206" t="str">
        <v xml:space="preserve"> 67.2</v>
      </c>
      <c r="M841" s="206" t="str">
        <v/>
      </c>
    </row>
    <row r="842" spans="1:13" ht="14.4">
      <c r="A842" s="199" t="str">
        <f ca="1">IFERROR(__xludf.DUMMYFUNCTION("""COMPUTED_VALUE"""),"HF")</f>
        <v>HF</v>
      </c>
      <c r="B842" s="207" t="str">
        <f ca="1">IFERROR(__xludf.DUMMYFUNCTION("""COMPUTED_VALUE"""),"Kate Payne")</f>
        <v>Kate Payne</v>
      </c>
      <c r="C842" s="199">
        <f ca="1">IFERROR(__xludf.DUMMYFUNCTION("""COMPUTED_VALUE"""),10)</f>
        <v>10</v>
      </c>
      <c r="D842" s="199" t="str">
        <f ca="1">IFERROR(__xludf.DUMMYFUNCTION("""COMPUTED_VALUE"""),"G")</f>
        <v>G</v>
      </c>
      <c r="E842" s="202" t="str">
        <f ca="1">IFERROR(__xludf.DUMMYFUNCTION("""COMPUTED_VALUE"""),"F")</f>
        <v>F</v>
      </c>
      <c r="F842" s="202" t="str">
        <f ca="1">IFERROR(__xludf.DUMMYFUNCTION("""COMPUTED_VALUE"""),"J")</f>
        <v>J</v>
      </c>
      <c r="G842" s="202">
        <f ca="1">IFERROR(__xludf.DUMMYFUNCTION("""COMPUTED_VALUE"""),4)</f>
        <v>4</v>
      </c>
      <c r="H842" s="206">
        <v>42.25</v>
      </c>
      <c r="I842" s="206"/>
      <c r="J842" s="206" t="s">
        <v>121</v>
      </c>
      <c r="K842" s="206"/>
      <c r="L842" s="206" t="str">
        <v xml:space="preserve"> 42.25</v>
      </c>
      <c r="M842" s="206" t="str">
        <v/>
      </c>
    </row>
    <row r="843" spans="1:13" ht="14.4">
      <c r="A843" s="199" t="str">
        <f ca="1">IFERROR(__xludf.DUMMYFUNCTION("""COMPUTED_VALUE"""),"HF")</f>
        <v>HF</v>
      </c>
      <c r="B843" s="207" t="str">
        <f ca="1">IFERROR(__xludf.DUMMYFUNCTION("""COMPUTED_VALUE"""),"Moira Terebesi")</f>
        <v>Moira Terebesi</v>
      </c>
      <c r="C843" s="199">
        <f ca="1">IFERROR(__xludf.DUMMYFUNCTION("""COMPUTED_VALUE"""),7)</f>
        <v>7</v>
      </c>
      <c r="D843" s="199" t="str">
        <f ca="1">IFERROR(__xludf.DUMMYFUNCTION("""COMPUTED_VALUE"""),"G")</f>
        <v>G</v>
      </c>
      <c r="E843" s="202" t="str">
        <f ca="1">IFERROR(__xludf.DUMMYFUNCTION("""COMPUTED_VALUE"""),"F")</f>
        <v>F</v>
      </c>
      <c r="F843" s="202" t="str">
        <f ca="1">IFERROR(__xludf.DUMMYFUNCTION("""COMPUTED_VALUE"""),"J")</f>
        <v>J</v>
      </c>
      <c r="G843" s="202">
        <f ca="1">IFERROR(__xludf.DUMMYFUNCTION("""COMPUTED_VALUE"""),4)</f>
        <v>4</v>
      </c>
      <c r="H843" s="206"/>
      <c r="I843" s="206"/>
      <c r="J843" s="206"/>
      <c r="K843" s="206"/>
      <c r="L843" s="206" t="str">
        <v/>
      </c>
      <c r="M843" s="206" t="str">
        <v/>
      </c>
    </row>
    <row r="844" spans="1:13" ht="14.4">
      <c r="A844" s="199" t="str">
        <f ca="1">IFERROR(__xludf.DUMMYFUNCTION("""COMPUTED_VALUE"""),"HF")</f>
        <v>HF</v>
      </c>
      <c r="B844" s="207" t="str">
        <f ca="1">IFERROR(__xludf.DUMMYFUNCTION("""COMPUTED_VALUE"""),"Molly Payne")</f>
        <v>Molly Payne</v>
      </c>
      <c r="C844" s="199">
        <f ca="1">IFERROR(__xludf.DUMMYFUNCTION("""COMPUTED_VALUE"""),8)</f>
        <v>8</v>
      </c>
      <c r="D844" s="199" t="str">
        <f ca="1">IFERROR(__xludf.DUMMYFUNCTION("""COMPUTED_VALUE"""),"G")</f>
        <v>G</v>
      </c>
      <c r="E844" s="202" t="str">
        <f ca="1">IFERROR(__xludf.DUMMYFUNCTION("""COMPUTED_VALUE"""),"F")</f>
        <v>F</v>
      </c>
      <c r="F844" s="202" t="str">
        <f ca="1">IFERROR(__xludf.DUMMYFUNCTION("""COMPUTED_VALUE"""),"J")</f>
        <v>J</v>
      </c>
      <c r="G844" s="202">
        <f ca="1">IFERROR(__xludf.DUMMYFUNCTION("""COMPUTED_VALUE"""),4)</f>
        <v>4</v>
      </c>
      <c r="H844" s="206">
        <v>30.8</v>
      </c>
      <c r="I844" s="206"/>
      <c r="J844" s="206" t="s">
        <v>121</v>
      </c>
      <c r="K844" s="206"/>
      <c r="L844" s="206" t="str">
        <v xml:space="preserve"> 30.8</v>
      </c>
      <c r="M844" s="206" t="str">
        <v/>
      </c>
    </row>
    <row r="845" spans="1:13" ht="14.4">
      <c r="A845" s="199" t="str">
        <f ca="1">IFERROR(__xludf.DUMMYFUNCTION("""COMPUTED_VALUE"""),"HF")</f>
        <v>HF</v>
      </c>
      <c r="B845" s="207" t="str">
        <f ca="1">IFERROR(__xludf.DUMMYFUNCTION("""COMPUTED_VALUE"""),"Q Perdue")</f>
        <v>Q Perdue</v>
      </c>
      <c r="C845" s="199">
        <f ca="1">IFERROR(__xludf.DUMMYFUNCTION("""COMPUTED_VALUE"""),9)</f>
        <v>9</v>
      </c>
      <c r="D845" s="199" t="str">
        <f ca="1">IFERROR(__xludf.DUMMYFUNCTION("""COMPUTED_VALUE"""),"G")</f>
        <v>G</v>
      </c>
      <c r="E845" s="202" t="str">
        <f ca="1">IFERROR(__xludf.DUMMYFUNCTION("""COMPUTED_VALUE"""),"F")</f>
        <v>F</v>
      </c>
      <c r="F845" s="202" t="str">
        <f ca="1">IFERROR(__xludf.DUMMYFUNCTION("""COMPUTED_VALUE"""),"J")</f>
        <v>J</v>
      </c>
      <c r="G845" s="202">
        <f ca="1">IFERROR(__xludf.DUMMYFUNCTION("""COMPUTED_VALUE"""),4)</f>
        <v>4</v>
      </c>
      <c r="H845" s="206">
        <v>52.75</v>
      </c>
      <c r="I845" s="206"/>
      <c r="J845" s="206" t="s">
        <v>121</v>
      </c>
      <c r="K845" s="206"/>
      <c r="L845" s="206" t="str">
        <v xml:space="preserve"> 52.75</v>
      </c>
      <c r="M845" s="206" t="str">
        <v/>
      </c>
    </row>
    <row r="846" spans="1:13" ht="14.4">
      <c r="A846" s="199" t="str">
        <f ca="1">IFERROR(__xludf.DUMMYFUNCTION("""COMPUTED_VALUE"""),"HF")</f>
        <v>HF</v>
      </c>
      <c r="B846" s="207" t="str">
        <f ca="1">IFERROR(__xludf.DUMMYFUNCTION("""COMPUTED_VALUE"""),"Sydney Stewart")</f>
        <v>Sydney Stewart</v>
      </c>
      <c r="C846" s="199">
        <f ca="1">IFERROR(__xludf.DUMMYFUNCTION("""COMPUTED_VALUE"""),10)</f>
        <v>10</v>
      </c>
      <c r="D846" s="199" t="str">
        <f ca="1">IFERROR(__xludf.DUMMYFUNCTION("""COMPUTED_VALUE"""),"G")</f>
        <v>G</v>
      </c>
      <c r="E846" s="202" t="str">
        <f ca="1">IFERROR(__xludf.DUMMYFUNCTION("""COMPUTED_VALUE"""),"F")</f>
        <v>F</v>
      </c>
      <c r="F846" s="202" t="str">
        <f ca="1">IFERROR(__xludf.DUMMYFUNCTION("""COMPUTED_VALUE"""),"J")</f>
        <v>J</v>
      </c>
      <c r="G846" s="202">
        <f ca="1">IFERROR(__xludf.DUMMYFUNCTION("""COMPUTED_VALUE"""),4)</f>
        <v>4</v>
      </c>
      <c r="H846" s="206"/>
      <c r="I846" s="206"/>
      <c r="J846" s="206"/>
      <c r="K846" s="206"/>
      <c r="L846" s="206" t="str">
        <v/>
      </c>
      <c r="M846" s="206" t="str">
        <v/>
      </c>
    </row>
    <row r="847" spans="1:13" ht="14.4">
      <c r="A847" s="199" t="str">
        <f ca="1">IFERROR(__xludf.DUMMYFUNCTION("""COMPUTED_VALUE"""),"HF")</f>
        <v>HF</v>
      </c>
      <c r="B847" s="207" t="str">
        <f ca="1">IFERROR(__xludf.DUMMYFUNCTION("""COMPUTED_VALUE"""),"Cooper Belt")</f>
        <v>Cooper Belt</v>
      </c>
      <c r="C847" s="199">
        <f ca="1">IFERROR(__xludf.DUMMYFUNCTION("""COMPUTED_VALUE"""),14)</f>
        <v>14</v>
      </c>
      <c r="D847" s="199" t="str">
        <f ca="1">IFERROR(__xludf.DUMMYFUNCTION("""COMPUTED_VALUE"""),"B")</f>
        <v>B</v>
      </c>
      <c r="E847" s="202" t="str">
        <f ca="1">IFERROR(__xludf.DUMMYFUNCTION("""COMPUTED_VALUE"""),"I")</f>
        <v>I</v>
      </c>
      <c r="F847" s="202" t="str">
        <f ca="1">IFERROR(__xludf.DUMMYFUNCTION("""COMPUTED_VALUE"""),"S")</f>
        <v>S</v>
      </c>
      <c r="G847" s="202">
        <f ca="1">IFERROR(__xludf.DUMMYFUNCTION("""COMPUTED_VALUE"""),4)</f>
        <v>4</v>
      </c>
      <c r="H847" s="206"/>
      <c r="I847" s="206">
        <v>125.15</v>
      </c>
      <c r="J847" s="206"/>
      <c r="K847" s="206" t="s">
        <v>121</v>
      </c>
      <c r="L847" s="206" t="str">
        <v xml:space="preserve"> 125.15</v>
      </c>
      <c r="M847" s="206" t="str">
        <v/>
      </c>
    </row>
    <row r="848" spans="1:13" ht="14.4">
      <c r="A848" s="199" t="str">
        <f ca="1">IFERROR(__xludf.DUMMYFUNCTION("""COMPUTED_VALUE"""),"HF")</f>
        <v>HF</v>
      </c>
      <c r="B848" s="207" t="str">
        <f ca="1">IFERROR(__xludf.DUMMYFUNCTION("""COMPUTED_VALUE"""),"George Brennan")</f>
        <v>George Brennan</v>
      </c>
      <c r="C848" s="199">
        <f ca="1">IFERROR(__xludf.DUMMYFUNCTION("""COMPUTED_VALUE"""),14)</f>
        <v>14</v>
      </c>
      <c r="D848" s="199" t="str">
        <f ca="1">IFERROR(__xludf.DUMMYFUNCTION("""COMPUTED_VALUE"""),"B")</f>
        <v>B</v>
      </c>
      <c r="E848" s="202" t="str">
        <f ca="1">IFERROR(__xludf.DUMMYFUNCTION("""COMPUTED_VALUE"""),"I")</f>
        <v>I</v>
      </c>
      <c r="F848" s="202" t="str">
        <f ca="1">IFERROR(__xludf.DUMMYFUNCTION("""COMPUTED_VALUE"""),"S")</f>
        <v>S</v>
      </c>
      <c r="G848" s="202">
        <f ca="1">IFERROR(__xludf.DUMMYFUNCTION("""COMPUTED_VALUE"""),4)</f>
        <v>4</v>
      </c>
      <c r="H848" s="208"/>
      <c r="I848" s="208">
        <v>88.6</v>
      </c>
      <c r="J848" s="208"/>
      <c r="K848" s="208" t="s">
        <v>121</v>
      </c>
      <c r="L848" s="208" t="str">
        <v xml:space="preserve"> 88.6</v>
      </c>
      <c r="M848" s="208" t="str">
        <v/>
      </c>
    </row>
    <row r="849" spans="1:13" ht="14.4">
      <c r="A849" s="199" t="str">
        <f ca="1">IFERROR(__xludf.DUMMYFUNCTION("""COMPUTED_VALUE"""),"HF")</f>
        <v>HF</v>
      </c>
      <c r="B849" s="207" t="str">
        <f ca="1">IFERROR(__xludf.DUMMYFUNCTION("""COMPUTED_VALUE"""),"Jack Rusch")</f>
        <v>Jack Rusch</v>
      </c>
      <c r="C849" s="199">
        <f ca="1">IFERROR(__xludf.DUMMYFUNCTION("""COMPUTED_VALUE"""),13)</f>
        <v>13</v>
      </c>
      <c r="D849" s="199" t="str">
        <f ca="1">IFERROR(__xludf.DUMMYFUNCTION("""COMPUTED_VALUE"""),"B")</f>
        <v>B</v>
      </c>
      <c r="E849" s="202" t="str">
        <f ca="1">IFERROR(__xludf.DUMMYFUNCTION("""COMPUTED_VALUE"""),"I")</f>
        <v>I</v>
      </c>
      <c r="F849" s="202" t="str">
        <f ca="1">IFERROR(__xludf.DUMMYFUNCTION("""COMPUTED_VALUE"""),"S")</f>
        <v>S</v>
      </c>
      <c r="G849" s="202">
        <f ca="1">IFERROR(__xludf.DUMMYFUNCTION("""COMPUTED_VALUE"""),4)</f>
        <v>4</v>
      </c>
      <c r="H849" s="208"/>
      <c r="I849" s="208"/>
      <c r="J849" s="208"/>
      <c r="K849" s="208"/>
      <c r="L849" s="208" t="str">
        <v/>
      </c>
      <c r="M849" s="208" t="str">
        <v/>
      </c>
    </row>
    <row r="850" spans="1:13" ht="14.4">
      <c r="A850" s="199" t="str">
        <f ca="1">IFERROR(__xludf.DUMMYFUNCTION("""COMPUTED_VALUE"""),"HF")</f>
        <v>HF</v>
      </c>
      <c r="B850" s="207" t="str">
        <f ca="1">IFERROR(__xludf.DUMMYFUNCTION("""COMPUTED_VALUE"""),"Sam Johnson")</f>
        <v>Sam Johnson</v>
      </c>
      <c r="C850" s="199">
        <f ca="1">IFERROR(__xludf.DUMMYFUNCTION("""COMPUTED_VALUE"""),13)</f>
        <v>13</v>
      </c>
      <c r="D850" s="199" t="str">
        <f ca="1">IFERROR(__xludf.DUMMYFUNCTION("""COMPUTED_VALUE"""),"B")</f>
        <v>B</v>
      </c>
      <c r="E850" s="202" t="str">
        <f ca="1">IFERROR(__xludf.DUMMYFUNCTION("""COMPUTED_VALUE"""),"I")</f>
        <v>I</v>
      </c>
      <c r="F850" s="202" t="str">
        <f ca="1">IFERROR(__xludf.DUMMYFUNCTION("""COMPUTED_VALUE"""),"S")</f>
        <v>S</v>
      </c>
      <c r="G850" s="202">
        <f ca="1">IFERROR(__xludf.DUMMYFUNCTION("""COMPUTED_VALUE"""),4)</f>
        <v>4</v>
      </c>
      <c r="H850" s="206"/>
      <c r="I850" s="206">
        <v>123.75</v>
      </c>
      <c r="J850" s="206"/>
      <c r="K850" s="206" t="s">
        <v>121</v>
      </c>
      <c r="L850" s="206" t="str">
        <v xml:space="preserve"> 123.75</v>
      </c>
      <c r="M850" s="206" t="str">
        <v/>
      </c>
    </row>
    <row r="851" spans="1:13" ht="14.4">
      <c r="A851" s="199" t="str">
        <f ca="1">IFERROR(__xludf.DUMMYFUNCTION("""COMPUTED_VALUE"""),"HF")</f>
        <v>HF</v>
      </c>
      <c r="B851" s="207" t="str">
        <f ca="1">IFERROR(__xludf.DUMMYFUNCTION("""COMPUTED_VALUE"""),"Sean Watson")</f>
        <v>Sean Watson</v>
      </c>
      <c r="C851" s="199">
        <f ca="1">IFERROR(__xludf.DUMMYFUNCTION("""COMPUTED_VALUE"""),13)</f>
        <v>13</v>
      </c>
      <c r="D851" s="199" t="str">
        <f ca="1">IFERROR(__xludf.DUMMYFUNCTION("""COMPUTED_VALUE"""),"B")</f>
        <v>B</v>
      </c>
      <c r="E851" s="202" t="str">
        <f ca="1">IFERROR(__xludf.DUMMYFUNCTION("""COMPUTED_VALUE"""),"I")</f>
        <v>I</v>
      </c>
      <c r="F851" s="202" t="str">
        <f ca="1">IFERROR(__xludf.DUMMYFUNCTION("""COMPUTED_VALUE"""),"S")</f>
        <v>S</v>
      </c>
      <c r="G851" s="202">
        <f ca="1">IFERROR(__xludf.DUMMYFUNCTION("""COMPUTED_VALUE"""),4)</f>
        <v>4</v>
      </c>
      <c r="H851" s="208"/>
      <c r="I851" s="208">
        <v>91.05</v>
      </c>
      <c r="J851" s="208"/>
      <c r="K851" s="208" t="s">
        <v>121</v>
      </c>
      <c r="L851" s="208" t="str">
        <v xml:space="preserve"> 91.05</v>
      </c>
      <c r="M851" s="208" t="str">
        <v/>
      </c>
    </row>
    <row r="852" spans="1:13" ht="14.4">
      <c r="A852" s="199" t="str">
        <f ca="1">IFERROR(__xludf.DUMMYFUNCTION("""COMPUTED_VALUE"""),"HF")</f>
        <v>HF</v>
      </c>
      <c r="B852" s="207" t="str">
        <f ca="1">IFERROR(__xludf.DUMMYFUNCTION("""COMPUTED_VALUE"""),"Kellen Courtney")</f>
        <v>Kellen Courtney</v>
      </c>
      <c r="C852" s="199">
        <f ca="1">IFERROR(__xludf.DUMMYFUNCTION("""COMPUTED_VALUE"""),11)</f>
        <v>11</v>
      </c>
      <c r="D852" s="199" t="str">
        <f ca="1">IFERROR(__xludf.DUMMYFUNCTION("""COMPUTED_VALUE"""),"B")</f>
        <v>B</v>
      </c>
      <c r="E852" s="202" t="str">
        <f ca="1">IFERROR(__xludf.DUMMYFUNCTION("""COMPUTED_VALUE"""),"J")</f>
        <v>J</v>
      </c>
      <c r="F852" s="202" t="str">
        <f ca="1">IFERROR(__xludf.DUMMYFUNCTION("""COMPUTED_VALUE"""),"I")</f>
        <v>I</v>
      </c>
      <c r="G852" s="202">
        <f ca="1">IFERROR(__xludf.DUMMYFUNCTION("""COMPUTED_VALUE"""),4)</f>
        <v>4</v>
      </c>
      <c r="H852" s="206"/>
      <c r="I852" s="206">
        <v>84.05</v>
      </c>
      <c r="J852" s="206"/>
      <c r="K852" s="206" t="s">
        <v>121</v>
      </c>
      <c r="L852" s="206" t="str">
        <v xml:space="preserve"> 84.05</v>
      </c>
      <c r="M852" s="206" t="str">
        <v/>
      </c>
    </row>
    <row r="853" spans="1:13" ht="14.4">
      <c r="A853" s="199" t="str">
        <f ca="1">IFERROR(__xludf.DUMMYFUNCTION("""COMPUTED_VALUE"""),"HF")</f>
        <v>HF</v>
      </c>
      <c r="B853" s="207" t="str">
        <f ca="1">IFERROR(__xludf.DUMMYFUNCTION("""COMPUTED_VALUE"""),"Zakir Chinoy")</f>
        <v>Zakir Chinoy</v>
      </c>
      <c r="C853" s="199">
        <f ca="1">IFERROR(__xludf.DUMMYFUNCTION("""COMPUTED_VALUE"""),12)</f>
        <v>12</v>
      </c>
      <c r="D853" s="199" t="str">
        <f ca="1">IFERROR(__xludf.DUMMYFUNCTION("""COMPUTED_VALUE"""),"B")</f>
        <v>B</v>
      </c>
      <c r="E853" s="202" t="str">
        <f ca="1">IFERROR(__xludf.DUMMYFUNCTION("""COMPUTED_VALUE"""),"J")</f>
        <v>J</v>
      </c>
      <c r="F853" s="202" t="str">
        <f ca="1">IFERROR(__xludf.DUMMYFUNCTION("""COMPUTED_VALUE"""),"I")</f>
        <v>I</v>
      </c>
      <c r="G853" s="202">
        <f ca="1">IFERROR(__xludf.DUMMYFUNCTION("""COMPUTED_VALUE"""),4)</f>
        <v>4</v>
      </c>
      <c r="H853" s="208"/>
      <c r="I853" s="208">
        <v>57.8</v>
      </c>
      <c r="J853" s="208"/>
      <c r="K853" s="208" t="s">
        <v>121</v>
      </c>
      <c r="L853" s="208" t="str">
        <v xml:space="preserve"> 57.8</v>
      </c>
      <c r="M853" s="208" t="str">
        <v/>
      </c>
    </row>
    <row r="854" spans="1:13" ht="14.4">
      <c r="A854" s="199" t="str">
        <f ca="1">IFERROR(__xludf.DUMMYFUNCTION("""COMPUTED_VALUE"""),"HF")</f>
        <v>HF</v>
      </c>
      <c r="B854" s="207" t="str">
        <f ca="1">IFERROR(__xludf.DUMMYFUNCTION("""COMPUTED_VALUE"""),"Clayre Payne")</f>
        <v>Clayre Payne</v>
      </c>
      <c r="C854" s="199">
        <f ca="1">IFERROR(__xludf.DUMMYFUNCTION("""COMPUTED_VALUE"""),12)</f>
        <v>12</v>
      </c>
      <c r="D854" s="199" t="str">
        <f ca="1">IFERROR(__xludf.DUMMYFUNCTION("""COMPUTED_VALUE"""),"G")</f>
        <v>G</v>
      </c>
      <c r="E854" s="202" t="str">
        <f ca="1">IFERROR(__xludf.DUMMYFUNCTION("""COMPUTED_VALUE"""),"J")</f>
        <v>J</v>
      </c>
      <c r="F854" s="202" t="str">
        <f ca="1">IFERROR(__xludf.DUMMYFUNCTION("""COMPUTED_VALUE"""),"I")</f>
        <v>I</v>
      </c>
      <c r="G854" s="202">
        <f ca="1">IFERROR(__xludf.DUMMYFUNCTION("""COMPUTED_VALUE"""),4)</f>
        <v>4</v>
      </c>
      <c r="H854" s="208">
        <v>77.8</v>
      </c>
      <c r="I854" s="208"/>
      <c r="J854" s="208" t="s">
        <v>121</v>
      </c>
      <c r="K854" s="208"/>
      <c r="L854" s="208" t="str">
        <v xml:space="preserve"> 77.8</v>
      </c>
      <c r="M854" s="208" t="str">
        <v/>
      </c>
    </row>
    <row r="855" spans="1:13" ht="14.4">
      <c r="A855" s="199" t="str">
        <f ca="1">IFERROR(__xludf.DUMMYFUNCTION("""COMPUTED_VALUE"""),"HF")</f>
        <v>HF</v>
      </c>
      <c r="B855" s="207" t="str">
        <f ca="1">IFERROR(__xludf.DUMMYFUNCTION("""COMPUTED_VALUE"""),"Emma Kowalchick")</f>
        <v>Emma Kowalchick</v>
      </c>
      <c r="C855" s="199">
        <f ca="1">IFERROR(__xludf.DUMMYFUNCTION("""COMPUTED_VALUE"""),11)</f>
        <v>11</v>
      </c>
      <c r="D855" s="199" t="str">
        <f ca="1">IFERROR(__xludf.DUMMYFUNCTION("""COMPUTED_VALUE"""),"G")</f>
        <v>G</v>
      </c>
      <c r="E855" s="202" t="str">
        <f ca="1">IFERROR(__xludf.DUMMYFUNCTION("""COMPUTED_VALUE"""),"J")</f>
        <v>J</v>
      </c>
      <c r="F855" s="202" t="str">
        <f ca="1">IFERROR(__xludf.DUMMYFUNCTION("""COMPUTED_VALUE"""),"I")</f>
        <v>I</v>
      </c>
      <c r="G855" s="202">
        <f ca="1">IFERROR(__xludf.DUMMYFUNCTION("""COMPUTED_VALUE"""),4)</f>
        <v>4</v>
      </c>
      <c r="H855" s="206">
        <v>82.8</v>
      </c>
      <c r="I855" s="206"/>
      <c r="J855" s="206" t="s">
        <v>121</v>
      </c>
      <c r="K855" s="206"/>
      <c r="L855" s="206" t="str">
        <v xml:space="preserve"> 82.8</v>
      </c>
      <c r="M855" s="206" t="str">
        <v/>
      </c>
    </row>
    <row r="856" spans="1:13" ht="14.4">
      <c r="A856" s="199" t="str">
        <f ca="1">IFERROR(__xludf.DUMMYFUNCTION("""COMPUTED_VALUE"""),"HF")</f>
        <v>HF</v>
      </c>
      <c r="B856" s="207" t="str">
        <f ca="1">IFERROR(__xludf.DUMMYFUNCTION("""COMPUTED_VALUE"""),"Maeve McGuire")</f>
        <v>Maeve McGuire</v>
      </c>
      <c r="C856" s="199">
        <f ca="1">IFERROR(__xludf.DUMMYFUNCTION("""COMPUTED_VALUE"""),12)</f>
        <v>12</v>
      </c>
      <c r="D856" s="199" t="str">
        <f ca="1">IFERROR(__xludf.DUMMYFUNCTION("""COMPUTED_VALUE"""),"G")</f>
        <v>G</v>
      </c>
      <c r="E856" s="202" t="str">
        <f ca="1">IFERROR(__xludf.DUMMYFUNCTION("""COMPUTED_VALUE"""),"J")</f>
        <v>J</v>
      </c>
      <c r="F856" s="202" t="str">
        <f ca="1">IFERROR(__xludf.DUMMYFUNCTION("""COMPUTED_VALUE"""),"I")</f>
        <v>I</v>
      </c>
      <c r="G856" s="202">
        <f ca="1">IFERROR(__xludf.DUMMYFUNCTION("""COMPUTED_VALUE"""),4)</f>
        <v>4</v>
      </c>
      <c r="H856" s="206">
        <v>98.35</v>
      </c>
      <c r="I856" s="206"/>
      <c r="J856" s="206" t="s">
        <v>121</v>
      </c>
      <c r="K856" s="206"/>
      <c r="L856" s="206" t="str">
        <v xml:space="preserve"> 98.35</v>
      </c>
      <c r="M856" s="206" t="str">
        <v/>
      </c>
    </row>
    <row r="857" spans="1:13" ht="14.4">
      <c r="A857" s="199" t="str">
        <f ca="1">IFERROR(__xludf.DUMMYFUNCTION("""COMPUTED_VALUE"""),"HF")</f>
        <v>HF</v>
      </c>
      <c r="B857" s="207" t="str">
        <f ca="1">IFERROR(__xludf.DUMMYFUNCTION("""COMPUTED_VALUE"""),"Fin Belt")</f>
        <v>Fin Belt</v>
      </c>
      <c r="C857" s="199">
        <f ca="1">IFERROR(__xludf.DUMMYFUNCTION("""COMPUTED_VALUE"""),16)</f>
        <v>16</v>
      </c>
      <c r="D857" s="199" t="str">
        <f ca="1">IFERROR(__xludf.DUMMYFUNCTION("""COMPUTED_VALUE"""),"B")</f>
        <v>B</v>
      </c>
      <c r="E857" s="202" t="str">
        <f ca="1">IFERROR(__xludf.DUMMYFUNCTION("""COMPUTED_VALUE"""),"S")</f>
        <v>S</v>
      </c>
      <c r="F857" s="202" t="str">
        <f ca="1">IFERROR(__xludf.DUMMYFUNCTION("""COMPUTED_VALUE"""),"S")</f>
        <v>S</v>
      </c>
      <c r="G857" s="202">
        <f ca="1">IFERROR(__xludf.DUMMYFUNCTION("""COMPUTED_VALUE"""),4)</f>
        <v>4</v>
      </c>
      <c r="H857" s="206"/>
      <c r="I857" s="206">
        <v>160.75</v>
      </c>
      <c r="J857" s="206"/>
      <c r="K857" s="206" t="s">
        <v>121</v>
      </c>
      <c r="L857" s="206" t="str">
        <v xml:space="preserve"> 160.75</v>
      </c>
      <c r="M857" s="206" t="str">
        <v/>
      </c>
    </row>
    <row r="858" spans="1:13" ht="14.4">
      <c r="A858" s="199" t="str">
        <f ca="1">IFERROR(__xludf.DUMMYFUNCTION("""COMPUTED_VALUE"""),"HF")</f>
        <v>HF</v>
      </c>
      <c r="B858" s="207" t="str">
        <f ca="1">IFERROR(__xludf.DUMMYFUNCTION("""COMPUTED_VALUE"""),"Gavin Bergen-Hill")</f>
        <v>Gavin Bergen-Hill</v>
      </c>
      <c r="C858" s="199">
        <f ca="1">IFERROR(__xludf.DUMMYFUNCTION("""COMPUTED_VALUE"""),18)</f>
        <v>18</v>
      </c>
      <c r="D858" s="199" t="str">
        <f ca="1">IFERROR(__xludf.DUMMYFUNCTION("""COMPUTED_VALUE"""),"B")</f>
        <v>B</v>
      </c>
      <c r="E858" s="202" t="str">
        <f ca="1">IFERROR(__xludf.DUMMYFUNCTION("""COMPUTED_VALUE"""),"S")</f>
        <v>S</v>
      </c>
      <c r="F858" s="202" t="str">
        <f ca="1">IFERROR(__xludf.DUMMYFUNCTION("""COMPUTED_VALUE"""),"S")</f>
        <v>S</v>
      </c>
      <c r="G858" s="202">
        <f ca="1">IFERROR(__xludf.DUMMYFUNCTION("""COMPUTED_VALUE"""),4)</f>
        <v>4</v>
      </c>
      <c r="H858" s="206"/>
      <c r="I858" s="206">
        <v>146.85</v>
      </c>
      <c r="J858" s="206"/>
      <c r="K858" s="206" t="s">
        <v>121</v>
      </c>
      <c r="L858" s="206" t="str">
        <v xml:space="preserve"> 146.85</v>
      </c>
      <c r="M858" s="206" t="str">
        <v/>
      </c>
    </row>
    <row r="859" spans="1:13" ht="14.4">
      <c r="A859" s="199" t="str">
        <f ca="1">IFERROR(__xludf.DUMMYFUNCTION("""COMPUTED_VALUE"""),"HF")</f>
        <v>HF</v>
      </c>
      <c r="B859" s="207" t="str">
        <f ca="1">IFERROR(__xludf.DUMMYFUNCTION("""COMPUTED_VALUE"""),"Lucy Porter")</f>
        <v>Lucy Porter</v>
      </c>
      <c r="C859" s="199">
        <f ca="1">IFERROR(__xludf.DUMMYFUNCTION("""COMPUTED_VALUE"""),16)</f>
        <v>16</v>
      </c>
      <c r="D859" s="199" t="str">
        <f ca="1">IFERROR(__xludf.DUMMYFUNCTION("""COMPUTED_VALUE"""),"G")</f>
        <v>G</v>
      </c>
      <c r="E859" s="202" t="str">
        <f ca="1">IFERROR(__xludf.DUMMYFUNCTION("""COMPUTED_VALUE"""),"S")</f>
        <v>S</v>
      </c>
      <c r="F859" s="202" t="str">
        <f ca="1">IFERROR(__xludf.DUMMYFUNCTION("""COMPUTED_VALUE"""),"S")</f>
        <v>S</v>
      </c>
      <c r="G859" s="202">
        <f ca="1">IFERROR(__xludf.DUMMYFUNCTION("""COMPUTED_VALUE"""),4)</f>
        <v>4</v>
      </c>
      <c r="H859" s="208">
        <v>179.05</v>
      </c>
      <c r="I859" s="208"/>
      <c r="J859" s="208" t="s">
        <v>121</v>
      </c>
      <c r="K859" s="208"/>
      <c r="L859" s="208" t="str">
        <v xml:space="preserve"> 179.05</v>
      </c>
      <c r="M859" s="208" t="str">
        <v/>
      </c>
    </row>
    <row r="860" spans="1:13" ht="14.4">
      <c r="A860" s="199" t="str">
        <f ca="1">IFERROR(__xludf.DUMMYFUNCTION("""COMPUTED_VALUE"""),"HP")</f>
        <v>HP</v>
      </c>
      <c r="B860" s="207" t="str">
        <f ca="1">IFERROR(__xludf.DUMMYFUNCTION("""COMPUTED_VALUE"""),"Adam Elbekri")</f>
        <v>Adam Elbekri</v>
      </c>
      <c r="C860" s="199">
        <f ca="1">IFERROR(__xludf.DUMMYFUNCTION("""COMPUTED_VALUE"""),9)</f>
        <v>9</v>
      </c>
      <c r="D860" s="199" t="str">
        <f ca="1">IFERROR(__xludf.DUMMYFUNCTION("""COMPUTED_VALUE"""),"B")</f>
        <v>B</v>
      </c>
      <c r="E860" s="202" t="str">
        <f ca="1">IFERROR(__xludf.DUMMYFUNCTION("""COMPUTED_VALUE"""),"F")</f>
        <v>F</v>
      </c>
      <c r="F860" s="202" t="str">
        <f ca="1">IFERROR(__xludf.DUMMYFUNCTION("""COMPUTED_VALUE"""),"J")</f>
        <v>J</v>
      </c>
      <c r="G860" s="202">
        <f ca="1">IFERROR(__xludf.DUMMYFUNCTION("""COMPUTED_VALUE"""),6)</f>
        <v>6</v>
      </c>
      <c r="H860" s="206"/>
      <c r="I860" s="206"/>
      <c r="J860" s="206"/>
      <c r="K860" s="206"/>
      <c r="L860" s="206" t="str">
        <v/>
      </c>
      <c r="M860" s="206" t="str">
        <v/>
      </c>
    </row>
    <row r="861" spans="1:13" ht="14.4">
      <c r="A861" s="199" t="str">
        <f ca="1">IFERROR(__xludf.DUMMYFUNCTION("""COMPUTED_VALUE"""),"HP")</f>
        <v>HP</v>
      </c>
      <c r="B861" s="207" t="str">
        <f ca="1">IFERROR(__xludf.DUMMYFUNCTION("""COMPUTED_VALUE"""),"Azeem Tyabji")</f>
        <v>Azeem Tyabji</v>
      </c>
      <c r="C861" s="199">
        <f ca="1">IFERROR(__xludf.DUMMYFUNCTION("""COMPUTED_VALUE"""),8)</f>
        <v>8</v>
      </c>
      <c r="D861" s="199" t="str">
        <f ca="1">IFERROR(__xludf.DUMMYFUNCTION("""COMPUTED_VALUE"""),"B")</f>
        <v>B</v>
      </c>
      <c r="E861" s="202" t="str">
        <f ca="1">IFERROR(__xludf.DUMMYFUNCTION("""COMPUTED_VALUE"""),"F")</f>
        <v>F</v>
      </c>
      <c r="F861" s="202" t="str">
        <f ca="1">IFERROR(__xludf.DUMMYFUNCTION("""COMPUTED_VALUE"""),"J")</f>
        <v>J</v>
      </c>
      <c r="G861" s="202">
        <f ca="1">IFERROR(__xludf.DUMMYFUNCTION("""COMPUTED_VALUE"""),6)</f>
        <v>6</v>
      </c>
      <c r="H861" s="208"/>
      <c r="I861" s="208"/>
      <c r="J861" s="208"/>
      <c r="K861" s="208"/>
      <c r="L861" s="208" t="str">
        <v/>
      </c>
      <c r="M861" s="208" t="str">
        <v/>
      </c>
    </row>
    <row r="862" spans="1:13" ht="14.4">
      <c r="A862" s="199" t="str">
        <f ca="1">IFERROR(__xludf.DUMMYFUNCTION("""COMPUTED_VALUE"""),"HP")</f>
        <v>HP</v>
      </c>
      <c r="B862" s="207" t="str">
        <f ca="1">IFERROR(__xludf.DUMMYFUNCTION("""COMPUTED_VALUE"""),"Benjamin Allen")</f>
        <v>Benjamin Allen</v>
      </c>
      <c r="C862" s="199">
        <f ca="1">IFERROR(__xludf.DUMMYFUNCTION("""COMPUTED_VALUE"""),9)</f>
        <v>9</v>
      </c>
      <c r="D862" s="199" t="str">
        <f ca="1">IFERROR(__xludf.DUMMYFUNCTION("""COMPUTED_VALUE"""),"B")</f>
        <v>B</v>
      </c>
      <c r="E862" s="202" t="str">
        <f ca="1">IFERROR(__xludf.DUMMYFUNCTION("""COMPUTED_VALUE"""),"F")</f>
        <v>F</v>
      </c>
      <c r="F862" s="202" t="str">
        <f ca="1">IFERROR(__xludf.DUMMYFUNCTION("""COMPUTED_VALUE"""),"J")</f>
        <v>J</v>
      </c>
      <c r="G862" s="202">
        <f ca="1">IFERROR(__xludf.DUMMYFUNCTION("""COMPUTED_VALUE"""),6)</f>
        <v>6</v>
      </c>
      <c r="H862" s="208"/>
      <c r="I862" s="208">
        <v>43.2</v>
      </c>
      <c r="J862" s="208"/>
      <c r="K862" s="208" t="s">
        <v>121</v>
      </c>
      <c r="L862" s="208" t="str">
        <v xml:space="preserve"> 43.2</v>
      </c>
      <c r="M862" s="208" t="str">
        <v/>
      </c>
    </row>
    <row r="863" spans="1:13" ht="14.4">
      <c r="A863" s="199" t="str">
        <f ca="1">IFERROR(__xludf.DUMMYFUNCTION("""COMPUTED_VALUE"""),"HP")</f>
        <v>HP</v>
      </c>
      <c r="B863" s="207" t="str">
        <f ca="1">IFERROR(__xludf.DUMMYFUNCTION("""COMPUTED_VALUE"""),"Benjamin Margolis")</f>
        <v>Benjamin Margolis</v>
      </c>
      <c r="C863" s="199">
        <f ca="1">IFERROR(__xludf.DUMMYFUNCTION("""COMPUTED_VALUE"""),9)</f>
        <v>9</v>
      </c>
      <c r="D863" s="199" t="str">
        <f ca="1">IFERROR(__xludf.DUMMYFUNCTION("""COMPUTED_VALUE"""),"B")</f>
        <v>B</v>
      </c>
      <c r="E863" s="202" t="str">
        <f ca="1">IFERROR(__xludf.DUMMYFUNCTION("""COMPUTED_VALUE"""),"F")</f>
        <v>F</v>
      </c>
      <c r="F863" s="202" t="str">
        <f ca="1">IFERROR(__xludf.DUMMYFUNCTION("""COMPUTED_VALUE"""),"J")</f>
        <v>J</v>
      </c>
      <c r="G863" s="202">
        <f ca="1">IFERROR(__xludf.DUMMYFUNCTION("""COMPUTED_VALUE"""),6)</f>
        <v>6</v>
      </c>
      <c r="H863" s="208"/>
      <c r="I863" s="208">
        <v>74.900000000000006</v>
      </c>
      <c r="J863" s="208"/>
      <c r="K863" s="208" t="s">
        <v>121</v>
      </c>
      <c r="L863" s="208" t="str">
        <v xml:space="preserve"> 74.9</v>
      </c>
      <c r="M863" s="208" t="str">
        <v/>
      </c>
    </row>
    <row r="864" spans="1:13" ht="14.4">
      <c r="A864" s="199" t="str">
        <f ca="1">IFERROR(__xludf.DUMMYFUNCTION("""COMPUTED_VALUE"""),"HP")</f>
        <v>HP</v>
      </c>
      <c r="B864" s="207" t="str">
        <f ca="1">IFERROR(__xludf.DUMMYFUNCTION("""COMPUTED_VALUE"""),"Cameron Cohen")</f>
        <v>Cameron Cohen</v>
      </c>
      <c r="C864" s="199">
        <f ca="1">IFERROR(__xludf.DUMMYFUNCTION("""COMPUTED_VALUE"""),8)</f>
        <v>8</v>
      </c>
      <c r="D864" s="199" t="str">
        <f ca="1">IFERROR(__xludf.DUMMYFUNCTION("""COMPUTED_VALUE"""),"B")</f>
        <v>B</v>
      </c>
      <c r="E864" s="202" t="str">
        <f ca="1">IFERROR(__xludf.DUMMYFUNCTION("""COMPUTED_VALUE"""),"F")</f>
        <v>F</v>
      </c>
      <c r="F864" s="202" t="str">
        <f ca="1">IFERROR(__xludf.DUMMYFUNCTION("""COMPUTED_VALUE"""),"J")</f>
        <v>J</v>
      </c>
      <c r="G864" s="202">
        <f ca="1">IFERROR(__xludf.DUMMYFUNCTION("""COMPUTED_VALUE"""),6)</f>
        <v>6</v>
      </c>
      <c r="H864" s="208"/>
      <c r="I864" s="208"/>
      <c r="J864" s="208"/>
      <c r="K864" s="208"/>
      <c r="L864" s="208" t="str">
        <v/>
      </c>
      <c r="M864" s="208" t="str">
        <v/>
      </c>
    </row>
    <row r="865" spans="1:13" ht="14.4">
      <c r="A865" s="199" t="str">
        <f ca="1">IFERROR(__xludf.DUMMYFUNCTION("""COMPUTED_VALUE"""),"HP")</f>
        <v>HP</v>
      </c>
      <c r="B865" s="207" t="str">
        <f ca="1">IFERROR(__xludf.DUMMYFUNCTION("""COMPUTED_VALUE"""),"Devon Taylor")</f>
        <v>Devon Taylor</v>
      </c>
      <c r="C865" s="199">
        <f ca="1">IFERROR(__xludf.DUMMYFUNCTION("""COMPUTED_VALUE"""),6)</f>
        <v>6</v>
      </c>
      <c r="D865" s="199" t="str">
        <f ca="1">IFERROR(__xludf.DUMMYFUNCTION("""COMPUTED_VALUE"""),"B")</f>
        <v>B</v>
      </c>
      <c r="E865" s="202" t="str">
        <f ca="1">IFERROR(__xludf.DUMMYFUNCTION("""COMPUTED_VALUE"""),"F")</f>
        <v>F</v>
      </c>
      <c r="F865" s="202" t="str">
        <f ca="1">IFERROR(__xludf.DUMMYFUNCTION("""COMPUTED_VALUE"""),"J")</f>
        <v>J</v>
      </c>
      <c r="G865" s="202">
        <f ca="1">IFERROR(__xludf.DUMMYFUNCTION("""COMPUTED_VALUE"""),6)</f>
        <v>6</v>
      </c>
      <c r="H865" s="206"/>
      <c r="I865" s="206">
        <v>12.5</v>
      </c>
      <c r="J865" s="206"/>
      <c r="K865" s="206" t="s">
        <v>121</v>
      </c>
      <c r="L865" s="206" t="str">
        <v xml:space="preserve"> 12.5</v>
      </c>
      <c r="M865" s="206" t="str">
        <v/>
      </c>
    </row>
    <row r="866" spans="1:13" ht="14.4">
      <c r="A866" s="199" t="str">
        <f ca="1">IFERROR(__xludf.DUMMYFUNCTION("""COMPUTED_VALUE"""),"HP")</f>
        <v>HP</v>
      </c>
      <c r="B866" s="207" t="str">
        <f ca="1">IFERROR(__xludf.DUMMYFUNCTION("""COMPUTED_VALUE"""),"Elliot Kobus")</f>
        <v>Elliot Kobus</v>
      </c>
      <c r="C866" s="199">
        <f ca="1">IFERROR(__xludf.DUMMYFUNCTION("""COMPUTED_VALUE"""),8)</f>
        <v>8</v>
      </c>
      <c r="D866" s="199" t="str">
        <f ca="1">IFERROR(__xludf.DUMMYFUNCTION("""COMPUTED_VALUE"""),"B")</f>
        <v>B</v>
      </c>
      <c r="E866" s="202" t="str">
        <f ca="1">IFERROR(__xludf.DUMMYFUNCTION("""COMPUTED_VALUE"""),"F")</f>
        <v>F</v>
      </c>
      <c r="F866" s="202" t="str">
        <f ca="1">IFERROR(__xludf.DUMMYFUNCTION("""COMPUTED_VALUE"""),"J")</f>
        <v>J</v>
      </c>
      <c r="G866" s="202">
        <f ca="1">IFERROR(__xludf.DUMMYFUNCTION("""COMPUTED_VALUE"""),6)</f>
        <v>6</v>
      </c>
      <c r="H866" s="208"/>
      <c r="I866" s="208"/>
      <c r="J866" s="208"/>
      <c r="K866" s="208"/>
      <c r="L866" s="208" t="str">
        <v/>
      </c>
      <c r="M866" s="208" t="str">
        <v/>
      </c>
    </row>
    <row r="867" spans="1:13" ht="14.4">
      <c r="A867" s="199" t="str">
        <f ca="1">IFERROR(__xludf.DUMMYFUNCTION("""COMPUTED_VALUE"""),"HP")</f>
        <v>HP</v>
      </c>
      <c r="B867" s="207" t="str">
        <f ca="1">IFERROR(__xludf.DUMMYFUNCTION("""COMPUTED_VALUE"""),"Henry Cutts")</f>
        <v>Henry Cutts</v>
      </c>
      <c r="C867" s="199">
        <f ca="1">IFERROR(__xludf.DUMMYFUNCTION("""COMPUTED_VALUE"""),8)</f>
        <v>8</v>
      </c>
      <c r="D867" s="199" t="str">
        <f ca="1">IFERROR(__xludf.DUMMYFUNCTION("""COMPUTED_VALUE"""),"B")</f>
        <v>B</v>
      </c>
      <c r="E867" s="202" t="str">
        <f ca="1">IFERROR(__xludf.DUMMYFUNCTION("""COMPUTED_VALUE"""),"F")</f>
        <v>F</v>
      </c>
      <c r="F867" s="202" t="str">
        <f ca="1">IFERROR(__xludf.DUMMYFUNCTION("""COMPUTED_VALUE"""),"J")</f>
        <v>J</v>
      </c>
      <c r="G867" s="202">
        <f ca="1">IFERROR(__xludf.DUMMYFUNCTION("""COMPUTED_VALUE"""),6)</f>
        <v>6</v>
      </c>
      <c r="H867" s="206"/>
      <c r="I867" s="206">
        <v>49.9</v>
      </c>
      <c r="J867" s="206"/>
      <c r="K867" s="206" t="s">
        <v>123</v>
      </c>
      <c r="L867" s="206" t="str">
        <v xml:space="preserve"> -49.9</v>
      </c>
      <c r="M867" s="206" t="str">
        <v>^</v>
      </c>
    </row>
    <row r="868" spans="1:13" ht="14.4">
      <c r="A868" s="199" t="str">
        <f ca="1">IFERROR(__xludf.DUMMYFUNCTION("""COMPUTED_VALUE"""),"HP")</f>
        <v>HP</v>
      </c>
      <c r="B868" s="207" t="str">
        <f ca="1">IFERROR(__xludf.DUMMYFUNCTION("""COMPUTED_VALUE"""),"Jacob Stigliano")</f>
        <v>Jacob Stigliano</v>
      </c>
      <c r="C868" s="199">
        <f ca="1">IFERROR(__xludf.DUMMYFUNCTION("""COMPUTED_VALUE"""),6)</f>
        <v>6</v>
      </c>
      <c r="D868" s="199" t="str">
        <f ca="1">IFERROR(__xludf.DUMMYFUNCTION("""COMPUTED_VALUE"""),"B")</f>
        <v>B</v>
      </c>
      <c r="E868" s="202" t="str">
        <f ca="1">IFERROR(__xludf.DUMMYFUNCTION("""COMPUTED_VALUE"""),"F")</f>
        <v>F</v>
      </c>
      <c r="F868" s="202" t="str">
        <f ca="1">IFERROR(__xludf.DUMMYFUNCTION("""COMPUTED_VALUE"""),"J")</f>
        <v>J</v>
      </c>
      <c r="G868" s="202">
        <f ca="1">IFERROR(__xludf.DUMMYFUNCTION("""COMPUTED_VALUE"""),6)</f>
        <v>6</v>
      </c>
      <c r="H868" s="206"/>
      <c r="I868" s="206"/>
      <c r="J868" s="206"/>
      <c r="K868" s="206"/>
      <c r="L868" s="206" t="str">
        <v/>
      </c>
      <c r="M868" s="206" t="str">
        <v/>
      </c>
    </row>
    <row r="869" spans="1:13" ht="14.4">
      <c r="A869" s="199" t="str">
        <f ca="1">IFERROR(__xludf.DUMMYFUNCTION("""COMPUTED_VALUE"""),"HP")</f>
        <v>HP</v>
      </c>
      <c r="B869" s="207" t="str">
        <f ca="1">IFERROR(__xludf.DUMMYFUNCTION("""COMPUTED_VALUE"""),"JJ Snyder")</f>
        <v>JJ Snyder</v>
      </c>
      <c r="C869" s="199">
        <f ca="1">IFERROR(__xludf.DUMMYFUNCTION("""COMPUTED_VALUE"""),8)</f>
        <v>8</v>
      </c>
      <c r="D869" s="199" t="str">
        <f ca="1">IFERROR(__xludf.DUMMYFUNCTION("""COMPUTED_VALUE"""),"B")</f>
        <v>B</v>
      </c>
      <c r="E869" s="202" t="str">
        <f ca="1">IFERROR(__xludf.DUMMYFUNCTION("""COMPUTED_VALUE"""),"F")</f>
        <v>F</v>
      </c>
      <c r="F869" s="202" t="str">
        <f ca="1">IFERROR(__xludf.DUMMYFUNCTION("""COMPUTED_VALUE"""),"J")</f>
        <v>J</v>
      </c>
      <c r="G869" s="202">
        <f ca="1">IFERROR(__xludf.DUMMYFUNCTION("""COMPUTED_VALUE"""),6)</f>
        <v>6</v>
      </c>
      <c r="H869" s="206"/>
      <c r="I869" s="206"/>
      <c r="J869" s="206"/>
      <c r="K869" s="206"/>
      <c r="L869" s="206" t="str">
        <v/>
      </c>
      <c r="M869" s="206" t="str">
        <v/>
      </c>
    </row>
    <row r="870" spans="1:13" ht="14.4">
      <c r="A870" s="199" t="str">
        <f ca="1">IFERROR(__xludf.DUMMYFUNCTION("""COMPUTED_VALUE"""),"HP")</f>
        <v>HP</v>
      </c>
      <c r="B870" s="207" t="str">
        <f ca="1">IFERROR(__xludf.DUMMYFUNCTION("""COMPUTED_VALUE"""),"Johnny Simon")</f>
        <v>Johnny Simon</v>
      </c>
      <c r="C870" s="199">
        <f ca="1">IFERROR(__xludf.DUMMYFUNCTION("""COMPUTED_VALUE"""),9)</f>
        <v>9</v>
      </c>
      <c r="D870" s="199" t="str">
        <f ca="1">IFERROR(__xludf.DUMMYFUNCTION("""COMPUTED_VALUE"""),"B")</f>
        <v>B</v>
      </c>
      <c r="E870" s="202" t="str">
        <f ca="1">IFERROR(__xludf.DUMMYFUNCTION("""COMPUTED_VALUE"""),"F")</f>
        <v>F</v>
      </c>
      <c r="F870" s="202" t="str">
        <f ca="1">IFERROR(__xludf.DUMMYFUNCTION("""COMPUTED_VALUE"""),"J")</f>
        <v>J</v>
      </c>
      <c r="G870" s="202">
        <f ca="1">IFERROR(__xludf.DUMMYFUNCTION("""COMPUTED_VALUE"""),6)</f>
        <v>6</v>
      </c>
      <c r="H870" s="206"/>
      <c r="I870" s="206"/>
      <c r="J870" s="206"/>
      <c r="K870" s="206"/>
      <c r="L870" s="206" t="str">
        <v/>
      </c>
      <c r="M870" s="206" t="str">
        <v/>
      </c>
    </row>
    <row r="871" spans="1:13" ht="14.4">
      <c r="A871" s="199" t="str">
        <f ca="1">IFERROR(__xludf.DUMMYFUNCTION("""COMPUTED_VALUE"""),"HP")</f>
        <v>HP</v>
      </c>
      <c r="B871" s="207" t="str">
        <f ca="1">IFERROR(__xludf.DUMMYFUNCTION("""COMPUTED_VALUE"""),"Joseph Mosinski")</f>
        <v>Joseph Mosinski</v>
      </c>
      <c r="C871" s="199">
        <f ca="1">IFERROR(__xludf.DUMMYFUNCTION("""COMPUTED_VALUE"""),9)</f>
        <v>9</v>
      </c>
      <c r="D871" s="199" t="str">
        <f ca="1">IFERROR(__xludf.DUMMYFUNCTION("""COMPUTED_VALUE"""),"B")</f>
        <v>B</v>
      </c>
      <c r="E871" s="202" t="str">
        <f ca="1">IFERROR(__xludf.DUMMYFUNCTION("""COMPUTED_VALUE"""),"F")</f>
        <v>F</v>
      </c>
      <c r="F871" s="202" t="str">
        <f ca="1">IFERROR(__xludf.DUMMYFUNCTION("""COMPUTED_VALUE"""),"J")</f>
        <v>J</v>
      </c>
      <c r="G871" s="202">
        <f ca="1">IFERROR(__xludf.DUMMYFUNCTION("""COMPUTED_VALUE"""),6)</f>
        <v>6</v>
      </c>
      <c r="H871" s="206"/>
      <c r="I871" s="206"/>
      <c r="J871" s="206"/>
      <c r="K871" s="206"/>
      <c r="L871" s="206" t="str">
        <v/>
      </c>
      <c r="M871" s="206" t="str">
        <v/>
      </c>
    </row>
    <row r="872" spans="1:13" ht="14.4">
      <c r="A872" s="199" t="str">
        <f ca="1">IFERROR(__xludf.DUMMYFUNCTION("""COMPUTED_VALUE"""),"HP")</f>
        <v>HP</v>
      </c>
      <c r="B872" s="207" t="str">
        <f ca="1">IFERROR(__xludf.DUMMYFUNCTION("""COMPUTED_VALUE"""),"Julian Castro")</f>
        <v>Julian Castro</v>
      </c>
      <c r="C872" s="199">
        <f ca="1">IFERROR(__xludf.DUMMYFUNCTION("""COMPUTED_VALUE"""),8)</f>
        <v>8</v>
      </c>
      <c r="D872" s="199" t="str">
        <f ca="1">IFERROR(__xludf.DUMMYFUNCTION("""COMPUTED_VALUE"""),"B")</f>
        <v>B</v>
      </c>
      <c r="E872" s="202" t="str">
        <f ca="1">IFERROR(__xludf.DUMMYFUNCTION("""COMPUTED_VALUE"""),"F")</f>
        <v>F</v>
      </c>
      <c r="F872" s="202" t="str">
        <f ca="1">IFERROR(__xludf.DUMMYFUNCTION("""COMPUTED_VALUE"""),"J")</f>
        <v>J</v>
      </c>
      <c r="G872" s="202">
        <f ca="1">IFERROR(__xludf.DUMMYFUNCTION("""COMPUTED_VALUE"""),6)</f>
        <v>6</v>
      </c>
      <c r="H872" s="208"/>
      <c r="I872" s="208"/>
      <c r="J872" s="208"/>
      <c r="K872" s="208"/>
      <c r="L872" s="208" t="str">
        <v/>
      </c>
      <c r="M872" s="208" t="str">
        <v/>
      </c>
    </row>
    <row r="873" spans="1:13" ht="14.4">
      <c r="A873" s="199" t="str">
        <f ca="1">IFERROR(__xludf.DUMMYFUNCTION("""COMPUTED_VALUE"""),"HP")</f>
        <v>HP</v>
      </c>
      <c r="B873" s="207" t="str">
        <f ca="1">IFERROR(__xludf.DUMMYFUNCTION("""COMPUTED_VALUE"""),"Liam Geyer")</f>
        <v>Liam Geyer</v>
      </c>
      <c r="C873" s="199">
        <f ca="1">IFERROR(__xludf.DUMMYFUNCTION("""COMPUTED_VALUE"""),10)</f>
        <v>10</v>
      </c>
      <c r="D873" s="199" t="str">
        <f ca="1">IFERROR(__xludf.DUMMYFUNCTION("""COMPUTED_VALUE"""),"B")</f>
        <v>B</v>
      </c>
      <c r="E873" s="202" t="str">
        <f ca="1">IFERROR(__xludf.DUMMYFUNCTION("""COMPUTED_VALUE"""),"F")</f>
        <v>F</v>
      </c>
      <c r="F873" s="202" t="str">
        <f ca="1">IFERROR(__xludf.DUMMYFUNCTION("""COMPUTED_VALUE"""),"J")</f>
        <v>J</v>
      </c>
      <c r="G873" s="202">
        <f ca="1">IFERROR(__xludf.DUMMYFUNCTION("""COMPUTED_VALUE"""),6)</f>
        <v>6</v>
      </c>
      <c r="H873" s="206"/>
      <c r="I873" s="206"/>
      <c r="J873" s="206"/>
      <c r="K873" s="206"/>
      <c r="L873" s="206" t="str">
        <v/>
      </c>
      <c r="M873" s="206" t="str">
        <v/>
      </c>
    </row>
    <row r="874" spans="1:13" ht="14.4">
      <c r="A874" s="199" t="str">
        <f ca="1">IFERROR(__xludf.DUMMYFUNCTION("""COMPUTED_VALUE"""),"HP")</f>
        <v>HP</v>
      </c>
      <c r="B874" s="207" t="str">
        <f ca="1">IFERROR(__xludf.DUMMYFUNCTION("""COMPUTED_VALUE"""),"Liam Painter")</f>
        <v>Liam Painter</v>
      </c>
      <c r="C874" s="199">
        <f ca="1">IFERROR(__xludf.DUMMYFUNCTION("""COMPUTED_VALUE"""),10)</f>
        <v>10</v>
      </c>
      <c r="D874" s="199" t="str">
        <f ca="1">IFERROR(__xludf.DUMMYFUNCTION("""COMPUTED_VALUE"""),"B")</f>
        <v>B</v>
      </c>
      <c r="E874" s="202" t="str">
        <f ca="1">IFERROR(__xludf.DUMMYFUNCTION("""COMPUTED_VALUE"""),"F")</f>
        <v>F</v>
      </c>
      <c r="F874" s="202" t="str">
        <f ca="1">IFERROR(__xludf.DUMMYFUNCTION("""COMPUTED_VALUE"""),"J")</f>
        <v>J</v>
      </c>
      <c r="G874" s="202">
        <f ca="1">IFERROR(__xludf.DUMMYFUNCTION("""COMPUTED_VALUE"""),6)</f>
        <v>6</v>
      </c>
      <c r="H874" s="206"/>
      <c r="I874" s="206">
        <v>47.25</v>
      </c>
      <c r="J874" s="206"/>
      <c r="K874" s="206" t="s">
        <v>121</v>
      </c>
      <c r="L874" s="206" t="str">
        <v xml:space="preserve"> 47.25</v>
      </c>
      <c r="M874" s="206" t="str">
        <v/>
      </c>
    </row>
    <row r="875" spans="1:13" ht="14.4">
      <c r="A875" s="199" t="str">
        <f ca="1">IFERROR(__xludf.DUMMYFUNCTION("""COMPUTED_VALUE"""),"HP")</f>
        <v>HP</v>
      </c>
      <c r="B875" s="207" t="str">
        <f ca="1">IFERROR(__xludf.DUMMYFUNCTION("""COMPUTED_VALUE"""),"Max Gura")</f>
        <v>Max Gura</v>
      </c>
      <c r="C875" s="199">
        <f ca="1">IFERROR(__xludf.DUMMYFUNCTION("""COMPUTED_VALUE"""),8)</f>
        <v>8</v>
      </c>
      <c r="D875" s="199" t="str">
        <f ca="1">IFERROR(__xludf.DUMMYFUNCTION("""COMPUTED_VALUE"""),"B")</f>
        <v>B</v>
      </c>
      <c r="E875" s="202" t="str">
        <f ca="1">IFERROR(__xludf.DUMMYFUNCTION("""COMPUTED_VALUE"""),"F")</f>
        <v>F</v>
      </c>
      <c r="F875" s="202" t="str">
        <f ca="1">IFERROR(__xludf.DUMMYFUNCTION("""COMPUTED_VALUE"""),"J")</f>
        <v>J</v>
      </c>
      <c r="G875" s="202">
        <f ca="1">IFERROR(__xludf.DUMMYFUNCTION("""COMPUTED_VALUE"""),6)</f>
        <v>6</v>
      </c>
      <c r="H875" s="206"/>
      <c r="I875" s="206">
        <v>19.95</v>
      </c>
      <c r="J875" s="206"/>
      <c r="K875" s="206" t="s">
        <v>121</v>
      </c>
      <c r="L875" s="206" t="str">
        <v xml:space="preserve"> 19.95</v>
      </c>
      <c r="M875" s="206" t="str">
        <v/>
      </c>
    </row>
    <row r="876" spans="1:13" ht="14.4">
      <c r="A876" s="199" t="str">
        <f ca="1">IFERROR(__xludf.DUMMYFUNCTION("""COMPUTED_VALUE"""),"HP")</f>
        <v>HP</v>
      </c>
      <c r="B876" s="207" t="str">
        <f ca="1">IFERROR(__xludf.DUMMYFUNCTION("""COMPUTED_VALUE"""),"Philip Stigliano")</f>
        <v>Philip Stigliano</v>
      </c>
      <c r="C876" s="199">
        <f ca="1">IFERROR(__xludf.DUMMYFUNCTION("""COMPUTED_VALUE"""),8)</f>
        <v>8</v>
      </c>
      <c r="D876" s="199" t="str">
        <f ca="1">IFERROR(__xludf.DUMMYFUNCTION("""COMPUTED_VALUE"""),"B")</f>
        <v>B</v>
      </c>
      <c r="E876" s="202" t="str">
        <f ca="1">IFERROR(__xludf.DUMMYFUNCTION("""COMPUTED_VALUE"""),"F")</f>
        <v>F</v>
      </c>
      <c r="F876" s="202" t="str">
        <f ca="1">IFERROR(__xludf.DUMMYFUNCTION("""COMPUTED_VALUE"""),"J")</f>
        <v>J</v>
      </c>
      <c r="G876" s="202">
        <f ca="1">IFERROR(__xludf.DUMMYFUNCTION("""COMPUTED_VALUE"""),6)</f>
        <v>6</v>
      </c>
      <c r="H876" s="208"/>
      <c r="I876" s="208">
        <v>59</v>
      </c>
      <c r="J876" s="208"/>
      <c r="K876" s="208" t="s">
        <v>121</v>
      </c>
      <c r="L876" s="208" t="str">
        <v xml:space="preserve"> 59</v>
      </c>
      <c r="M876" s="208" t="str">
        <v/>
      </c>
    </row>
    <row r="877" spans="1:13" ht="14.4">
      <c r="A877" s="199" t="str">
        <f ca="1">IFERROR(__xludf.DUMMYFUNCTION("""COMPUTED_VALUE"""),"HP")</f>
        <v>HP</v>
      </c>
      <c r="B877" s="207" t="str">
        <f ca="1">IFERROR(__xludf.DUMMYFUNCTION("""COMPUTED_VALUE"""),"Steven Knott")</f>
        <v>Steven Knott</v>
      </c>
      <c r="C877" s="199">
        <f ca="1">IFERROR(__xludf.DUMMYFUNCTION("""COMPUTED_VALUE"""),9)</f>
        <v>9</v>
      </c>
      <c r="D877" s="199" t="str">
        <f ca="1">IFERROR(__xludf.DUMMYFUNCTION("""COMPUTED_VALUE"""),"B")</f>
        <v>B</v>
      </c>
      <c r="E877" s="202" t="str">
        <f ca="1">IFERROR(__xludf.DUMMYFUNCTION("""COMPUTED_VALUE"""),"F")</f>
        <v>F</v>
      </c>
      <c r="F877" s="202" t="str">
        <f ca="1">IFERROR(__xludf.DUMMYFUNCTION("""COMPUTED_VALUE"""),"J")</f>
        <v>J</v>
      </c>
      <c r="G877" s="202">
        <f ca="1">IFERROR(__xludf.DUMMYFUNCTION("""COMPUTED_VALUE"""),6)</f>
        <v>6</v>
      </c>
      <c r="H877" s="206"/>
      <c r="I877" s="206"/>
      <c r="J877" s="206"/>
      <c r="K877" s="206"/>
      <c r="L877" s="206" t="str">
        <v/>
      </c>
      <c r="M877" s="206" t="str">
        <v/>
      </c>
    </row>
    <row r="878" spans="1:13" ht="14.4">
      <c r="A878" s="199" t="str">
        <f ca="1">IFERROR(__xludf.DUMMYFUNCTION("""COMPUTED_VALUE"""),"HP")</f>
        <v>HP</v>
      </c>
      <c r="B878" s="207" t="str">
        <f ca="1">IFERROR(__xludf.DUMMYFUNCTION("""COMPUTED_VALUE"""),"Teddy Anderson")</f>
        <v>Teddy Anderson</v>
      </c>
      <c r="C878" s="199">
        <f ca="1">IFERROR(__xludf.DUMMYFUNCTION("""COMPUTED_VALUE"""),9)</f>
        <v>9</v>
      </c>
      <c r="D878" s="199" t="str">
        <f ca="1">IFERROR(__xludf.DUMMYFUNCTION("""COMPUTED_VALUE"""),"B")</f>
        <v>B</v>
      </c>
      <c r="E878" s="202" t="str">
        <f ca="1">IFERROR(__xludf.DUMMYFUNCTION("""COMPUTED_VALUE"""),"F")</f>
        <v>F</v>
      </c>
      <c r="F878" s="202" t="str">
        <f ca="1">IFERROR(__xludf.DUMMYFUNCTION("""COMPUTED_VALUE"""),"J")</f>
        <v>J</v>
      </c>
      <c r="G878" s="202">
        <f ca="1">IFERROR(__xludf.DUMMYFUNCTION("""COMPUTED_VALUE"""),6)</f>
        <v>6</v>
      </c>
      <c r="H878" s="208"/>
      <c r="I878" s="208">
        <v>47.9</v>
      </c>
      <c r="J878" s="208"/>
      <c r="K878" s="208" t="s">
        <v>121</v>
      </c>
      <c r="L878" s="208" t="str">
        <v xml:space="preserve"> 47.9</v>
      </c>
      <c r="M878" s="208" t="str">
        <v/>
      </c>
    </row>
    <row r="879" spans="1:13" ht="14.4">
      <c r="A879" s="199" t="str">
        <f ca="1">IFERROR(__xludf.DUMMYFUNCTION("""COMPUTED_VALUE"""),"HP")</f>
        <v>HP</v>
      </c>
      <c r="B879" s="207" t="str">
        <f ca="1">IFERROR(__xludf.DUMMYFUNCTION("""COMPUTED_VALUE"""),"Theodore Romanosky")</f>
        <v>Theodore Romanosky</v>
      </c>
      <c r="C879" s="199">
        <f ca="1">IFERROR(__xludf.DUMMYFUNCTION("""COMPUTED_VALUE"""),8)</f>
        <v>8</v>
      </c>
      <c r="D879" s="199" t="str">
        <f ca="1">IFERROR(__xludf.DUMMYFUNCTION("""COMPUTED_VALUE"""),"B")</f>
        <v>B</v>
      </c>
      <c r="E879" s="202" t="str">
        <f ca="1">IFERROR(__xludf.DUMMYFUNCTION("""COMPUTED_VALUE"""),"F")</f>
        <v>F</v>
      </c>
      <c r="F879" s="202" t="str">
        <f ca="1">IFERROR(__xludf.DUMMYFUNCTION("""COMPUTED_VALUE"""),"J")</f>
        <v>J</v>
      </c>
      <c r="G879" s="202">
        <f ca="1">IFERROR(__xludf.DUMMYFUNCTION("""COMPUTED_VALUE"""),6)</f>
        <v>6</v>
      </c>
      <c r="H879" s="206"/>
      <c r="I879" s="206">
        <v>51.4</v>
      </c>
      <c r="J879" s="206"/>
      <c r="K879" s="206" t="s">
        <v>121</v>
      </c>
      <c r="L879" s="206" t="str">
        <v xml:space="preserve"> 51.4</v>
      </c>
      <c r="M879" s="206" t="str">
        <v/>
      </c>
    </row>
    <row r="880" spans="1:13" ht="14.4">
      <c r="A880" s="199" t="str">
        <f ca="1">IFERROR(__xludf.DUMMYFUNCTION("""COMPUTED_VALUE"""),"HP")</f>
        <v>HP</v>
      </c>
      <c r="B880" s="207" t="str">
        <f ca="1">IFERROR(__xludf.DUMMYFUNCTION("""COMPUTED_VALUE"""),"Bridget Snyder")</f>
        <v>Bridget Snyder</v>
      </c>
      <c r="C880" s="199">
        <f ca="1">IFERROR(__xludf.DUMMYFUNCTION("""COMPUTED_VALUE"""),6)</f>
        <v>6</v>
      </c>
      <c r="D880" s="199" t="str">
        <f ca="1">IFERROR(__xludf.DUMMYFUNCTION("""COMPUTED_VALUE"""),"G")</f>
        <v>G</v>
      </c>
      <c r="E880" s="202" t="str">
        <f ca="1">IFERROR(__xludf.DUMMYFUNCTION("""COMPUTED_VALUE"""),"F")</f>
        <v>F</v>
      </c>
      <c r="F880" s="202" t="str">
        <f ca="1">IFERROR(__xludf.DUMMYFUNCTION("""COMPUTED_VALUE"""),"J")</f>
        <v>J</v>
      </c>
      <c r="G880" s="202">
        <f ca="1">IFERROR(__xludf.DUMMYFUNCTION("""COMPUTED_VALUE"""),6)</f>
        <v>6</v>
      </c>
      <c r="H880" s="206">
        <v>25.75</v>
      </c>
      <c r="I880" s="206"/>
      <c r="J880" s="206" t="s">
        <v>121</v>
      </c>
      <c r="K880" s="206"/>
      <c r="L880" s="206" t="str">
        <v xml:space="preserve"> 25.75</v>
      </c>
      <c r="M880" s="206" t="str">
        <v/>
      </c>
    </row>
    <row r="881" spans="1:13" ht="14.4">
      <c r="A881" s="199" t="str">
        <f ca="1">IFERROR(__xludf.DUMMYFUNCTION("""COMPUTED_VALUE"""),"HP")</f>
        <v>HP</v>
      </c>
      <c r="B881" s="207" t="str">
        <f ca="1">IFERROR(__xludf.DUMMYFUNCTION("""COMPUTED_VALUE"""),"Caroline Todd")</f>
        <v>Caroline Todd</v>
      </c>
      <c r="C881" s="199">
        <f ca="1">IFERROR(__xludf.DUMMYFUNCTION("""COMPUTED_VALUE"""),7)</f>
        <v>7</v>
      </c>
      <c r="D881" s="199" t="str">
        <f ca="1">IFERROR(__xludf.DUMMYFUNCTION("""COMPUTED_VALUE"""),"G")</f>
        <v>G</v>
      </c>
      <c r="E881" s="202" t="str">
        <f ca="1">IFERROR(__xludf.DUMMYFUNCTION("""COMPUTED_VALUE"""),"F")</f>
        <v>F</v>
      </c>
      <c r="F881" s="202" t="str">
        <f ca="1">IFERROR(__xludf.DUMMYFUNCTION("""COMPUTED_VALUE"""),"J")</f>
        <v>J</v>
      </c>
      <c r="G881" s="202">
        <f ca="1">IFERROR(__xludf.DUMMYFUNCTION("""COMPUTED_VALUE"""),6)</f>
        <v>6</v>
      </c>
      <c r="H881" s="208">
        <v>49.65</v>
      </c>
      <c r="I881" s="208"/>
      <c r="J881" s="208" t="s">
        <v>121</v>
      </c>
      <c r="K881" s="208"/>
      <c r="L881" s="208" t="str">
        <v xml:space="preserve"> 49.65</v>
      </c>
      <c r="M881" s="208" t="str">
        <v/>
      </c>
    </row>
    <row r="882" spans="1:13" ht="14.4">
      <c r="A882" s="199" t="str">
        <f ca="1">IFERROR(__xludf.DUMMYFUNCTION("""COMPUTED_VALUE"""),"HP")</f>
        <v>HP</v>
      </c>
      <c r="B882" s="207" t="str">
        <f ca="1">IFERROR(__xludf.DUMMYFUNCTION("""COMPUTED_VALUE"""),"Clara Taylor")</f>
        <v>Clara Taylor</v>
      </c>
      <c r="C882" s="199">
        <f ca="1">IFERROR(__xludf.DUMMYFUNCTION("""COMPUTED_VALUE"""),8)</f>
        <v>8</v>
      </c>
      <c r="D882" s="199" t="str">
        <f ca="1">IFERROR(__xludf.DUMMYFUNCTION("""COMPUTED_VALUE"""),"G")</f>
        <v>G</v>
      </c>
      <c r="E882" s="202" t="str">
        <f ca="1">IFERROR(__xludf.DUMMYFUNCTION("""COMPUTED_VALUE"""),"F")</f>
        <v>F</v>
      </c>
      <c r="F882" s="202" t="str">
        <f ca="1">IFERROR(__xludf.DUMMYFUNCTION("""COMPUTED_VALUE"""),"J")</f>
        <v>J</v>
      </c>
      <c r="G882" s="202">
        <f ca="1">IFERROR(__xludf.DUMMYFUNCTION("""COMPUTED_VALUE"""),6)</f>
        <v>6</v>
      </c>
      <c r="H882" s="208" t="s">
        <v>122</v>
      </c>
      <c r="I882" s="208"/>
      <c r="J882" s="208" t="s">
        <v>121</v>
      </c>
      <c r="K882" s="208"/>
      <c r="L882" s="208" t="str">
        <v xml:space="preserve"> DQ</v>
      </c>
      <c r="M882" s="208" t="str">
        <v/>
      </c>
    </row>
    <row r="883" spans="1:13" ht="14.4">
      <c r="A883" s="199" t="str">
        <f ca="1">IFERROR(__xludf.DUMMYFUNCTION("""COMPUTED_VALUE"""),"HP")</f>
        <v>HP</v>
      </c>
      <c r="B883" s="207" t="str">
        <f ca="1">IFERROR(__xludf.DUMMYFUNCTION("""COMPUTED_VALUE"""),"Emily LaSalle")</f>
        <v>Emily LaSalle</v>
      </c>
      <c r="C883" s="199">
        <f ca="1">IFERROR(__xludf.DUMMYFUNCTION("""COMPUTED_VALUE"""),10)</f>
        <v>10</v>
      </c>
      <c r="D883" s="199" t="str">
        <f ca="1">IFERROR(__xludf.DUMMYFUNCTION("""COMPUTED_VALUE"""),"G")</f>
        <v>G</v>
      </c>
      <c r="E883" s="202" t="str">
        <f ca="1">IFERROR(__xludf.DUMMYFUNCTION("""COMPUTED_VALUE"""),"F")</f>
        <v>F</v>
      </c>
      <c r="F883" s="202" t="str">
        <f ca="1">IFERROR(__xludf.DUMMYFUNCTION("""COMPUTED_VALUE"""),"J")</f>
        <v>J</v>
      </c>
      <c r="G883" s="202">
        <f ca="1">IFERROR(__xludf.DUMMYFUNCTION("""COMPUTED_VALUE"""),6)</f>
        <v>6</v>
      </c>
      <c r="H883" s="206">
        <v>39</v>
      </c>
      <c r="I883" s="206"/>
      <c r="J883" s="206" t="s">
        <v>121</v>
      </c>
      <c r="K883" s="206"/>
      <c r="L883" s="206" t="str">
        <v xml:space="preserve"> 39</v>
      </c>
      <c r="M883" s="206" t="str">
        <v/>
      </c>
    </row>
    <row r="884" spans="1:13" ht="14.4">
      <c r="A884" s="199" t="str">
        <f ca="1">IFERROR(__xludf.DUMMYFUNCTION("""COMPUTED_VALUE"""),"HP")</f>
        <v>HP</v>
      </c>
      <c r="B884" s="207" t="str">
        <f ca="1">IFERROR(__xludf.DUMMYFUNCTION("""COMPUTED_VALUE"""),"Emmy Guy")</f>
        <v>Emmy Guy</v>
      </c>
      <c r="C884" s="199">
        <f ca="1">IFERROR(__xludf.DUMMYFUNCTION("""COMPUTED_VALUE"""),7)</f>
        <v>7</v>
      </c>
      <c r="D884" s="199" t="str">
        <f ca="1">IFERROR(__xludf.DUMMYFUNCTION("""COMPUTED_VALUE"""),"G")</f>
        <v>G</v>
      </c>
      <c r="E884" s="202" t="str">
        <f ca="1">IFERROR(__xludf.DUMMYFUNCTION("""COMPUTED_VALUE"""),"F")</f>
        <v>F</v>
      </c>
      <c r="F884" s="202" t="str">
        <f ca="1">IFERROR(__xludf.DUMMYFUNCTION("""COMPUTED_VALUE"""),"J")</f>
        <v>J</v>
      </c>
      <c r="G884" s="202">
        <f ca="1">IFERROR(__xludf.DUMMYFUNCTION("""COMPUTED_VALUE"""),6)</f>
        <v>6</v>
      </c>
      <c r="H884" s="208"/>
      <c r="I884" s="208"/>
      <c r="J884" s="208"/>
      <c r="K884" s="208"/>
      <c r="L884" s="208" t="str">
        <v/>
      </c>
      <c r="M884" s="208" t="str">
        <v/>
      </c>
    </row>
    <row r="885" spans="1:13" ht="14.4">
      <c r="A885" s="199" t="str">
        <f ca="1">IFERROR(__xludf.DUMMYFUNCTION("""COMPUTED_VALUE"""),"HP")</f>
        <v>HP</v>
      </c>
      <c r="B885" s="207" t="str">
        <f ca="1">IFERROR(__xludf.DUMMYFUNCTION("""COMPUTED_VALUE"""),"Imogene Cutts")</f>
        <v>Imogene Cutts</v>
      </c>
      <c r="C885" s="199">
        <f ca="1">IFERROR(__xludf.DUMMYFUNCTION("""COMPUTED_VALUE"""),6)</f>
        <v>6</v>
      </c>
      <c r="D885" s="199" t="str">
        <f ca="1">IFERROR(__xludf.DUMMYFUNCTION("""COMPUTED_VALUE"""),"G")</f>
        <v>G</v>
      </c>
      <c r="E885" s="202" t="str">
        <f ca="1">IFERROR(__xludf.DUMMYFUNCTION("""COMPUTED_VALUE"""),"F")</f>
        <v>F</v>
      </c>
      <c r="F885" s="202" t="str">
        <f ca="1">IFERROR(__xludf.DUMMYFUNCTION("""COMPUTED_VALUE"""),"J")</f>
        <v>J</v>
      </c>
      <c r="G885" s="202">
        <f ca="1">IFERROR(__xludf.DUMMYFUNCTION("""COMPUTED_VALUE"""),6)</f>
        <v>6</v>
      </c>
      <c r="H885" s="208"/>
      <c r="I885" s="208"/>
      <c r="J885" s="208"/>
      <c r="K885" s="208"/>
      <c r="L885" s="208" t="str">
        <v/>
      </c>
      <c r="M885" s="208" t="str">
        <v/>
      </c>
    </row>
    <row r="886" spans="1:13" ht="14.4">
      <c r="A886" s="199" t="str">
        <f ca="1">IFERROR(__xludf.DUMMYFUNCTION("""COMPUTED_VALUE"""),"HP")</f>
        <v>HP</v>
      </c>
      <c r="B886" s="207" t="str">
        <f ca="1">IFERROR(__xludf.DUMMYFUNCTION("""COMPUTED_VALUE"""),"Katie Lee Cutts")</f>
        <v>Katie Lee Cutts</v>
      </c>
      <c r="C886" s="199">
        <f ca="1">IFERROR(__xludf.DUMMYFUNCTION("""COMPUTED_VALUE"""),10)</f>
        <v>10</v>
      </c>
      <c r="D886" s="199" t="str">
        <f ca="1">IFERROR(__xludf.DUMMYFUNCTION("""COMPUTED_VALUE"""),"G")</f>
        <v>G</v>
      </c>
      <c r="E886" s="202" t="str">
        <f ca="1">IFERROR(__xludf.DUMMYFUNCTION("""COMPUTED_VALUE"""),"F")</f>
        <v>F</v>
      </c>
      <c r="F886" s="202" t="str">
        <f ca="1">IFERROR(__xludf.DUMMYFUNCTION("""COMPUTED_VALUE"""),"J")</f>
        <v>J</v>
      </c>
      <c r="G886" s="202">
        <f ca="1">IFERROR(__xludf.DUMMYFUNCTION("""COMPUTED_VALUE"""),6)</f>
        <v>6</v>
      </c>
      <c r="H886" s="208">
        <v>63.85</v>
      </c>
      <c r="I886" s="208"/>
      <c r="J886" s="208" t="s">
        <v>121</v>
      </c>
      <c r="K886" s="208"/>
      <c r="L886" s="208" t="str">
        <v xml:space="preserve"> 63.85</v>
      </c>
      <c r="M886" s="208" t="str">
        <v/>
      </c>
    </row>
    <row r="887" spans="1:13" ht="14.4">
      <c r="A887" s="199" t="str">
        <f ca="1">IFERROR(__xludf.DUMMYFUNCTION("""COMPUTED_VALUE"""),"HP")</f>
        <v>HP</v>
      </c>
      <c r="B887" s="207" t="str">
        <f ca="1">IFERROR(__xludf.DUMMYFUNCTION("""COMPUTED_VALUE"""),"Leah Jandrain")</f>
        <v>Leah Jandrain</v>
      </c>
      <c r="C887" s="199">
        <f ca="1">IFERROR(__xludf.DUMMYFUNCTION("""COMPUTED_VALUE"""),8)</f>
        <v>8</v>
      </c>
      <c r="D887" s="199" t="str">
        <f ca="1">IFERROR(__xludf.DUMMYFUNCTION("""COMPUTED_VALUE"""),"G")</f>
        <v>G</v>
      </c>
      <c r="E887" s="202" t="str">
        <f ca="1">IFERROR(__xludf.DUMMYFUNCTION("""COMPUTED_VALUE"""),"F")</f>
        <v>F</v>
      </c>
      <c r="F887" s="202" t="str">
        <f ca="1">IFERROR(__xludf.DUMMYFUNCTION("""COMPUTED_VALUE"""),"J")</f>
        <v>J</v>
      </c>
      <c r="G887" s="202">
        <f ca="1">IFERROR(__xludf.DUMMYFUNCTION("""COMPUTED_VALUE"""),6)</f>
        <v>6</v>
      </c>
      <c r="H887" s="206">
        <v>37.200000000000003</v>
      </c>
      <c r="I887" s="206"/>
      <c r="J887" s="206" t="s">
        <v>121</v>
      </c>
      <c r="K887" s="206"/>
      <c r="L887" s="206" t="str">
        <v xml:space="preserve"> 37.2</v>
      </c>
      <c r="M887" s="206" t="str">
        <v/>
      </c>
    </row>
    <row r="888" spans="1:13" ht="14.4">
      <c r="A888" s="199" t="str">
        <f ca="1">IFERROR(__xludf.DUMMYFUNCTION("""COMPUTED_VALUE"""),"HP")</f>
        <v>HP</v>
      </c>
      <c r="B888" s="207" t="str">
        <f ca="1">IFERROR(__xludf.DUMMYFUNCTION("""COMPUTED_VALUE"""),"Maddy Guy")</f>
        <v>Maddy Guy</v>
      </c>
      <c r="C888" s="199">
        <f ca="1">IFERROR(__xludf.DUMMYFUNCTION("""COMPUTED_VALUE"""),8)</f>
        <v>8</v>
      </c>
      <c r="D888" s="199" t="str">
        <f ca="1">IFERROR(__xludf.DUMMYFUNCTION("""COMPUTED_VALUE"""),"G")</f>
        <v>G</v>
      </c>
      <c r="E888" s="202" t="str">
        <f ca="1">IFERROR(__xludf.DUMMYFUNCTION("""COMPUTED_VALUE"""),"F")</f>
        <v>F</v>
      </c>
      <c r="F888" s="202" t="str">
        <f ca="1">IFERROR(__xludf.DUMMYFUNCTION("""COMPUTED_VALUE"""),"J")</f>
        <v>J</v>
      </c>
      <c r="G888" s="202">
        <f ca="1">IFERROR(__xludf.DUMMYFUNCTION("""COMPUTED_VALUE"""),6)</f>
        <v>6</v>
      </c>
      <c r="H888" s="206">
        <v>49.75</v>
      </c>
      <c r="I888" s="206"/>
      <c r="J888" s="206" t="s">
        <v>121</v>
      </c>
      <c r="K888" s="206"/>
      <c r="L888" s="206" t="str">
        <v xml:space="preserve"> 49.75</v>
      </c>
      <c r="M888" s="206" t="str">
        <v/>
      </c>
    </row>
    <row r="889" spans="1:13" ht="14.4">
      <c r="A889" s="199" t="str">
        <f ca="1">IFERROR(__xludf.DUMMYFUNCTION("""COMPUTED_VALUE"""),"HP")</f>
        <v>HP</v>
      </c>
      <c r="B889" s="207" t="str">
        <f ca="1">IFERROR(__xludf.DUMMYFUNCTION("""COMPUTED_VALUE"""),"Molly Foster")</f>
        <v>Molly Foster</v>
      </c>
      <c r="C889" s="199">
        <f ca="1">IFERROR(__xludf.DUMMYFUNCTION("""COMPUTED_VALUE"""),8)</f>
        <v>8</v>
      </c>
      <c r="D889" s="199" t="str">
        <f ca="1">IFERROR(__xludf.DUMMYFUNCTION("""COMPUTED_VALUE"""),"G")</f>
        <v>G</v>
      </c>
      <c r="E889" s="202" t="str">
        <f ca="1">IFERROR(__xludf.DUMMYFUNCTION("""COMPUTED_VALUE"""),"F")</f>
        <v>F</v>
      </c>
      <c r="F889" s="202" t="str">
        <f ca="1">IFERROR(__xludf.DUMMYFUNCTION("""COMPUTED_VALUE"""),"J")</f>
        <v>J</v>
      </c>
      <c r="G889" s="202">
        <f ca="1">IFERROR(__xludf.DUMMYFUNCTION("""COMPUTED_VALUE"""),6)</f>
        <v>6</v>
      </c>
      <c r="H889" s="208">
        <v>43.05</v>
      </c>
      <c r="I889" s="208"/>
      <c r="J889" s="208" t="s">
        <v>121</v>
      </c>
      <c r="K889" s="208"/>
      <c r="L889" s="208" t="str">
        <v xml:space="preserve"> 43.05</v>
      </c>
      <c r="M889" s="208" t="str">
        <v/>
      </c>
    </row>
    <row r="890" spans="1:13" ht="14.4">
      <c r="A890" s="199" t="str">
        <f ca="1">IFERROR(__xludf.DUMMYFUNCTION("""COMPUTED_VALUE"""),"HP")</f>
        <v>HP</v>
      </c>
      <c r="B890" s="207" t="str">
        <f ca="1">IFERROR(__xludf.DUMMYFUNCTION("""COMPUTED_VALUE"""),"Peyton Anderson")</f>
        <v>Peyton Anderson</v>
      </c>
      <c r="C890" s="199">
        <f ca="1">IFERROR(__xludf.DUMMYFUNCTION("""COMPUTED_VALUE"""),7)</f>
        <v>7</v>
      </c>
      <c r="D890" s="199" t="str">
        <f ca="1">IFERROR(__xludf.DUMMYFUNCTION("""COMPUTED_VALUE"""),"G")</f>
        <v>G</v>
      </c>
      <c r="E890" s="202" t="str">
        <f ca="1">IFERROR(__xludf.DUMMYFUNCTION("""COMPUTED_VALUE"""),"F")</f>
        <v>F</v>
      </c>
      <c r="F890" s="202" t="str">
        <f ca="1">IFERROR(__xludf.DUMMYFUNCTION("""COMPUTED_VALUE"""),"J")</f>
        <v>J</v>
      </c>
      <c r="G890" s="202">
        <f ca="1">IFERROR(__xludf.DUMMYFUNCTION("""COMPUTED_VALUE"""),6)</f>
        <v>6</v>
      </c>
      <c r="H890" s="206">
        <v>22.2</v>
      </c>
      <c r="I890" s="206"/>
      <c r="J890" s="206" t="s">
        <v>121</v>
      </c>
      <c r="K890" s="206"/>
      <c r="L890" s="206" t="str">
        <v xml:space="preserve"> 22.2</v>
      </c>
      <c r="M890" s="206" t="str">
        <v/>
      </c>
    </row>
    <row r="891" spans="1:13" ht="14.4">
      <c r="A891" s="199" t="str">
        <f ca="1">IFERROR(__xludf.DUMMYFUNCTION("""COMPUTED_VALUE"""),"HP")</f>
        <v>HP</v>
      </c>
      <c r="B891" s="207" t="str">
        <f ca="1">IFERROR(__xludf.DUMMYFUNCTION("""COMPUTED_VALUE"""),"Phoebe Guy")</f>
        <v>Phoebe Guy</v>
      </c>
      <c r="C891" s="199">
        <f ca="1">IFERROR(__xludf.DUMMYFUNCTION("""COMPUTED_VALUE"""),9)</f>
        <v>9</v>
      </c>
      <c r="D891" s="199" t="str">
        <f ca="1">IFERROR(__xludf.DUMMYFUNCTION("""COMPUTED_VALUE"""),"G")</f>
        <v>G</v>
      </c>
      <c r="E891" s="202" t="str">
        <f ca="1">IFERROR(__xludf.DUMMYFUNCTION("""COMPUTED_VALUE"""),"F")</f>
        <v>F</v>
      </c>
      <c r="F891" s="202" t="str">
        <f ca="1">IFERROR(__xludf.DUMMYFUNCTION("""COMPUTED_VALUE"""),"J")</f>
        <v>J</v>
      </c>
      <c r="G891" s="202">
        <f ca="1">IFERROR(__xludf.DUMMYFUNCTION("""COMPUTED_VALUE"""),6)</f>
        <v>6</v>
      </c>
      <c r="H891" s="206">
        <v>45.25</v>
      </c>
      <c r="I891" s="206"/>
      <c r="J891" s="206" t="s">
        <v>121</v>
      </c>
      <c r="K891" s="206"/>
      <c r="L891" s="206" t="str">
        <v xml:space="preserve"> 45.25</v>
      </c>
      <c r="M891" s="206" t="str">
        <v/>
      </c>
    </row>
    <row r="892" spans="1:13" ht="14.4">
      <c r="A892" s="199" t="str">
        <f ca="1">IFERROR(__xludf.DUMMYFUNCTION("""COMPUTED_VALUE"""),"HP")</f>
        <v>HP</v>
      </c>
      <c r="B892" s="207" t="str">
        <f ca="1">IFERROR(__xludf.DUMMYFUNCTION("""COMPUTED_VALUE"""),"Desmond Damico Lassman")</f>
        <v>Desmond Damico Lassman</v>
      </c>
      <c r="C892" s="199">
        <f ca="1">IFERROR(__xludf.DUMMYFUNCTION("""COMPUTED_VALUE"""),14)</f>
        <v>14</v>
      </c>
      <c r="D892" s="199" t="str">
        <f ca="1">IFERROR(__xludf.DUMMYFUNCTION("""COMPUTED_VALUE"""),"B")</f>
        <v>B</v>
      </c>
      <c r="E892" s="202" t="str">
        <f ca="1">IFERROR(__xludf.DUMMYFUNCTION("""COMPUTED_VALUE"""),"I")</f>
        <v>I</v>
      </c>
      <c r="F892" s="202" t="str">
        <f ca="1">IFERROR(__xludf.DUMMYFUNCTION("""COMPUTED_VALUE"""),"S")</f>
        <v>S</v>
      </c>
      <c r="G892" s="202">
        <f ca="1">IFERROR(__xludf.DUMMYFUNCTION("""COMPUTED_VALUE"""),6)</f>
        <v>6</v>
      </c>
      <c r="H892" s="206"/>
      <c r="I892" s="206">
        <v>111.5</v>
      </c>
      <c r="J892" s="206"/>
      <c r="K892" s="206" t="s">
        <v>121</v>
      </c>
      <c r="L892" s="206" t="str">
        <v xml:space="preserve"> 111.5</v>
      </c>
      <c r="M892" s="206" t="str">
        <v/>
      </c>
    </row>
    <row r="893" spans="1:13" ht="14.4">
      <c r="A893" s="199" t="str">
        <f ca="1">IFERROR(__xludf.DUMMYFUNCTION("""COMPUTED_VALUE"""),"HP")</f>
        <v>HP</v>
      </c>
      <c r="B893" s="207" t="str">
        <f ca="1">IFERROR(__xludf.DUMMYFUNCTION("""COMPUTED_VALUE"""),"Mac Coulby")</f>
        <v>Mac Coulby</v>
      </c>
      <c r="C893" s="199">
        <f ca="1">IFERROR(__xludf.DUMMYFUNCTION("""COMPUTED_VALUE"""),14)</f>
        <v>14</v>
      </c>
      <c r="D893" s="199" t="str">
        <f ca="1">IFERROR(__xludf.DUMMYFUNCTION("""COMPUTED_VALUE"""),"B")</f>
        <v>B</v>
      </c>
      <c r="E893" s="202" t="str">
        <f ca="1">IFERROR(__xludf.DUMMYFUNCTION("""COMPUTED_VALUE"""),"I")</f>
        <v>I</v>
      </c>
      <c r="F893" s="202" t="str">
        <f ca="1">IFERROR(__xludf.DUMMYFUNCTION("""COMPUTED_VALUE"""),"S")</f>
        <v>S</v>
      </c>
      <c r="G893" s="202">
        <f ca="1">IFERROR(__xludf.DUMMYFUNCTION("""COMPUTED_VALUE"""),6)</f>
        <v>6</v>
      </c>
      <c r="H893" s="208"/>
      <c r="I893" s="208"/>
      <c r="J893" s="208"/>
      <c r="K893" s="208"/>
      <c r="L893" s="208" t="str">
        <v/>
      </c>
      <c r="M893" s="208" t="str">
        <v/>
      </c>
    </row>
    <row r="894" spans="1:13" ht="14.4">
      <c r="A894" s="199" t="str">
        <f ca="1">IFERROR(__xludf.DUMMYFUNCTION("""COMPUTED_VALUE"""),"HP")</f>
        <v>HP</v>
      </c>
      <c r="B894" s="207" t="str">
        <f ca="1">IFERROR(__xludf.DUMMYFUNCTION("""COMPUTED_VALUE"""),"Ginny Coulby")</f>
        <v>Ginny Coulby</v>
      </c>
      <c r="C894" s="199">
        <f ca="1">IFERROR(__xludf.DUMMYFUNCTION("""COMPUTED_VALUE"""),14)</f>
        <v>14</v>
      </c>
      <c r="D894" s="199" t="str">
        <f ca="1">IFERROR(__xludf.DUMMYFUNCTION("""COMPUTED_VALUE"""),"G")</f>
        <v>G</v>
      </c>
      <c r="E894" s="202" t="str">
        <f ca="1">IFERROR(__xludf.DUMMYFUNCTION("""COMPUTED_VALUE"""),"I")</f>
        <v>I</v>
      </c>
      <c r="F894" s="202" t="str">
        <f ca="1">IFERROR(__xludf.DUMMYFUNCTION("""COMPUTED_VALUE"""),"S")</f>
        <v>S</v>
      </c>
      <c r="G894" s="202">
        <f ca="1">IFERROR(__xludf.DUMMYFUNCTION("""COMPUTED_VALUE"""),6)</f>
        <v>6</v>
      </c>
      <c r="H894" s="206">
        <v>107.25</v>
      </c>
      <c r="I894" s="206"/>
      <c r="J894" s="206" t="s">
        <v>121</v>
      </c>
      <c r="K894" s="206"/>
      <c r="L894" s="206" t="str">
        <v xml:space="preserve"> 107.25</v>
      </c>
      <c r="M894" s="206" t="str">
        <v/>
      </c>
    </row>
    <row r="895" spans="1:13" ht="14.4">
      <c r="A895" s="199" t="str">
        <f ca="1">IFERROR(__xludf.DUMMYFUNCTION("""COMPUTED_VALUE"""),"HP")</f>
        <v>HP</v>
      </c>
      <c r="B895" s="207" t="str">
        <f ca="1">IFERROR(__xludf.DUMMYFUNCTION("""COMPUTED_VALUE"""),"Josephine Damico Lassman")</f>
        <v>Josephine Damico Lassman</v>
      </c>
      <c r="C895" s="199">
        <f ca="1">IFERROR(__xludf.DUMMYFUNCTION("""COMPUTED_VALUE"""),14)</f>
        <v>14</v>
      </c>
      <c r="D895" s="199" t="str">
        <f ca="1">IFERROR(__xludf.DUMMYFUNCTION("""COMPUTED_VALUE"""),"G")</f>
        <v>G</v>
      </c>
      <c r="E895" s="202" t="str">
        <f ca="1">IFERROR(__xludf.DUMMYFUNCTION("""COMPUTED_VALUE"""),"I")</f>
        <v>I</v>
      </c>
      <c r="F895" s="202" t="str">
        <f ca="1">IFERROR(__xludf.DUMMYFUNCTION("""COMPUTED_VALUE"""),"S")</f>
        <v>S</v>
      </c>
      <c r="G895" s="202">
        <f ca="1">IFERROR(__xludf.DUMMYFUNCTION("""COMPUTED_VALUE"""),6)</f>
        <v>6</v>
      </c>
      <c r="H895" s="206">
        <v>119.55</v>
      </c>
      <c r="I895" s="206"/>
      <c r="J895" s="206" t="s">
        <v>121</v>
      </c>
      <c r="K895" s="206"/>
      <c r="L895" s="206" t="str">
        <v xml:space="preserve"> 119.55</v>
      </c>
      <c r="M895" s="206" t="str">
        <v/>
      </c>
    </row>
    <row r="896" spans="1:13" ht="14.4">
      <c r="A896" s="199" t="str">
        <f ca="1">IFERROR(__xludf.DUMMYFUNCTION("""COMPUTED_VALUE"""),"HP")</f>
        <v>HP</v>
      </c>
      <c r="B896" s="207" t="str">
        <f ca="1">IFERROR(__xludf.DUMMYFUNCTION("""COMPUTED_VALUE"""),"Karsten Tregaskis Gordon")</f>
        <v>Karsten Tregaskis Gordon</v>
      </c>
      <c r="C896" s="199">
        <f ca="1">IFERROR(__xludf.DUMMYFUNCTION("""COMPUTED_VALUE"""),11)</f>
        <v>11</v>
      </c>
      <c r="D896" s="199" t="str">
        <f ca="1">IFERROR(__xludf.DUMMYFUNCTION("""COMPUTED_VALUE"""),"B")</f>
        <v>B</v>
      </c>
      <c r="E896" s="202" t="str">
        <f ca="1">IFERROR(__xludf.DUMMYFUNCTION("""COMPUTED_VALUE"""),"J")</f>
        <v>J</v>
      </c>
      <c r="F896" s="202" t="str">
        <f ca="1">IFERROR(__xludf.DUMMYFUNCTION("""COMPUTED_VALUE"""),"I")</f>
        <v>I</v>
      </c>
      <c r="G896" s="202">
        <f ca="1">IFERROR(__xludf.DUMMYFUNCTION("""COMPUTED_VALUE"""),6)</f>
        <v>6</v>
      </c>
      <c r="H896" s="206"/>
      <c r="I896" s="206"/>
      <c r="J896" s="206"/>
      <c r="K896" s="206"/>
      <c r="L896" s="206" t="str">
        <v/>
      </c>
      <c r="M896" s="206" t="str">
        <v/>
      </c>
    </row>
    <row r="897" spans="1:13" ht="14.4">
      <c r="A897" s="199" t="str">
        <f ca="1">IFERROR(__xludf.DUMMYFUNCTION("""COMPUTED_VALUE"""),"HP")</f>
        <v>HP</v>
      </c>
      <c r="B897" s="207" t="str">
        <f ca="1">IFERROR(__xludf.DUMMYFUNCTION("""COMPUTED_VALUE"""),"Nate Anderson")</f>
        <v>Nate Anderson</v>
      </c>
      <c r="C897" s="199">
        <f ca="1">IFERROR(__xludf.DUMMYFUNCTION("""COMPUTED_VALUE"""),12)</f>
        <v>12</v>
      </c>
      <c r="D897" s="199" t="str">
        <f ca="1">IFERROR(__xludf.DUMMYFUNCTION("""COMPUTED_VALUE"""),"B")</f>
        <v>B</v>
      </c>
      <c r="E897" s="202" t="str">
        <f ca="1">IFERROR(__xludf.DUMMYFUNCTION("""COMPUTED_VALUE"""),"J")</f>
        <v>J</v>
      </c>
      <c r="F897" s="202" t="str">
        <f ca="1">IFERROR(__xludf.DUMMYFUNCTION("""COMPUTED_VALUE"""),"I")</f>
        <v>I</v>
      </c>
      <c r="G897" s="202">
        <f ca="1">IFERROR(__xludf.DUMMYFUNCTION("""COMPUTED_VALUE"""),6)</f>
        <v>6</v>
      </c>
      <c r="H897" s="206"/>
      <c r="I897" s="206">
        <v>59.95</v>
      </c>
      <c r="J897" s="206"/>
      <c r="K897" s="206" t="s">
        <v>123</v>
      </c>
      <c r="L897" s="206" t="str">
        <v xml:space="preserve"> -59.95</v>
      </c>
      <c r="M897" s="206" t="str">
        <v>^</v>
      </c>
    </row>
    <row r="898" spans="1:13" ht="14.4">
      <c r="A898" s="199" t="str">
        <f ca="1">IFERROR(__xludf.DUMMYFUNCTION("""COMPUTED_VALUE"""),"HP")</f>
        <v>HP</v>
      </c>
      <c r="B898" s="207" t="str">
        <f ca="1">IFERROR(__xludf.DUMMYFUNCTION("""COMPUTED_VALUE"""),"Tobias Damico Lassman")</f>
        <v>Tobias Damico Lassman</v>
      </c>
      <c r="C898" s="199">
        <f ca="1">IFERROR(__xludf.DUMMYFUNCTION("""COMPUTED_VALUE"""),12)</f>
        <v>12</v>
      </c>
      <c r="D898" s="199" t="str">
        <f ca="1">IFERROR(__xludf.DUMMYFUNCTION("""COMPUTED_VALUE"""),"B")</f>
        <v>B</v>
      </c>
      <c r="E898" s="202" t="str">
        <f ca="1">IFERROR(__xludf.DUMMYFUNCTION("""COMPUTED_VALUE"""),"J")</f>
        <v>J</v>
      </c>
      <c r="F898" s="202" t="str">
        <f ca="1">IFERROR(__xludf.DUMMYFUNCTION("""COMPUTED_VALUE"""),"I")</f>
        <v>I</v>
      </c>
      <c r="G898" s="202">
        <f ca="1">IFERROR(__xludf.DUMMYFUNCTION("""COMPUTED_VALUE"""),6)</f>
        <v>6</v>
      </c>
      <c r="H898" s="206"/>
      <c r="I898" s="206"/>
      <c r="J898" s="206"/>
      <c r="K898" s="206"/>
      <c r="L898" s="206" t="str">
        <v/>
      </c>
      <c r="M898" s="206" t="str">
        <v/>
      </c>
    </row>
    <row r="899" spans="1:13" ht="14.4">
      <c r="A899" s="199" t="str">
        <f ca="1">IFERROR(__xludf.DUMMYFUNCTION("""COMPUTED_VALUE"""),"HP")</f>
        <v>HP</v>
      </c>
      <c r="B899" s="207" t="str">
        <f ca="1">IFERROR(__xludf.DUMMYFUNCTION("""COMPUTED_VALUE"""),"Launa Goodbar")</f>
        <v>Launa Goodbar</v>
      </c>
      <c r="C899" s="199">
        <f ca="1">IFERROR(__xludf.DUMMYFUNCTION("""COMPUTED_VALUE"""),12)</f>
        <v>12</v>
      </c>
      <c r="D899" s="199" t="str">
        <f ca="1">IFERROR(__xludf.DUMMYFUNCTION("""COMPUTED_VALUE"""),"G")</f>
        <v>G</v>
      </c>
      <c r="E899" s="202" t="str">
        <f ca="1">IFERROR(__xludf.DUMMYFUNCTION("""COMPUTED_VALUE"""),"J")</f>
        <v>J</v>
      </c>
      <c r="F899" s="202" t="str">
        <f ca="1">IFERROR(__xludf.DUMMYFUNCTION("""COMPUTED_VALUE"""),"I")</f>
        <v>I</v>
      </c>
      <c r="G899" s="202">
        <f ca="1">IFERROR(__xludf.DUMMYFUNCTION("""COMPUTED_VALUE"""),6)</f>
        <v>6</v>
      </c>
      <c r="H899" s="208"/>
      <c r="I899" s="208"/>
      <c r="J899" s="208"/>
      <c r="K899" s="208"/>
      <c r="L899" s="208" t="str">
        <v/>
      </c>
      <c r="M899" s="208" t="str">
        <v/>
      </c>
    </row>
    <row r="900" spans="1:13" ht="14.4">
      <c r="A900" s="199" t="str">
        <f ca="1">IFERROR(__xludf.DUMMYFUNCTION("""COMPUTED_VALUE"""),"HP")</f>
        <v>HP</v>
      </c>
      <c r="B900" s="207" t="str">
        <f ca="1">IFERROR(__xludf.DUMMYFUNCTION("""COMPUTED_VALUE"""),"Lily Coulby")</f>
        <v>Lily Coulby</v>
      </c>
      <c r="C900" s="199">
        <f ca="1">IFERROR(__xludf.DUMMYFUNCTION("""COMPUTED_VALUE"""),12)</f>
        <v>12</v>
      </c>
      <c r="D900" s="199" t="str">
        <f ca="1">IFERROR(__xludf.DUMMYFUNCTION("""COMPUTED_VALUE"""),"G")</f>
        <v>G</v>
      </c>
      <c r="E900" s="202" t="str">
        <f ca="1">IFERROR(__xludf.DUMMYFUNCTION("""COMPUTED_VALUE"""),"J")</f>
        <v>J</v>
      </c>
      <c r="F900" s="202" t="str">
        <f ca="1">IFERROR(__xludf.DUMMYFUNCTION("""COMPUTED_VALUE"""),"I")</f>
        <v>I</v>
      </c>
      <c r="G900" s="202">
        <f ca="1">IFERROR(__xludf.DUMMYFUNCTION("""COMPUTED_VALUE"""),6)</f>
        <v>6</v>
      </c>
      <c r="H900" s="206">
        <v>84.35</v>
      </c>
      <c r="I900" s="206"/>
      <c r="J900" s="206" t="s">
        <v>121</v>
      </c>
      <c r="K900" s="206"/>
      <c r="L900" s="206" t="str">
        <v xml:space="preserve"> 84.35</v>
      </c>
      <c r="M900" s="206" t="str">
        <v/>
      </c>
    </row>
    <row r="901" spans="1:13" ht="14.4">
      <c r="A901" s="199" t="str">
        <f ca="1">IFERROR(__xludf.DUMMYFUNCTION("""COMPUTED_VALUE"""),"HP")</f>
        <v>HP</v>
      </c>
      <c r="B901" s="207" t="str">
        <f ca="1">IFERROR(__xludf.DUMMYFUNCTION("""COMPUTED_VALUE"""),"Lina Elbekri")</f>
        <v>Lina Elbekri</v>
      </c>
      <c r="C901" s="199">
        <f ca="1">IFERROR(__xludf.DUMMYFUNCTION("""COMPUTED_VALUE"""),11)</f>
        <v>11</v>
      </c>
      <c r="D901" s="199" t="str">
        <f ca="1">IFERROR(__xludf.DUMMYFUNCTION("""COMPUTED_VALUE"""),"G")</f>
        <v>G</v>
      </c>
      <c r="E901" s="202" t="str">
        <f ca="1">IFERROR(__xludf.DUMMYFUNCTION("""COMPUTED_VALUE"""),"J")</f>
        <v>J</v>
      </c>
      <c r="F901" s="202" t="str">
        <f ca="1">IFERROR(__xludf.DUMMYFUNCTION("""COMPUTED_VALUE"""),"I")</f>
        <v>I</v>
      </c>
      <c r="G901" s="202">
        <f ca="1">IFERROR(__xludf.DUMMYFUNCTION("""COMPUTED_VALUE"""),6)</f>
        <v>6</v>
      </c>
      <c r="H901" s="206">
        <v>62.55</v>
      </c>
      <c r="I901" s="206"/>
      <c r="J901" s="206" t="s">
        <v>121</v>
      </c>
      <c r="K901" s="206"/>
      <c r="L901" s="206" t="str">
        <v xml:space="preserve"> 62.55</v>
      </c>
      <c r="M901" s="206" t="str">
        <v/>
      </c>
    </row>
    <row r="902" spans="1:13" ht="14.4">
      <c r="A902" s="199" t="str">
        <f ca="1">IFERROR(__xludf.DUMMYFUNCTION("""COMPUTED_VALUE"""),"HP")</f>
        <v>HP</v>
      </c>
      <c r="B902" s="207" t="str">
        <f ca="1">IFERROR(__xludf.DUMMYFUNCTION("""COMPUTED_VALUE"""),"Mabel Margolis")</f>
        <v>Mabel Margolis</v>
      </c>
      <c r="C902" s="199">
        <f ca="1">IFERROR(__xludf.DUMMYFUNCTION("""COMPUTED_VALUE"""),12)</f>
        <v>12</v>
      </c>
      <c r="D902" s="199" t="str">
        <f ca="1">IFERROR(__xludf.DUMMYFUNCTION("""COMPUTED_VALUE"""),"G")</f>
        <v>G</v>
      </c>
      <c r="E902" s="202" t="str">
        <f ca="1">IFERROR(__xludf.DUMMYFUNCTION("""COMPUTED_VALUE"""),"J")</f>
        <v>J</v>
      </c>
      <c r="F902" s="202" t="str">
        <f ca="1">IFERROR(__xludf.DUMMYFUNCTION("""COMPUTED_VALUE"""),"I")</f>
        <v>I</v>
      </c>
      <c r="G902" s="202">
        <f ca="1">IFERROR(__xludf.DUMMYFUNCTION("""COMPUTED_VALUE"""),6)</f>
        <v>6</v>
      </c>
      <c r="H902" s="206"/>
      <c r="I902" s="206"/>
      <c r="J902" s="206"/>
      <c r="K902" s="206"/>
      <c r="L902" s="206" t="str">
        <v/>
      </c>
      <c r="M902" s="206" t="str">
        <v/>
      </c>
    </row>
    <row r="903" spans="1:13" ht="14.4">
      <c r="A903" s="199" t="str">
        <f ca="1">IFERROR(__xludf.DUMMYFUNCTION("""COMPUTED_VALUE"""),"HP")</f>
        <v>HP</v>
      </c>
      <c r="B903" s="207" t="str">
        <f ca="1">IFERROR(__xludf.DUMMYFUNCTION("""COMPUTED_VALUE"""),"Piper Guy")</f>
        <v>Piper Guy</v>
      </c>
      <c r="C903" s="199">
        <f ca="1">IFERROR(__xludf.DUMMYFUNCTION("""COMPUTED_VALUE"""),11)</f>
        <v>11</v>
      </c>
      <c r="D903" s="199" t="str">
        <f ca="1">IFERROR(__xludf.DUMMYFUNCTION("""COMPUTED_VALUE"""),"G")</f>
        <v>G</v>
      </c>
      <c r="E903" s="202" t="str">
        <f ca="1">IFERROR(__xludf.DUMMYFUNCTION("""COMPUTED_VALUE"""),"J")</f>
        <v>J</v>
      </c>
      <c r="F903" s="202" t="str">
        <f ca="1">IFERROR(__xludf.DUMMYFUNCTION("""COMPUTED_VALUE"""),"I")</f>
        <v>I</v>
      </c>
      <c r="G903" s="202">
        <f ca="1">IFERROR(__xludf.DUMMYFUNCTION("""COMPUTED_VALUE"""),6)</f>
        <v>6</v>
      </c>
      <c r="H903" s="208">
        <v>70.05</v>
      </c>
      <c r="I903" s="208"/>
      <c r="J903" s="208" t="s">
        <v>121</v>
      </c>
      <c r="K903" s="208"/>
      <c r="L903" s="208" t="str">
        <v xml:space="preserve"> 70.05</v>
      </c>
      <c r="M903" s="208" t="str">
        <v/>
      </c>
    </row>
    <row r="904" spans="1:13" ht="14.4">
      <c r="A904" s="199" t="str">
        <f ca="1">IFERROR(__xludf.DUMMYFUNCTION("""COMPUTED_VALUE"""),"HP")</f>
        <v>HP</v>
      </c>
      <c r="B904" s="207" t="str">
        <f ca="1">IFERROR(__xludf.DUMMYFUNCTION("""COMPUTED_VALUE"""),"Brett Townsend")</f>
        <v>Brett Townsend</v>
      </c>
      <c r="C904" s="199">
        <f ca="1">IFERROR(__xludf.DUMMYFUNCTION("""COMPUTED_VALUE"""),15)</f>
        <v>15</v>
      </c>
      <c r="D904" s="199" t="str">
        <f ca="1">IFERROR(__xludf.DUMMYFUNCTION("""COMPUTED_VALUE"""),"B")</f>
        <v>B</v>
      </c>
      <c r="E904" s="202" t="str">
        <f ca="1">IFERROR(__xludf.DUMMYFUNCTION("""COMPUTED_VALUE"""),"S")</f>
        <v>S</v>
      </c>
      <c r="F904" s="202" t="str">
        <f ca="1">IFERROR(__xludf.DUMMYFUNCTION("""COMPUTED_VALUE"""),"S")</f>
        <v>S</v>
      </c>
      <c r="G904" s="202">
        <f ca="1">IFERROR(__xludf.DUMMYFUNCTION("""COMPUTED_VALUE"""),6)</f>
        <v>6</v>
      </c>
      <c r="H904" s="206"/>
      <c r="I904" s="206"/>
      <c r="J904" s="206"/>
      <c r="K904" s="206"/>
      <c r="L904" s="206" t="str">
        <v/>
      </c>
      <c r="M904" s="206" t="str">
        <v/>
      </c>
    </row>
    <row r="905" spans="1:13" ht="14.4">
      <c r="A905" s="199" t="str">
        <f ca="1">IFERROR(__xludf.DUMMYFUNCTION("""COMPUTED_VALUE"""),"HP")</f>
        <v>HP</v>
      </c>
      <c r="B905" s="207" t="str">
        <f ca="1">IFERROR(__xludf.DUMMYFUNCTION("""COMPUTED_VALUE"""),"Caden Guy")</f>
        <v>Caden Guy</v>
      </c>
      <c r="C905" s="199">
        <f ca="1">IFERROR(__xludf.DUMMYFUNCTION("""COMPUTED_VALUE"""),15)</f>
        <v>15</v>
      </c>
      <c r="D905" s="199" t="str">
        <f ca="1">IFERROR(__xludf.DUMMYFUNCTION("""COMPUTED_VALUE"""),"B")</f>
        <v>B</v>
      </c>
      <c r="E905" s="202" t="str">
        <f ca="1">IFERROR(__xludf.DUMMYFUNCTION("""COMPUTED_VALUE"""),"S")</f>
        <v>S</v>
      </c>
      <c r="F905" s="202" t="str">
        <f ca="1">IFERROR(__xludf.DUMMYFUNCTION("""COMPUTED_VALUE"""),"S")</f>
        <v>S</v>
      </c>
      <c r="G905" s="202">
        <f ca="1">IFERROR(__xludf.DUMMYFUNCTION("""COMPUTED_VALUE"""),6)</f>
        <v>6</v>
      </c>
      <c r="H905" s="208"/>
      <c r="I905" s="208">
        <v>183.35</v>
      </c>
      <c r="J905" s="208"/>
      <c r="K905" s="208" t="s">
        <v>121</v>
      </c>
      <c r="L905" s="208" t="str">
        <v xml:space="preserve"> 183.35</v>
      </c>
      <c r="M905" s="208" t="str">
        <v/>
      </c>
    </row>
    <row r="906" spans="1:13" ht="14.4">
      <c r="A906" s="199" t="str">
        <f ca="1">IFERROR(__xludf.DUMMYFUNCTION("""COMPUTED_VALUE"""),"HP")</f>
        <v>HP</v>
      </c>
      <c r="B906" s="207" t="str">
        <f ca="1">IFERROR(__xludf.DUMMYFUNCTION("""COMPUTED_VALUE"""),"Jackson Bertman")</f>
        <v>Jackson Bertman</v>
      </c>
      <c r="C906" s="199">
        <f ca="1">IFERROR(__xludf.DUMMYFUNCTION("""COMPUTED_VALUE"""),16)</f>
        <v>16</v>
      </c>
      <c r="D906" s="199" t="str">
        <f ca="1">IFERROR(__xludf.DUMMYFUNCTION("""COMPUTED_VALUE"""),"B")</f>
        <v>B</v>
      </c>
      <c r="E906" s="202" t="str">
        <f ca="1">IFERROR(__xludf.DUMMYFUNCTION("""COMPUTED_VALUE"""),"S")</f>
        <v>S</v>
      </c>
      <c r="F906" s="202" t="str">
        <f ca="1">IFERROR(__xludf.DUMMYFUNCTION("""COMPUTED_VALUE"""),"S")</f>
        <v>S</v>
      </c>
      <c r="G906" s="202">
        <f ca="1">IFERROR(__xludf.DUMMYFUNCTION("""COMPUTED_VALUE"""),6)</f>
        <v>6</v>
      </c>
      <c r="H906" s="208"/>
      <c r="I906" s="208">
        <v>202.6</v>
      </c>
      <c r="J906" s="208"/>
      <c r="K906" s="208" t="s">
        <v>121</v>
      </c>
      <c r="L906" s="208" t="str">
        <v xml:space="preserve"> 202.6</v>
      </c>
      <c r="M906" s="208" t="str">
        <v/>
      </c>
    </row>
    <row r="907" spans="1:13" ht="14.4">
      <c r="A907" s="199" t="str">
        <f ca="1">IFERROR(__xludf.DUMMYFUNCTION("""COMPUTED_VALUE"""),"HP")</f>
        <v>HP</v>
      </c>
      <c r="B907" s="207" t="str">
        <f ca="1">IFERROR(__xludf.DUMMYFUNCTION("""COMPUTED_VALUE"""),"Porter Bertman")</f>
        <v>Porter Bertman</v>
      </c>
      <c r="C907" s="199">
        <f ca="1">IFERROR(__xludf.DUMMYFUNCTION("""COMPUTED_VALUE"""),15)</f>
        <v>15</v>
      </c>
      <c r="D907" s="199" t="str">
        <f ca="1">IFERROR(__xludf.DUMMYFUNCTION("""COMPUTED_VALUE"""),"B")</f>
        <v>B</v>
      </c>
      <c r="E907" s="202" t="str">
        <f ca="1">IFERROR(__xludf.DUMMYFUNCTION("""COMPUTED_VALUE"""),"S")</f>
        <v>S</v>
      </c>
      <c r="F907" s="202" t="str">
        <f ca="1">IFERROR(__xludf.DUMMYFUNCTION("""COMPUTED_VALUE"""),"S")</f>
        <v>S</v>
      </c>
      <c r="G907" s="202">
        <f ca="1">IFERROR(__xludf.DUMMYFUNCTION("""COMPUTED_VALUE"""),6)</f>
        <v>6</v>
      </c>
      <c r="H907" s="206"/>
      <c r="I907" s="206">
        <v>141.5</v>
      </c>
      <c r="J907" s="206"/>
      <c r="K907" s="206" t="s">
        <v>121</v>
      </c>
      <c r="L907" s="206" t="str">
        <v xml:space="preserve"> 141.5</v>
      </c>
      <c r="M907" s="206" t="str">
        <v/>
      </c>
    </row>
    <row r="908" spans="1:13" ht="14.4">
      <c r="A908" s="199" t="str">
        <f ca="1">IFERROR(__xludf.DUMMYFUNCTION("""COMPUTED_VALUE"""),"HP")</f>
        <v>HP</v>
      </c>
      <c r="B908" s="207" t="str">
        <f ca="1">IFERROR(__xludf.DUMMYFUNCTION("""COMPUTED_VALUE"""),"Steven McCormick")</f>
        <v>Steven McCormick</v>
      </c>
      <c r="C908" s="199">
        <f ca="1">IFERROR(__xludf.DUMMYFUNCTION("""COMPUTED_VALUE"""),15)</f>
        <v>15</v>
      </c>
      <c r="D908" s="199" t="str">
        <f ca="1">IFERROR(__xludf.DUMMYFUNCTION("""COMPUTED_VALUE"""),"B")</f>
        <v>B</v>
      </c>
      <c r="E908" s="202" t="str">
        <f ca="1">IFERROR(__xludf.DUMMYFUNCTION("""COMPUTED_VALUE"""),"S")</f>
        <v>S</v>
      </c>
      <c r="F908" s="202" t="str">
        <f ca="1">IFERROR(__xludf.DUMMYFUNCTION("""COMPUTED_VALUE"""),"S")</f>
        <v>S</v>
      </c>
      <c r="G908" s="202">
        <f ca="1">IFERROR(__xludf.DUMMYFUNCTION("""COMPUTED_VALUE"""),6)</f>
        <v>6</v>
      </c>
      <c r="H908" s="206"/>
      <c r="I908" s="206">
        <v>138.69999999999999</v>
      </c>
      <c r="J908" s="206"/>
      <c r="K908" s="206" t="s">
        <v>121</v>
      </c>
      <c r="L908" s="206" t="str">
        <v xml:space="preserve"> 138.7</v>
      </c>
      <c r="M908" s="206" t="str">
        <v/>
      </c>
    </row>
    <row r="909" spans="1:13" ht="14.4">
      <c r="A909" s="199" t="str">
        <f ca="1">IFERROR(__xludf.DUMMYFUNCTION("""COMPUTED_VALUE"""),"HP")</f>
        <v>HP</v>
      </c>
      <c r="B909" s="207" t="str">
        <f ca="1">IFERROR(__xludf.DUMMYFUNCTION("""COMPUTED_VALUE"""),"Emily Townsend")</f>
        <v>Emily Townsend</v>
      </c>
      <c r="C909" s="199">
        <f ca="1">IFERROR(__xludf.DUMMYFUNCTION("""COMPUTED_VALUE"""),17)</f>
        <v>17</v>
      </c>
      <c r="D909" s="199" t="str">
        <f ca="1">IFERROR(__xludf.DUMMYFUNCTION("""COMPUTED_VALUE"""),"G")</f>
        <v>G</v>
      </c>
      <c r="E909" s="202" t="str">
        <f ca="1">IFERROR(__xludf.DUMMYFUNCTION("""COMPUTED_VALUE"""),"S")</f>
        <v>S</v>
      </c>
      <c r="F909" s="202" t="str">
        <f ca="1">IFERROR(__xludf.DUMMYFUNCTION("""COMPUTED_VALUE"""),"S")</f>
        <v>S</v>
      </c>
      <c r="G909" s="202">
        <f ca="1">IFERROR(__xludf.DUMMYFUNCTION("""COMPUTED_VALUE"""),6)</f>
        <v>6</v>
      </c>
      <c r="H909" s="206">
        <v>102.85</v>
      </c>
      <c r="I909" s="206"/>
      <c r="J909" s="206" t="s">
        <v>121</v>
      </c>
      <c r="K909" s="206"/>
      <c r="L909" s="206" t="str">
        <v xml:space="preserve"> 102.85</v>
      </c>
      <c r="M909" s="206" t="str">
        <v/>
      </c>
    </row>
    <row r="910" spans="1:13" ht="14.4">
      <c r="A910" s="199" t="str">
        <f ca="1">IFERROR(__xludf.DUMMYFUNCTION("""COMPUTED_VALUE"""),"HP")</f>
        <v>HP</v>
      </c>
      <c r="B910" s="207" t="str">
        <f ca="1">IFERROR(__xludf.DUMMYFUNCTION("""COMPUTED_VALUE"""),"Esme Damico Lassman")</f>
        <v>Esme Damico Lassman</v>
      </c>
      <c r="C910" s="199">
        <f ca="1">IFERROR(__xludf.DUMMYFUNCTION("""COMPUTED_VALUE"""),16)</f>
        <v>16</v>
      </c>
      <c r="D910" s="199" t="str">
        <f ca="1">IFERROR(__xludf.DUMMYFUNCTION("""COMPUTED_VALUE"""),"G")</f>
        <v>G</v>
      </c>
      <c r="E910" s="202" t="str">
        <f ca="1">IFERROR(__xludf.DUMMYFUNCTION("""COMPUTED_VALUE"""),"S")</f>
        <v>S</v>
      </c>
      <c r="F910" s="202" t="str">
        <f ca="1">IFERROR(__xludf.DUMMYFUNCTION("""COMPUTED_VALUE"""),"S")</f>
        <v>S</v>
      </c>
      <c r="G910" s="202">
        <f ca="1">IFERROR(__xludf.DUMMYFUNCTION("""COMPUTED_VALUE"""),6)</f>
        <v>6</v>
      </c>
      <c r="H910" s="206">
        <v>160.5</v>
      </c>
      <c r="I910" s="206"/>
      <c r="J910" s="206" t="s">
        <v>121</v>
      </c>
      <c r="K910" s="206"/>
      <c r="L910" s="206" t="str">
        <v xml:space="preserve"> 160.5</v>
      </c>
      <c r="M910" s="206" t="str">
        <v/>
      </c>
    </row>
    <row r="911" spans="1:13" ht="14.4">
      <c r="A911" s="199" t="str">
        <f ca="1">IFERROR(__xludf.DUMMYFUNCTION("""COMPUTED_VALUE"""),"HS")</f>
        <v>HS</v>
      </c>
      <c r="B911" s="207" t="str">
        <f ca="1">IFERROR(__xludf.DUMMYFUNCTION("""COMPUTED_VALUE"""),"Azadi Castellano")</f>
        <v>Azadi Castellano</v>
      </c>
      <c r="C911" s="199">
        <f ca="1">IFERROR(__xludf.DUMMYFUNCTION("""COMPUTED_VALUE"""),9)</f>
        <v>9</v>
      </c>
      <c r="D911" s="199" t="str">
        <f ca="1">IFERROR(__xludf.DUMMYFUNCTION("""COMPUTED_VALUE"""),"B")</f>
        <v>B</v>
      </c>
      <c r="E911" s="202" t="str">
        <f ca="1">IFERROR(__xludf.DUMMYFUNCTION("""COMPUTED_VALUE"""),"F")</f>
        <v>F</v>
      </c>
      <c r="F911" s="202" t="str">
        <f ca="1">IFERROR(__xludf.DUMMYFUNCTION("""COMPUTED_VALUE"""),"J")</f>
        <v>J</v>
      </c>
      <c r="G911" s="202">
        <f ca="1">IFERROR(__xludf.DUMMYFUNCTION("""COMPUTED_VALUE"""),4)</f>
        <v>4</v>
      </c>
      <c r="H911" s="206"/>
      <c r="I911" s="206">
        <v>42.8</v>
      </c>
      <c r="J911" s="206"/>
      <c r="K911" s="206" t="s">
        <v>121</v>
      </c>
      <c r="L911" s="206" t="str">
        <v xml:space="preserve"> 42.8</v>
      </c>
      <c r="M911" s="206" t="str">
        <v/>
      </c>
    </row>
    <row r="912" spans="1:13" ht="14.4">
      <c r="A912" s="199" t="str">
        <f ca="1">IFERROR(__xludf.DUMMYFUNCTION("""COMPUTED_VALUE"""),"HS")</f>
        <v>HS</v>
      </c>
      <c r="B912" s="207" t="str">
        <f ca="1">IFERROR(__xludf.DUMMYFUNCTION("""COMPUTED_VALUE"""),"Barrett Kinzler")</f>
        <v>Barrett Kinzler</v>
      </c>
      <c r="C912" s="199">
        <f ca="1">IFERROR(__xludf.DUMMYFUNCTION("""COMPUTED_VALUE"""),9)</f>
        <v>9</v>
      </c>
      <c r="D912" s="199" t="str">
        <f ca="1">IFERROR(__xludf.DUMMYFUNCTION("""COMPUTED_VALUE"""),"B")</f>
        <v>B</v>
      </c>
      <c r="E912" s="202" t="str">
        <f ca="1">IFERROR(__xludf.DUMMYFUNCTION("""COMPUTED_VALUE"""),"F")</f>
        <v>F</v>
      </c>
      <c r="F912" s="202" t="str">
        <f ca="1">IFERROR(__xludf.DUMMYFUNCTION("""COMPUTED_VALUE"""),"J")</f>
        <v>J</v>
      </c>
      <c r="G912" s="202">
        <f ca="1">IFERROR(__xludf.DUMMYFUNCTION("""COMPUTED_VALUE"""),4)</f>
        <v>4</v>
      </c>
      <c r="H912" s="208"/>
      <c r="I912" s="208"/>
      <c r="J912" s="208"/>
      <c r="K912" s="208"/>
      <c r="L912" s="208" t="str">
        <v/>
      </c>
      <c r="M912" s="208" t="str">
        <v/>
      </c>
    </row>
    <row r="913" spans="1:13" ht="14.4">
      <c r="A913" s="199" t="str">
        <f ca="1">IFERROR(__xludf.DUMMYFUNCTION("""COMPUTED_VALUE"""),"HS")</f>
        <v>HS</v>
      </c>
      <c r="B913" s="207" t="str">
        <f ca="1">IFERROR(__xludf.DUMMYFUNCTION("""COMPUTED_VALUE"""),"Faustino Fredes")</f>
        <v>Faustino Fredes</v>
      </c>
      <c r="C913" s="199">
        <f ca="1">IFERROR(__xludf.DUMMYFUNCTION("""COMPUTED_VALUE"""),9)</f>
        <v>9</v>
      </c>
      <c r="D913" s="199" t="str">
        <f ca="1">IFERROR(__xludf.DUMMYFUNCTION("""COMPUTED_VALUE"""),"B")</f>
        <v>B</v>
      </c>
      <c r="E913" s="202" t="str">
        <f ca="1">IFERROR(__xludf.DUMMYFUNCTION("""COMPUTED_VALUE"""),"F")</f>
        <v>F</v>
      </c>
      <c r="F913" s="202" t="str">
        <f ca="1">IFERROR(__xludf.DUMMYFUNCTION("""COMPUTED_VALUE"""),"J")</f>
        <v>J</v>
      </c>
      <c r="G913" s="202">
        <f ca="1">IFERROR(__xludf.DUMMYFUNCTION("""COMPUTED_VALUE"""),4)</f>
        <v>4</v>
      </c>
      <c r="H913" s="206"/>
      <c r="I913" s="206">
        <v>36.1</v>
      </c>
      <c r="J913" s="206"/>
      <c r="K913" s="206" t="s">
        <v>121</v>
      </c>
      <c r="L913" s="206" t="str">
        <v xml:space="preserve"> 36.1</v>
      </c>
      <c r="M913" s="206" t="str">
        <v/>
      </c>
    </row>
    <row r="914" spans="1:13" ht="14.4">
      <c r="A914" s="199" t="str">
        <f ca="1">IFERROR(__xludf.DUMMYFUNCTION("""COMPUTED_VALUE"""),"HS")</f>
        <v>HS</v>
      </c>
      <c r="B914" s="207" t="str">
        <f ca="1">IFERROR(__xludf.DUMMYFUNCTION("""COMPUTED_VALUE"""),"Franklin Fiske")</f>
        <v>Franklin Fiske</v>
      </c>
      <c r="C914" s="199">
        <f ca="1">IFERROR(__xludf.DUMMYFUNCTION("""COMPUTED_VALUE"""),9)</f>
        <v>9</v>
      </c>
      <c r="D914" s="199" t="str">
        <f ca="1">IFERROR(__xludf.DUMMYFUNCTION("""COMPUTED_VALUE"""),"B")</f>
        <v>B</v>
      </c>
      <c r="E914" s="202" t="str">
        <f ca="1">IFERROR(__xludf.DUMMYFUNCTION("""COMPUTED_VALUE"""),"F")</f>
        <v>F</v>
      </c>
      <c r="F914" s="202" t="str">
        <f ca="1">IFERROR(__xludf.DUMMYFUNCTION("""COMPUTED_VALUE"""),"J")</f>
        <v>J</v>
      </c>
      <c r="G914" s="202">
        <f ca="1">IFERROR(__xludf.DUMMYFUNCTION("""COMPUTED_VALUE"""),4)</f>
        <v>4</v>
      </c>
      <c r="H914" s="208"/>
      <c r="I914" s="208">
        <v>43.1</v>
      </c>
      <c r="J914" s="208"/>
      <c r="K914" s="208" t="s">
        <v>121</v>
      </c>
      <c r="L914" s="208" t="str">
        <v xml:space="preserve"> 43.1</v>
      </c>
      <c r="M914" s="208" t="str">
        <v/>
      </c>
    </row>
    <row r="915" spans="1:13" ht="14.4">
      <c r="A915" s="199" t="str">
        <f ca="1">IFERROR(__xludf.DUMMYFUNCTION("""COMPUTED_VALUE"""),"HS")</f>
        <v>HS</v>
      </c>
      <c r="B915" s="207" t="str">
        <f ca="1">IFERROR(__xludf.DUMMYFUNCTION("""COMPUTED_VALUE"""),"Henry Janicke")</f>
        <v>Henry Janicke</v>
      </c>
      <c r="C915" s="199">
        <f ca="1">IFERROR(__xludf.DUMMYFUNCTION("""COMPUTED_VALUE"""),9)</f>
        <v>9</v>
      </c>
      <c r="D915" s="199" t="str">
        <f ca="1">IFERROR(__xludf.DUMMYFUNCTION("""COMPUTED_VALUE"""),"B")</f>
        <v>B</v>
      </c>
      <c r="E915" s="202" t="str">
        <f ca="1">IFERROR(__xludf.DUMMYFUNCTION("""COMPUTED_VALUE"""),"F")</f>
        <v>F</v>
      </c>
      <c r="F915" s="202" t="str">
        <f ca="1">IFERROR(__xludf.DUMMYFUNCTION("""COMPUTED_VALUE"""),"J")</f>
        <v>J</v>
      </c>
      <c r="G915" s="202">
        <f ca="1">IFERROR(__xludf.DUMMYFUNCTION("""COMPUTED_VALUE"""),4)</f>
        <v>4</v>
      </c>
      <c r="H915" s="206"/>
      <c r="I915" s="206"/>
      <c r="J915" s="206"/>
      <c r="K915" s="206"/>
      <c r="L915" s="206" t="str">
        <v/>
      </c>
      <c r="M915" s="206" t="str">
        <v/>
      </c>
    </row>
    <row r="916" spans="1:13" ht="14.4">
      <c r="A916" s="199" t="str">
        <f ca="1">IFERROR(__xludf.DUMMYFUNCTION("""COMPUTED_VALUE"""),"HS")</f>
        <v>HS</v>
      </c>
      <c r="B916" s="207" t="str">
        <f ca="1">IFERROR(__xludf.DUMMYFUNCTION("""COMPUTED_VALUE"""),"John Berik")</f>
        <v>John Berik</v>
      </c>
      <c r="C916" s="199">
        <f ca="1">IFERROR(__xludf.DUMMYFUNCTION("""COMPUTED_VALUE"""),7)</f>
        <v>7</v>
      </c>
      <c r="D916" s="199" t="str">
        <f ca="1">IFERROR(__xludf.DUMMYFUNCTION("""COMPUTED_VALUE"""),"B")</f>
        <v>B</v>
      </c>
      <c r="E916" s="202" t="str">
        <f ca="1">IFERROR(__xludf.DUMMYFUNCTION("""COMPUTED_VALUE"""),"F")</f>
        <v>F</v>
      </c>
      <c r="F916" s="202" t="str">
        <f ca="1">IFERROR(__xludf.DUMMYFUNCTION("""COMPUTED_VALUE"""),"J")</f>
        <v>J</v>
      </c>
      <c r="G916" s="202">
        <f ca="1">IFERROR(__xludf.DUMMYFUNCTION("""COMPUTED_VALUE"""),4)</f>
        <v>4</v>
      </c>
      <c r="H916" s="206"/>
      <c r="I916" s="206">
        <v>73.7</v>
      </c>
      <c r="J916" s="206"/>
      <c r="K916" s="206" t="s">
        <v>123</v>
      </c>
      <c r="L916" s="206" t="str">
        <v xml:space="preserve"> -73.7</v>
      </c>
      <c r="M916" s="206" t="str">
        <v>^</v>
      </c>
    </row>
    <row r="917" spans="1:13" ht="14.4">
      <c r="A917" s="199" t="str">
        <f ca="1">IFERROR(__xludf.DUMMYFUNCTION("""COMPUTED_VALUE"""),"HS")</f>
        <v>HS</v>
      </c>
      <c r="B917" s="207" t="str">
        <f ca="1">IFERROR(__xludf.DUMMYFUNCTION("""COMPUTED_VALUE"""),"John Paul Kissinger")</f>
        <v>John Paul Kissinger</v>
      </c>
      <c r="C917" s="199">
        <f ca="1">IFERROR(__xludf.DUMMYFUNCTION("""COMPUTED_VALUE"""),9)</f>
        <v>9</v>
      </c>
      <c r="D917" s="199" t="str">
        <f ca="1">IFERROR(__xludf.DUMMYFUNCTION("""COMPUTED_VALUE"""),"B")</f>
        <v>B</v>
      </c>
      <c r="E917" s="202" t="str">
        <f ca="1">IFERROR(__xludf.DUMMYFUNCTION("""COMPUTED_VALUE"""),"F")</f>
        <v>F</v>
      </c>
      <c r="F917" s="202" t="str">
        <f ca="1">IFERROR(__xludf.DUMMYFUNCTION("""COMPUTED_VALUE"""),"J")</f>
        <v>J</v>
      </c>
      <c r="G917" s="202">
        <f ca="1">IFERROR(__xludf.DUMMYFUNCTION("""COMPUTED_VALUE"""),4)</f>
        <v>4</v>
      </c>
      <c r="H917" s="206"/>
      <c r="I917" s="206">
        <v>76.8</v>
      </c>
      <c r="J917" s="206"/>
      <c r="K917" s="206" t="s">
        <v>123</v>
      </c>
      <c r="L917" s="206" t="str">
        <v xml:space="preserve"> -76.8</v>
      </c>
      <c r="M917" s="206" t="str">
        <v>^</v>
      </c>
    </row>
    <row r="918" spans="1:13" ht="14.4">
      <c r="A918" s="199" t="str">
        <f ca="1">IFERROR(__xludf.DUMMYFUNCTION("""COMPUTED_VALUE"""),"HS")</f>
        <v>HS</v>
      </c>
      <c r="B918" s="207" t="str">
        <f ca="1">IFERROR(__xludf.DUMMYFUNCTION("""COMPUTED_VALUE"""),"Martin Shiu")</f>
        <v>Martin Shiu</v>
      </c>
      <c r="C918" s="199">
        <f ca="1">IFERROR(__xludf.DUMMYFUNCTION("""COMPUTED_VALUE"""),8)</f>
        <v>8</v>
      </c>
      <c r="D918" s="199" t="str">
        <f ca="1">IFERROR(__xludf.DUMMYFUNCTION("""COMPUTED_VALUE"""),"B")</f>
        <v>B</v>
      </c>
      <c r="E918" s="202" t="str">
        <f ca="1">IFERROR(__xludf.DUMMYFUNCTION("""COMPUTED_VALUE"""),"F")</f>
        <v>F</v>
      </c>
      <c r="F918" s="202" t="str">
        <f ca="1">IFERROR(__xludf.DUMMYFUNCTION("""COMPUTED_VALUE"""),"J")</f>
        <v>J</v>
      </c>
      <c r="G918" s="202">
        <f ca="1">IFERROR(__xludf.DUMMYFUNCTION("""COMPUTED_VALUE"""),4)</f>
        <v>4</v>
      </c>
      <c r="H918" s="208"/>
      <c r="I918" s="208"/>
      <c r="J918" s="208"/>
      <c r="K918" s="208"/>
      <c r="L918" s="208" t="str">
        <v/>
      </c>
      <c r="M918" s="208" t="str">
        <v/>
      </c>
    </row>
    <row r="919" spans="1:13" ht="14.4">
      <c r="A919" s="199" t="str">
        <f ca="1">IFERROR(__xludf.DUMMYFUNCTION("""COMPUTED_VALUE"""),"HS")</f>
        <v>HS</v>
      </c>
      <c r="B919" s="207" t="str">
        <f ca="1">IFERROR(__xludf.DUMMYFUNCTION("""COMPUTED_VALUE"""),"Vier Kilburg")</f>
        <v>Vier Kilburg</v>
      </c>
      <c r="C919" s="199">
        <f ca="1">IFERROR(__xludf.DUMMYFUNCTION("""COMPUTED_VALUE"""),10)</f>
        <v>10</v>
      </c>
      <c r="D919" s="199" t="str">
        <f ca="1">IFERROR(__xludf.DUMMYFUNCTION("""COMPUTED_VALUE"""),"B")</f>
        <v>B</v>
      </c>
      <c r="E919" s="202" t="str">
        <f ca="1">IFERROR(__xludf.DUMMYFUNCTION("""COMPUTED_VALUE"""),"F")</f>
        <v>F</v>
      </c>
      <c r="F919" s="202" t="str">
        <f ca="1">IFERROR(__xludf.DUMMYFUNCTION("""COMPUTED_VALUE"""),"J")</f>
        <v>J</v>
      </c>
      <c r="G919" s="202">
        <f ca="1">IFERROR(__xludf.DUMMYFUNCTION("""COMPUTED_VALUE"""),4)</f>
        <v>4</v>
      </c>
      <c r="H919" s="208"/>
      <c r="I919" s="208"/>
      <c r="J919" s="208"/>
      <c r="K919" s="208"/>
      <c r="L919" s="208" t="str">
        <v/>
      </c>
      <c r="M919" s="208" t="str">
        <v/>
      </c>
    </row>
    <row r="920" spans="1:13" ht="14.4">
      <c r="A920" s="199" t="str">
        <f ca="1">IFERROR(__xludf.DUMMYFUNCTION("""COMPUTED_VALUE"""),"HS")</f>
        <v>HS</v>
      </c>
      <c r="B920" s="207" t="str">
        <f ca="1">IFERROR(__xludf.DUMMYFUNCTION("""COMPUTED_VALUE"""),"Adelheid Campbell")</f>
        <v>Adelheid Campbell</v>
      </c>
      <c r="C920" s="199">
        <f ca="1">IFERROR(__xludf.DUMMYFUNCTION("""COMPUTED_VALUE"""),9)</f>
        <v>9</v>
      </c>
      <c r="D920" s="199" t="str">
        <f ca="1">IFERROR(__xludf.DUMMYFUNCTION("""COMPUTED_VALUE"""),"G")</f>
        <v>G</v>
      </c>
      <c r="E920" s="202" t="str">
        <f ca="1">IFERROR(__xludf.DUMMYFUNCTION("""COMPUTED_VALUE"""),"F")</f>
        <v>F</v>
      </c>
      <c r="F920" s="202" t="str">
        <f ca="1">IFERROR(__xludf.DUMMYFUNCTION("""COMPUTED_VALUE"""),"J")</f>
        <v>J</v>
      </c>
      <c r="G920" s="202">
        <f ca="1">IFERROR(__xludf.DUMMYFUNCTION("""COMPUTED_VALUE"""),4)</f>
        <v>4</v>
      </c>
      <c r="H920" s="206"/>
      <c r="I920" s="206"/>
      <c r="J920" s="206"/>
      <c r="K920" s="206"/>
      <c r="L920" s="206" t="str">
        <v/>
      </c>
      <c r="M920" s="206" t="str">
        <v/>
      </c>
    </row>
    <row r="921" spans="1:13" ht="14.4">
      <c r="A921" s="199" t="str">
        <f ca="1">IFERROR(__xludf.DUMMYFUNCTION("""COMPUTED_VALUE"""),"HS")</f>
        <v>HS</v>
      </c>
      <c r="B921" s="207" t="str">
        <f ca="1">IFERROR(__xludf.DUMMYFUNCTION("""COMPUTED_VALUE"""),"Anna Noonan")</f>
        <v>Anna Noonan</v>
      </c>
      <c r="C921" s="199">
        <f ca="1">IFERROR(__xludf.DUMMYFUNCTION("""COMPUTED_VALUE"""),9)</f>
        <v>9</v>
      </c>
      <c r="D921" s="199" t="str">
        <f ca="1">IFERROR(__xludf.DUMMYFUNCTION("""COMPUTED_VALUE"""),"G")</f>
        <v>G</v>
      </c>
      <c r="E921" s="202" t="str">
        <f ca="1">IFERROR(__xludf.DUMMYFUNCTION("""COMPUTED_VALUE"""),"F")</f>
        <v>F</v>
      </c>
      <c r="F921" s="202" t="str">
        <f ca="1">IFERROR(__xludf.DUMMYFUNCTION("""COMPUTED_VALUE"""),"J")</f>
        <v>J</v>
      </c>
      <c r="G921" s="202">
        <f ca="1">IFERROR(__xludf.DUMMYFUNCTION("""COMPUTED_VALUE"""),4)</f>
        <v>4</v>
      </c>
      <c r="H921" s="208"/>
      <c r="I921" s="208"/>
      <c r="J921" s="208"/>
      <c r="K921" s="208"/>
      <c r="L921" s="208" t="str">
        <v/>
      </c>
      <c r="M921" s="208" t="str">
        <v/>
      </c>
    </row>
    <row r="922" spans="1:13" ht="14.4">
      <c r="A922" s="199" t="str">
        <f ca="1">IFERROR(__xludf.DUMMYFUNCTION("""COMPUTED_VALUE"""),"HS")</f>
        <v>HS</v>
      </c>
      <c r="B922" s="207" t="str">
        <f ca="1">IFERROR(__xludf.DUMMYFUNCTION("""COMPUTED_VALUE"""),"Aspen Rose Abruzzese")</f>
        <v>Aspen Rose Abruzzese</v>
      </c>
      <c r="C922" s="199">
        <f ca="1">IFERROR(__xludf.DUMMYFUNCTION("""COMPUTED_VALUE"""),9)</f>
        <v>9</v>
      </c>
      <c r="D922" s="199" t="str">
        <f ca="1">IFERROR(__xludf.DUMMYFUNCTION("""COMPUTED_VALUE"""),"G")</f>
        <v>G</v>
      </c>
      <c r="E922" s="202" t="str">
        <f ca="1">IFERROR(__xludf.DUMMYFUNCTION("""COMPUTED_VALUE"""),"F")</f>
        <v>F</v>
      </c>
      <c r="F922" s="202" t="str">
        <f ca="1">IFERROR(__xludf.DUMMYFUNCTION("""COMPUTED_VALUE"""),"J")</f>
        <v>J</v>
      </c>
      <c r="G922" s="202">
        <f ca="1">IFERROR(__xludf.DUMMYFUNCTION("""COMPUTED_VALUE"""),4)</f>
        <v>4</v>
      </c>
      <c r="H922" s="206">
        <v>42.3</v>
      </c>
      <c r="I922" s="206"/>
      <c r="J922" s="206" t="s">
        <v>121</v>
      </c>
      <c r="K922" s="206"/>
      <c r="L922" s="206" t="str">
        <v xml:space="preserve"> 42.3</v>
      </c>
      <c r="M922" s="206" t="str">
        <v/>
      </c>
    </row>
    <row r="923" spans="1:13" ht="14.4">
      <c r="A923" s="199" t="str">
        <f ca="1">IFERROR(__xludf.DUMMYFUNCTION("""COMPUTED_VALUE"""),"HS")</f>
        <v>HS</v>
      </c>
      <c r="B923" s="207" t="str">
        <f ca="1">IFERROR(__xludf.DUMMYFUNCTION("""COMPUTED_VALUE"""),"Audrey Kumar")</f>
        <v>Audrey Kumar</v>
      </c>
      <c r="C923" s="199">
        <f ca="1">IFERROR(__xludf.DUMMYFUNCTION("""COMPUTED_VALUE"""),6)</f>
        <v>6</v>
      </c>
      <c r="D923" s="199" t="str">
        <f ca="1">IFERROR(__xludf.DUMMYFUNCTION("""COMPUTED_VALUE"""),"G")</f>
        <v>G</v>
      </c>
      <c r="E923" s="202" t="str">
        <f ca="1">IFERROR(__xludf.DUMMYFUNCTION("""COMPUTED_VALUE"""),"F")</f>
        <v>F</v>
      </c>
      <c r="F923" s="202" t="str">
        <f ca="1">IFERROR(__xludf.DUMMYFUNCTION("""COMPUTED_VALUE"""),"J")</f>
        <v>J</v>
      </c>
      <c r="G923" s="202">
        <f ca="1">IFERROR(__xludf.DUMMYFUNCTION("""COMPUTED_VALUE"""),4)</f>
        <v>4</v>
      </c>
      <c r="H923" s="206"/>
      <c r="I923" s="206"/>
      <c r="J923" s="206"/>
      <c r="K923" s="206"/>
      <c r="L923" s="206" t="str">
        <v/>
      </c>
      <c r="M923" s="206" t="str">
        <v/>
      </c>
    </row>
    <row r="924" spans="1:13" ht="14.4">
      <c r="A924" s="199" t="str">
        <f ca="1">IFERROR(__xludf.DUMMYFUNCTION("""COMPUTED_VALUE"""),"HS")</f>
        <v>HS</v>
      </c>
      <c r="B924" s="207" t="str">
        <f ca="1">IFERROR(__xludf.DUMMYFUNCTION("""COMPUTED_VALUE"""),"Charlotte Segreti")</f>
        <v>Charlotte Segreti</v>
      </c>
      <c r="C924" s="199">
        <f ca="1">IFERROR(__xludf.DUMMYFUNCTION("""COMPUTED_VALUE"""),8)</f>
        <v>8</v>
      </c>
      <c r="D924" s="199" t="str">
        <f ca="1">IFERROR(__xludf.DUMMYFUNCTION("""COMPUTED_VALUE"""),"G")</f>
        <v>G</v>
      </c>
      <c r="E924" s="202" t="str">
        <f ca="1">IFERROR(__xludf.DUMMYFUNCTION("""COMPUTED_VALUE"""),"F")</f>
        <v>F</v>
      </c>
      <c r="F924" s="202" t="str">
        <f ca="1">IFERROR(__xludf.DUMMYFUNCTION("""COMPUTED_VALUE"""),"J")</f>
        <v>J</v>
      </c>
      <c r="G924" s="202">
        <f ca="1">IFERROR(__xludf.DUMMYFUNCTION("""COMPUTED_VALUE"""),4)</f>
        <v>4</v>
      </c>
      <c r="H924" s="206"/>
      <c r="I924" s="206"/>
      <c r="J924" s="206"/>
      <c r="K924" s="206"/>
      <c r="L924" s="206" t="str">
        <v/>
      </c>
      <c r="M924" s="206" t="str">
        <v/>
      </c>
    </row>
    <row r="925" spans="1:13" ht="14.4">
      <c r="A925" s="199" t="str">
        <f ca="1">IFERROR(__xludf.DUMMYFUNCTION("""COMPUTED_VALUE"""),"HS")</f>
        <v>HS</v>
      </c>
      <c r="B925" s="207" t="str">
        <f ca="1">IFERROR(__xludf.DUMMYFUNCTION("""COMPUTED_VALUE"""),"Darby Henman")</f>
        <v>Darby Henman</v>
      </c>
      <c r="C925" s="199">
        <f ca="1">IFERROR(__xludf.DUMMYFUNCTION("""COMPUTED_VALUE"""),9)</f>
        <v>9</v>
      </c>
      <c r="D925" s="199" t="str">
        <f ca="1">IFERROR(__xludf.DUMMYFUNCTION("""COMPUTED_VALUE"""),"G")</f>
        <v>G</v>
      </c>
      <c r="E925" s="202" t="str">
        <f ca="1">IFERROR(__xludf.DUMMYFUNCTION("""COMPUTED_VALUE"""),"F")</f>
        <v>F</v>
      </c>
      <c r="F925" s="202" t="str">
        <f ca="1">IFERROR(__xludf.DUMMYFUNCTION("""COMPUTED_VALUE"""),"J")</f>
        <v>J</v>
      </c>
      <c r="G925" s="202">
        <f ca="1">IFERROR(__xludf.DUMMYFUNCTION("""COMPUTED_VALUE"""),4)</f>
        <v>4</v>
      </c>
      <c r="H925" s="206"/>
      <c r="I925" s="206"/>
      <c r="J925" s="206"/>
      <c r="K925" s="206"/>
      <c r="L925" s="206" t="str">
        <v/>
      </c>
      <c r="M925" s="206" t="str">
        <v/>
      </c>
    </row>
    <row r="926" spans="1:13" ht="14.4">
      <c r="A926" s="199" t="str">
        <f ca="1">IFERROR(__xludf.DUMMYFUNCTION("""COMPUTED_VALUE"""),"HS")</f>
        <v>HS</v>
      </c>
      <c r="B926" s="207" t="str">
        <f ca="1">IFERROR(__xludf.DUMMYFUNCTION("""COMPUTED_VALUE"""),"Elsa Fitzharris")</f>
        <v>Elsa Fitzharris</v>
      </c>
      <c r="C926" s="199">
        <f ca="1">IFERROR(__xludf.DUMMYFUNCTION("""COMPUTED_VALUE"""),10)</f>
        <v>10</v>
      </c>
      <c r="D926" s="199" t="str">
        <f ca="1">IFERROR(__xludf.DUMMYFUNCTION("""COMPUTED_VALUE"""),"G")</f>
        <v>G</v>
      </c>
      <c r="E926" s="202" t="str">
        <f ca="1">IFERROR(__xludf.DUMMYFUNCTION("""COMPUTED_VALUE"""),"F")</f>
        <v>F</v>
      </c>
      <c r="F926" s="202" t="str">
        <f ca="1">IFERROR(__xludf.DUMMYFUNCTION("""COMPUTED_VALUE"""),"J")</f>
        <v>J</v>
      </c>
      <c r="G926" s="202">
        <f ca="1">IFERROR(__xludf.DUMMYFUNCTION("""COMPUTED_VALUE"""),4)</f>
        <v>4</v>
      </c>
      <c r="H926" s="208"/>
      <c r="I926" s="208"/>
      <c r="J926" s="208"/>
      <c r="K926" s="208"/>
      <c r="L926" s="208" t="str">
        <v/>
      </c>
      <c r="M926" s="208" t="str">
        <v/>
      </c>
    </row>
    <row r="927" spans="1:13" ht="14.4">
      <c r="A927" s="199" t="str">
        <f ca="1">IFERROR(__xludf.DUMMYFUNCTION("""COMPUTED_VALUE"""),"HS")</f>
        <v>HS</v>
      </c>
      <c r="B927" s="207" t="str">
        <f ca="1">IFERROR(__xludf.DUMMYFUNCTION("""COMPUTED_VALUE"""),"Emilia Vayra")</f>
        <v>Emilia Vayra</v>
      </c>
      <c r="C927" s="199">
        <f ca="1">IFERROR(__xludf.DUMMYFUNCTION("""COMPUTED_VALUE"""),9)</f>
        <v>9</v>
      </c>
      <c r="D927" s="199" t="str">
        <f ca="1">IFERROR(__xludf.DUMMYFUNCTION("""COMPUTED_VALUE"""),"G")</f>
        <v>G</v>
      </c>
      <c r="E927" s="202" t="str">
        <f ca="1">IFERROR(__xludf.DUMMYFUNCTION("""COMPUTED_VALUE"""),"F")</f>
        <v>F</v>
      </c>
      <c r="F927" s="202" t="str">
        <f ca="1">IFERROR(__xludf.DUMMYFUNCTION("""COMPUTED_VALUE"""),"J")</f>
        <v>J</v>
      </c>
      <c r="G927" s="202">
        <f ca="1">IFERROR(__xludf.DUMMYFUNCTION("""COMPUTED_VALUE"""),4)</f>
        <v>4</v>
      </c>
      <c r="H927" s="208">
        <v>58.6</v>
      </c>
      <c r="I927" s="208"/>
      <c r="J927" s="208" t="s">
        <v>121</v>
      </c>
      <c r="K927" s="208"/>
      <c r="L927" s="208" t="str">
        <v xml:space="preserve"> 58.6</v>
      </c>
      <c r="M927" s="208" t="str">
        <v/>
      </c>
    </row>
    <row r="928" spans="1:13" ht="14.4">
      <c r="A928" s="199" t="str">
        <f ca="1">IFERROR(__xludf.DUMMYFUNCTION("""COMPUTED_VALUE"""),"HS")</f>
        <v>HS</v>
      </c>
      <c r="B928" s="207" t="str">
        <f ca="1">IFERROR(__xludf.DUMMYFUNCTION("""COMPUTED_VALUE"""),"Julia Paukovits")</f>
        <v>Julia Paukovits</v>
      </c>
      <c r="C928" s="199">
        <f ca="1">IFERROR(__xludf.DUMMYFUNCTION("""COMPUTED_VALUE"""),9)</f>
        <v>9</v>
      </c>
      <c r="D928" s="199" t="str">
        <f ca="1">IFERROR(__xludf.DUMMYFUNCTION("""COMPUTED_VALUE"""),"G")</f>
        <v>G</v>
      </c>
      <c r="E928" s="202" t="str">
        <f ca="1">IFERROR(__xludf.DUMMYFUNCTION("""COMPUTED_VALUE"""),"F")</f>
        <v>F</v>
      </c>
      <c r="F928" s="202" t="str">
        <f ca="1">IFERROR(__xludf.DUMMYFUNCTION("""COMPUTED_VALUE"""),"J")</f>
        <v>J</v>
      </c>
      <c r="G928" s="202">
        <f ca="1">IFERROR(__xludf.DUMMYFUNCTION("""COMPUTED_VALUE"""),4)</f>
        <v>4</v>
      </c>
      <c r="H928" s="208">
        <v>57.3</v>
      </c>
      <c r="I928" s="208"/>
      <c r="J928" s="208" t="s">
        <v>121</v>
      </c>
      <c r="K928" s="208"/>
      <c r="L928" s="208" t="str">
        <v xml:space="preserve"> 57.3</v>
      </c>
      <c r="M928" s="208" t="str">
        <v/>
      </c>
    </row>
    <row r="929" spans="1:13" ht="14.4">
      <c r="A929" s="199" t="str">
        <f ca="1">IFERROR(__xludf.DUMMYFUNCTION("""COMPUTED_VALUE"""),"HS")</f>
        <v>HS</v>
      </c>
      <c r="B929" s="207" t="str">
        <f ca="1">IFERROR(__xludf.DUMMYFUNCTION("""COMPUTED_VALUE"""),"Kara Carpenter")</f>
        <v>Kara Carpenter</v>
      </c>
      <c r="C929" s="199">
        <f ca="1">IFERROR(__xludf.DUMMYFUNCTION("""COMPUTED_VALUE"""),9)</f>
        <v>9</v>
      </c>
      <c r="D929" s="199" t="str">
        <f ca="1">IFERROR(__xludf.DUMMYFUNCTION("""COMPUTED_VALUE"""),"G")</f>
        <v>G</v>
      </c>
      <c r="E929" s="202" t="str">
        <f ca="1">IFERROR(__xludf.DUMMYFUNCTION("""COMPUTED_VALUE"""),"F")</f>
        <v>F</v>
      </c>
      <c r="F929" s="202" t="str">
        <f ca="1">IFERROR(__xludf.DUMMYFUNCTION("""COMPUTED_VALUE"""),"J")</f>
        <v>J</v>
      </c>
      <c r="G929" s="202">
        <f ca="1">IFERROR(__xludf.DUMMYFUNCTION("""COMPUTED_VALUE"""),4)</f>
        <v>4</v>
      </c>
      <c r="H929" s="206"/>
      <c r="I929" s="206"/>
      <c r="J929" s="206"/>
      <c r="K929" s="206"/>
      <c r="L929" s="206" t="str">
        <v/>
      </c>
      <c r="M929" s="206" t="str">
        <v/>
      </c>
    </row>
    <row r="930" spans="1:13" ht="14.4">
      <c r="A930" s="199" t="str">
        <f ca="1">IFERROR(__xludf.DUMMYFUNCTION("""COMPUTED_VALUE"""),"HS")</f>
        <v>HS</v>
      </c>
      <c r="B930" s="207" t="str">
        <f ca="1">IFERROR(__xludf.DUMMYFUNCTION("""COMPUTED_VALUE"""),"Leah Thoman")</f>
        <v>Leah Thoman</v>
      </c>
      <c r="C930" s="199">
        <f ca="1">IFERROR(__xludf.DUMMYFUNCTION("""COMPUTED_VALUE"""),9)</f>
        <v>9</v>
      </c>
      <c r="D930" s="199" t="str">
        <f ca="1">IFERROR(__xludf.DUMMYFUNCTION("""COMPUTED_VALUE"""),"G")</f>
        <v>G</v>
      </c>
      <c r="E930" s="202" t="str">
        <f ca="1">IFERROR(__xludf.DUMMYFUNCTION("""COMPUTED_VALUE"""),"F")</f>
        <v>F</v>
      </c>
      <c r="F930" s="202" t="str">
        <f ca="1">IFERROR(__xludf.DUMMYFUNCTION("""COMPUTED_VALUE"""),"J")</f>
        <v>J</v>
      </c>
      <c r="G930" s="202">
        <f ca="1">IFERROR(__xludf.DUMMYFUNCTION("""COMPUTED_VALUE"""),4)</f>
        <v>4</v>
      </c>
      <c r="H930" s="206"/>
      <c r="I930" s="206"/>
      <c r="J930" s="206"/>
      <c r="K930" s="206"/>
      <c r="L930" s="206" t="str">
        <v/>
      </c>
      <c r="M930" s="206" t="str">
        <v/>
      </c>
    </row>
    <row r="931" spans="1:13" ht="14.4">
      <c r="A931" s="199" t="str">
        <f ca="1">IFERROR(__xludf.DUMMYFUNCTION("""COMPUTED_VALUE"""),"HS")</f>
        <v>HS</v>
      </c>
      <c r="B931" s="207" t="str">
        <f ca="1">IFERROR(__xludf.DUMMYFUNCTION("""COMPUTED_VALUE"""),"Lily Kissinger")</f>
        <v>Lily Kissinger</v>
      </c>
      <c r="C931" s="199">
        <f ca="1">IFERROR(__xludf.DUMMYFUNCTION("""COMPUTED_VALUE"""),8)</f>
        <v>8</v>
      </c>
      <c r="D931" s="199" t="str">
        <f ca="1">IFERROR(__xludf.DUMMYFUNCTION("""COMPUTED_VALUE"""),"G")</f>
        <v>G</v>
      </c>
      <c r="E931" s="202" t="str">
        <f ca="1">IFERROR(__xludf.DUMMYFUNCTION("""COMPUTED_VALUE"""),"F")</f>
        <v>F</v>
      </c>
      <c r="F931" s="202" t="str">
        <f ca="1">IFERROR(__xludf.DUMMYFUNCTION("""COMPUTED_VALUE"""),"J")</f>
        <v>J</v>
      </c>
      <c r="G931" s="202">
        <f ca="1">IFERROR(__xludf.DUMMYFUNCTION("""COMPUTED_VALUE"""),4)</f>
        <v>4</v>
      </c>
      <c r="H931" s="206">
        <v>37.299999999999997</v>
      </c>
      <c r="I931" s="206"/>
      <c r="J931" s="206" t="s">
        <v>121</v>
      </c>
      <c r="K931" s="206"/>
      <c r="L931" s="206" t="str">
        <v xml:space="preserve"> 37.3</v>
      </c>
      <c r="M931" s="206" t="str">
        <v/>
      </c>
    </row>
    <row r="932" spans="1:13" ht="14.4">
      <c r="A932" s="199" t="str">
        <f ca="1">IFERROR(__xludf.DUMMYFUNCTION("""COMPUTED_VALUE"""),"HS")</f>
        <v>HS</v>
      </c>
      <c r="B932" s="207" t="str">
        <f ca="1">IFERROR(__xludf.DUMMYFUNCTION("""COMPUTED_VALUE"""),"Olivia Berik")</f>
        <v>Olivia Berik</v>
      </c>
      <c r="C932" s="199">
        <f ca="1">IFERROR(__xludf.DUMMYFUNCTION("""COMPUTED_VALUE"""),10)</f>
        <v>10</v>
      </c>
      <c r="D932" s="199" t="str">
        <f ca="1">IFERROR(__xludf.DUMMYFUNCTION("""COMPUTED_VALUE"""),"G")</f>
        <v>G</v>
      </c>
      <c r="E932" s="202" t="str">
        <f ca="1">IFERROR(__xludf.DUMMYFUNCTION("""COMPUTED_VALUE"""),"F")</f>
        <v>F</v>
      </c>
      <c r="F932" s="202" t="str">
        <f ca="1">IFERROR(__xludf.DUMMYFUNCTION("""COMPUTED_VALUE"""),"J")</f>
        <v>J</v>
      </c>
      <c r="G932" s="202">
        <f ca="1">IFERROR(__xludf.DUMMYFUNCTION("""COMPUTED_VALUE"""),4)</f>
        <v>4</v>
      </c>
      <c r="H932" s="208">
        <v>111.4</v>
      </c>
      <c r="I932" s="208"/>
      <c r="J932" s="208" t="s">
        <v>123</v>
      </c>
      <c r="K932" s="208"/>
      <c r="L932" s="208" t="str">
        <v xml:space="preserve"> -111.4</v>
      </c>
      <c r="M932" s="208" t="str">
        <v>^</v>
      </c>
    </row>
    <row r="933" spans="1:13" ht="14.4">
      <c r="A933" s="199" t="str">
        <f ca="1">IFERROR(__xludf.DUMMYFUNCTION("""COMPUTED_VALUE"""),"HS")</f>
        <v>HS</v>
      </c>
      <c r="B933" s="207" t="str">
        <f ca="1">IFERROR(__xludf.DUMMYFUNCTION("""COMPUTED_VALUE"""),"Vivienne Vaughan")</f>
        <v>Vivienne Vaughan</v>
      </c>
      <c r="C933" s="199">
        <f ca="1">IFERROR(__xludf.DUMMYFUNCTION("""COMPUTED_VALUE"""),7)</f>
        <v>7</v>
      </c>
      <c r="D933" s="199" t="str">
        <f ca="1">IFERROR(__xludf.DUMMYFUNCTION("""COMPUTED_VALUE"""),"G")</f>
        <v>G</v>
      </c>
      <c r="E933" s="202" t="str">
        <f ca="1">IFERROR(__xludf.DUMMYFUNCTION("""COMPUTED_VALUE"""),"F")</f>
        <v>F</v>
      </c>
      <c r="F933" s="202" t="str">
        <f ca="1">IFERROR(__xludf.DUMMYFUNCTION("""COMPUTED_VALUE"""),"J")</f>
        <v>J</v>
      </c>
      <c r="G933" s="202">
        <f ca="1">IFERROR(__xludf.DUMMYFUNCTION("""COMPUTED_VALUE"""),4)</f>
        <v>4</v>
      </c>
      <c r="H933" s="208"/>
      <c r="I933" s="208"/>
      <c r="J933" s="208"/>
      <c r="K933" s="208"/>
      <c r="L933" s="208" t="str">
        <v/>
      </c>
      <c r="M933" s="208" t="str">
        <v/>
      </c>
    </row>
    <row r="934" spans="1:13" ht="14.4">
      <c r="A934" s="199" t="str">
        <f ca="1">IFERROR(__xludf.DUMMYFUNCTION("""COMPUTED_VALUE"""),"HS")</f>
        <v>HS</v>
      </c>
      <c r="B934" s="207" t="str">
        <f ca="1">IFERROR(__xludf.DUMMYFUNCTION("""COMPUTED_VALUE"""),"Olie Fitzharris")</f>
        <v>Olie Fitzharris</v>
      </c>
      <c r="C934" s="199">
        <f ca="1">IFERROR(__xludf.DUMMYFUNCTION("""COMPUTED_VALUE"""),13)</f>
        <v>13</v>
      </c>
      <c r="D934" s="199" t="str">
        <f ca="1">IFERROR(__xludf.DUMMYFUNCTION("""COMPUTED_VALUE"""),"B")</f>
        <v>B</v>
      </c>
      <c r="E934" s="202" t="str">
        <f ca="1">IFERROR(__xludf.DUMMYFUNCTION("""COMPUTED_VALUE"""),"I")</f>
        <v>I</v>
      </c>
      <c r="F934" s="202" t="str">
        <f ca="1">IFERROR(__xludf.DUMMYFUNCTION("""COMPUTED_VALUE"""),"S")</f>
        <v>S</v>
      </c>
      <c r="G934" s="202">
        <f ca="1">IFERROR(__xludf.DUMMYFUNCTION("""COMPUTED_VALUE"""),4)</f>
        <v>4</v>
      </c>
      <c r="H934" s="208"/>
      <c r="I934" s="208"/>
      <c r="J934" s="208"/>
      <c r="K934" s="208"/>
      <c r="L934" s="208" t="str">
        <v/>
      </c>
      <c r="M934" s="208" t="str">
        <v/>
      </c>
    </row>
    <row r="935" spans="1:13" ht="14.4">
      <c r="A935" s="199" t="str">
        <f ca="1">IFERROR(__xludf.DUMMYFUNCTION("""COMPUTED_VALUE"""),"HS")</f>
        <v>HS</v>
      </c>
      <c r="B935" s="207" t="str">
        <f ca="1">IFERROR(__xludf.DUMMYFUNCTION("""COMPUTED_VALUE"""),"Elena Marques-Davila")</f>
        <v>Elena Marques-Davila</v>
      </c>
      <c r="C935" s="199">
        <f ca="1">IFERROR(__xludf.DUMMYFUNCTION("""COMPUTED_VALUE"""),14)</f>
        <v>14</v>
      </c>
      <c r="D935" s="199" t="str">
        <f ca="1">IFERROR(__xludf.DUMMYFUNCTION("""COMPUTED_VALUE"""),"G")</f>
        <v>G</v>
      </c>
      <c r="E935" s="202" t="str">
        <f ca="1">IFERROR(__xludf.DUMMYFUNCTION("""COMPUTED_VALUE"""),"I")</f>
        <v>I</v>
      </c>
      <c r="F935" s="202" t="str">
        <f ca="1">IFERROR(__xludf.DUMMYFUNCTION("""COMPUTED_VALUE"""),"S")</f>
        <v>S</v>
      </c>
      <c r="G935" s="202">
        <f ca="1">IFERROR(__xludf.DUMMYFUNCTION("""COMPUTED_VALUE"""),4)</f>
        <v>4</v>
      </c>
      <c r="H935" s="208">
        <v>99.1</v>
      </c>
      <c r="I935" s="208"/>
      <c r="J935" s="208" t="s">
        <v>121</v>
      </c>
      <c r="K935" s="208"/>
      <c r="L935" s="208" t="str">
        <v xml:space="preserve"> 99.1</v>
      </c>
      <c r="M935" s="208" t="str">
        <v/>
      </c>
    </row>
    <row r="936" spans="1:13" ht="14.4">
      <c r="A936" s="199" t="str">
        <f ca="1">IFERROR(__xludf.DUMMYFUNCTION("""COMPUTED_VALUE"""),"HS")</f>
        <v>HS</v>
      </c>
      <c r="B936" s="207" t="str">
        <f ca="1">IFERROR(__xludf.DUMMYFUNCTION("""COMPUTED_VALUE"""),"Grace Berik")</f>
        <v>Grace Berik</v>
      </c>
      <c r="C936" s="199">
        <f ca="1">IFERROR(__xludf.DUMMYFUNCTION("""COMPUTED_VALUE"""),13)</f>
        <v>13</v>
      </c>
      <c r="D936" s="199" t="str">
        <f ca="1">IFERROR(__xludf.DUMMYFUNCTION("""COMPUTED_VALUE"""),"G")</f>
        <v>G</v>
      </c>
      <c r="E936" s="202" t="str">
        <f ca="1">IFERROR(__xludf.DUMMYFUNCTION("""COMPUTED_VALUE"""),"I")</f>
        <v>I</v>
      </c>
      <c r="F936" s="202" t="str">
        <f ca="1">IFERROR(__xludf.DUMMYFUNCTION("""COMPUTED_VALUE"""),"S")</f>
        <v>S</v>
      </c>
      <c r="G936" s="202">
        <f ca="1">IFERROR(__xludf.DUMMYFUNCTION("""COMPUTED_VALUE"""),4)</f>
        <v>4</v>
      </c>
      <c r="H936" s="208"/>
      <c r="I936" s="208"/>
      <c r="J936" s="208"/>
      <c r="K936" s="208"/>
      <c r="L936" s="208" t="str">
        <v/>
      </c>
      <c r="M936" s="208" t="str">
        <v/>
      </c>
    </row>
    <row r="937" spans="1:13" ht="14.4">
      <c r="A937" s="199" t="str">
        <f ca="1">IFERROR(__xludf.DUMMYFUNCTION("""COMPUTED_VALUE"""),"HS")</f>
        <v>HS</v>
      </c>
      <c r="B937" s="207" t="str">
        <f ca="1">IFERROR(__xludf.DUMMYFUNCTION("""COMPUTED_VALUE"""),"Katharine Taylor")</f>
        <v>Katharine Taylor</v>
      </c>
      <c r="C937" s="199">
        <f ca="1">IFERROR(__xludf.DUMMYFUNCTION("""COMPUTED_VALUE"""),13)</f>
        <v>13</v>
      </c>
      <c r="D937" s="199" t="str">
        <f ca="1">IFERROR(__xludf.DUMMYFUNCTION("""COMPUTED_VALUE"""),"G")</f>
        <v>G</v>
      </c>
      <c r="E937" s="202" t="str">
        <f ca="1">IFERROR(__xludf.DUMMYFUNCTION("""COMPUTED_VALUE"""),"I")</f>
        <v>I</v>
      </c>
      <c r="F937" s="202" t="str">
        <f ca="1">IFERROR(__xludf.DUMMYFUNCTION("""COMPUTED_VALUE"""),"S")</f>
        <v>S</v>
      </c>
      <c r="G937" s="202">
        <f ca="1">IFERROR(__xludf.DUMMYFUNCTION("""COMPUTED_VALUE"""),4)</f>
        <v>4</v>
      </c>
      <c r="H937" s="208"/>
      <c r="I937" s="208"/>
      <c r="J937" s="208"/>
      <c r="K937" s="208"/>
      <c r="L937" s="208" t="str">
        <v/>
      </c>
      <c r="M937" s="208" t="str">
        <v/>
      </c>
    </row>
    <row r="938" spans="1:13" ht="14.4">
      <c r="A938" s="199" t="str">
        <f ca="1">IFERROR(__xludf.DUMMYFUNCTION("""COMPUTED_VALUE"""),"HS")</f>
        <v>HS</v>
      </c>
      <c r="B938" s="207" t="str">
        <f ca="1">IFERROR(__xludf.DUMMYFUNCTION("""COMPUTED_VALUE"""),"Laura Marques-Davila")</f>
        <v>Laura Marques-Davila</v>
      </c>
      <c r="C938" s="199">
        <f ca="1">IFERROR(__xludf.DUMMYFUNCTION("""COMPUTED_VALUE"""),13)</f>
        <v>13</v>
      </c>
      <c r="D938" s="199" t="str">
        <f ca="1">IFERROR(__xludf.DUMMYFUNCTION("""COMPUTED_VALUE"""),"G")</f>
        <v>G</v>
      </c>
      <c r="E938" s="202" t="str">
        <f ca="1">IFERROR(__xludf.DUMMYFUNCTION("""COMPUTED_VALUE"""),"I")</f>
        <v>I</v>
      </c>
      <c r="F938" s="202" t="str">
        <f ca="1">IFERROR(__xludf.DUMMYFUNCTION("""COMPUTED_VALUE"""),"S")</f>
        <v>S</v>
      </c>
      <c r="G938" s="202">
        <f ca="1">IFERROR(__xludf.DUMMYFUNCTION("""COMPUTED_VALUE"""),4)</f>
        <v>4</v>
      </c>
      <c r="H938" s="208"/>
      <c r="I938" s="208"/>
      <c r="J938" s="208"/>
      <c r="K938" s="208"/>
      <c r="L938" s="208" t="str">
        <v/>
      </c>
      <c r="M938" s="208" t="str">
        <v/>
      </c>
    </row>
    <row r="939" spans="1:13" ht="14.4">
      <c r="A939" s="199" t="str">
        <f ca="1">IFERROR(__xludf.DUMMYFUNCTION("""COMPUTED_VALUE"""),"HS")</f>
        <v>HS</v>
      </c>
      <c r="B939" s="207" t="str">
        <f ca="1">IFERROR(__xludf.DUMMYFUNCTION("""COMPUTED_VALUE"""),"Norah Kissinger")</f>
        <v>Norah Kissinger</v>
      </c>
      <c r="C939" s="199">
        <f ca="1">IFERROR(__xludf.DUMMYFUNCTION("""COMPUTED_VALUE"""),14)</f>
        <v>14</v>
      </c>
      <c r="D939" s="199" t="str">
        <f ca="1">IFERROR(__xludf.DUMMYFUNCTION("""COMPUTED_VALUE"""),"G")</f>
        <v>G</v>
      </c>
      <c r="E939" s="202" t="str">
        <f ca="1">IFERROR(__xludf.DUMMYFUNCTION("""COMPUTED_VALUE"""),"I")</f>
        <v>I</v>
      </c>
      <c r="F939" s="202" t="str">
        <f ca="1">IFERROR(__xludf.DUMMYFUNCTION("""COMPUTED_VALUE"""),"S")</f>
        <v>S</v>
      </c>
      <c r="G939" s="202">
        <f ca="1">IFERROR(__xludf.DUMMYFUNCTION("""COMPUTED_VALUE"""),4)</f>
        <v>4</v>
      </c>
      <c r="H939" s="206">
        <v>128.9</v>
      </c>
      <c r="I939" s="206"/>
      <c r="J939" s="206" t="s">
        <v>121</v>
      </c>
      <c r="K939" s="206"/>
      <c r="L939" s="206" t="str">
        <v xml:space="preserve"> 128.9</v>
      </c>
      <c r="M939" s="206" t="str">
        <v/>
      </c>
    </row>
    <row r="940" spans="1:13" ht="14.4">
      <c r="A940" s="199" t="str">
        <f ca="1">IFERROR(__xludf.DUMMYFUNCTION("""COMPUTED_VALUE"""),"HS")</f>
        <v>HS</v>
      </c>
      <c r="B940" s="207" t="str">
        <f ca="1">IFERROR(__xludf.DUMMYFUNCTION("""COMPUTED_VALUE"""),"Adrith Kamat")</f>
        <v>Adrith Kamat</v>
      </c>
      <c r="C940" s="199">
        <f ca="1">IFERROR(__xludf.DUMMYFUNCTION("""COMPUTED_VALUE"""),11)</f>
        <v>11</v>
      </c>
      <c r="D940" s="199" t="str">
        <f ca="1">IFERROR(__xludf.DUMMYFUNCTION("""COMPUTED_VALUE"""),"B")</f>
        <v>B</v>
      </c>
      <c r="E940" s="202" t="str">
        <f ca="1">IFERROR(__xludf.DUMMYFUNCTION("""COMPUTED_VALUE"""),"J")</f>
        <v>J</v>
      </c>
      <c r="F940" s="202" t="str">
        <f ca="1">IFERROR(__xludf.DUMMYFUNCTION("""COMPUTED_VALUE"""),"I")</f>
        <v>I</v>
      </c>
      <c r="G940" s="202">
        <f ca="1">IFERROR(__xludf.DUMMYFUNCTION("""COMPUTED_VALUE"""),4)</f>
        <v>4</v>
      </c>
      <c r="H940" s="208"/>
      <c r="I940" s="208"/>
      <c r="J940" s="208"/>
      <c r="K940" s="208"/>
      <c r="L940" s="208" t="str">
        <v/>
      </c>
      <c r="M940" s="208" t="str">
        <v/>
      </c>
    </row>
    <row r="941" spans="1:13" ht="14.4">
      <c r="A941" s="199" t="str">
        <f ca="1">IFERROR(__xludf.DUMMYFUNCTION("""COMPUTED_VALUE"""),"HS")</f>
        <v>HS</v>
      </c>
      <c r="B941" s="207" t="str">
        <f ca="1">IFERROR(__xludf.DUMMYFUNCTION("""COMPUTED_VALUE"""),"Axel Fitzharris")</f>
        <v>Axel Fitzharris</v>
      </c>
      <c r="C941" s="199">
        <f ca="1">IFERROR(__xludf.DUMMYFUNCTION("""COMPUTED_VALUE"""),12)</f>
        <v>12</v>
      </c>
      <c r="D941" s="199" t="str">
        <f ca="1">IFERROR(__xludf.DUMMYFUNCTION("""COMPUTED_VALUE"""),"B")</f>
        <v>B</v>
      </c>
      <c r="E941" s="202" t="str">
        <f ca="1">IFERROR(__xludf.DUMMYFUNCTION("""COMPUTED_VALUE"""),"J")</f>
        <v>J</v>
      </c>
      <c r="F941" s="202" t="str">
        <f ca="1">IFERROR(__xludf.DUMMYFUNCTION("""COMPUTED_VALUE"""),"I")</f>
        <v>I</v>
      </c>
      <c r="G941" s="202">
        <f ca="1">IFERROR(__xludf.DUMMYFUNCTION("""COMPUTED_VALUE"""),4)</f>
        <v>4</v>
      </c>
      <c r="H941" s="208"/>
      <c r="I941" s="208"/>
      <c r="J941" s="208"/>
      <c r="K941" s="208"/>
      <c r="L941" s="208" t="str">
        <v/>
      </c>
      <c r="M941" s="208" t="str">
        <v/>
      </c>
    </row>
    <row r="942" spans="1:13" ht="14.4">
      <c r="A942" s="199" t="str">
        <f ca="1">IFERROR(__xludf.DUMMYFUNCTION("""COMPUTED_VALUE"""),"HS")</f>
        <v>HS</v>
      </c>
      <c r="B942" s="207" t="str">
        <f ca="1">IFERROR(__xludf.DUMMYFUNCTION("""COMPUTED_VALUE"""),"Jay Gillen")</f>
        <v>Jay Gillen</v>
      </c>
      <c r="C942" s="199">
        <f ca="1">IFERROR(__xludf.DUMMYFUNCTION("""COMPUTED_VALUE"""),11)</f>
        <v>11</v>
      </c>
      <c r="D942" s="199" t="str">
        <f ca="1">IFERROR(__xludf.DUMMYFUNCTION("""COMPUTED_VALUE"""),"B")</f>
        <v>B</v>
      </c>
      <c r="E942" s="202" t="str">
        <f ca="1">IFERROR(__xludf.DUMMYFUNCTION("""COMPUTED_VALUE"""),"J")</f>
        <v>J</v>
      </c>
      <c r="F942" s="202" t="str">
        <f ca="1">IFERROR(__xludf.DUMMYFUNCTION("""COMPUTED_VALUE"""),"I")</f>
        <v>I</v>
      </c>
      <c r="G942" s="202">
        <f ca="1">IFERROR(__xludf.DUMMYFUNCTION("""COMPUTED_VALUE"""),4)</f>
        <v>4</v>
      </c>
      <c r="H942" s="208"/>
      <c r="I942" s="208"/>
      <c r="J942" s="208"/>
      <c r="K942" s="208"/>
      <c r="L942" s="208" t="str">
        <v/>
      </c>
      <c r="M942" s="208" t="str">
        <v/>
      </c>
    </row>
    <row r="943" spans="1:13" ht="14.4">
      <c r="A943" s="199" t="str">
        <f ca="1">IFERROR(__xludf.DUMMYFUNCTION("""COMPUTED_VALUE"""),"HS")</f>
        <v>HS</v>
      </c>
      <c r="B943" s="207" t="str">
        <f ca="1">IFERROR(__xludf.DUMMYFUNCTION("""COMPUTED_VALUE"""),"Walter Shiu")</f>
        <v>Walter Shiu</v>
      </c>
      <c r="C943" s="199">
        <f ca="1">IFERROR(__xludf.DUMMYFUNCTION("""COMPUTED_VALUE"""),11)</f>
        <v>11</v>
      </c>
      <c r="D943" s="199" t="str">
        <f ca="1">IFERROR(__xludf.DUMMYFUNCTION("""COMPUTED_VALUE"""),"B")</f>
        <v>B</v>
      </c>
      <c r="E943" s="202" t="str">
        <f ca="1">IFERROR(__xludf.DUMMYFUNCTION("""COMPUTED_VALUE"""),"J")</f>
        <v>J</v>
      </c>
      <c r="F943" s="202" t="str">
        <f ca="1">IFERROR(__xludf.DUMMYFUNCTION("""COMPUTED_VALUE"""),"I")</f>
        <v>I</v>
      </c>
      <c r="G943" s="202">
        <f ca="1">IFERROR(__xludf.DUMMYFUNCTION("""COMPUTED_VALUE"""),4)</f>
        <v>4</v>
      </c>
      <c r="H943" s="208"/>
      <c r="I943" s="208">
        <v>50</v>
      </c>
      <c r="J943" s="208"/>
      <c r="K943" s="208" t="s">
        <v>121</v>
      </c>
      <c r="L943" s="208" t="str">
        <v xml:space="preserve"> 50</v>
      </c>
      <c r="M943" s="208" t="str">
        <v/>
      </c>
    </row>
    <row r="944" spans="1:13" ht="14.4">
      <c r="A944" s="199" t="str">
        <f ca="1">IFERROR(__xludf.DUMMYFUNCTION("""COMPUTED_VALUE"""),"HS")</f>
        <v>HS</v>
      </c>
      <c r="B944" s="207" t="str">
        <f ca="1">IFERROR(__xludf.DUMMYFUNCTION("""COMPUTED_VALUE"""),"Abigail Taylor")</f>
        <v>Abigail Taylor</v>
      </c>
      <c r="C944" s="199">
        <f ca="1">IFERROR(__xludf.DUMMYFUNCTION("""COMPUTED_VALUE"""),11)</f>
        <v>11</v>
      </c>
      <c r="D944" s="199" t="str">
        <f ca="1">IFERROR(__xludf.DUMMYFUNCTION("""COMPUTED_VALUE"""),"G")</f>
        <v>G</v>
      </c>
      <c r="E944" s="202" t="str">
        <f ca="1">IFERROR(__xludf.DUMMYFUNCTION("""COMPUTED_VALUE"""),"J")</f>
        <v>J</v>
      </c>
      <c r="F944" s="202" t="str">
        <f ca="1">IFERROR(__xludf.DUMMYFUNCTION("""COMPUTED_VALUE"""),"I")</f>
        <v>I</v>
      </c>
      <c r="G944" s="202">
        <f ca="1">IFERROR(__xludf.DUMMYFUNCTION("""COMPUTED_VALUE"""),4)</f>
        <v>4</v>
      </c>
      <c r="H944" s="208"/>
      <c r="I944" s="208"/>
      <c r="J944" s="208"/>
      <c r="K944" s="208"/>
      <c r="L944" s="208" t="str">
        <v/>
      </c>
      <c r="M944" s="208" t="str">
        <v/>
      </c>
    </row>
    <row r="945" spans="1:13" ht="14.4">
      <c r="A945" s="199" t="str">
        <f ca="1">IFERROR(__xludf.DUMMYFUNCTION("""COMPUTED_VALUE"""),"HS")</f>
        <v>HS</v>
      </c>
      <c r="B945" s="207" t="str">
        <f ca="1">IFERROR(__xludf.DUMMYFUNCTION("""COMPUTED_VALUE"""),"Charlotte Berik")</f>
        <v>Charlotte Berik</v>
      </c>
      <c r="C945" s="199">
        <f ca="1">IFERROR(__xludf.DUMMYFUNCTION("""COMPUTED_VALUE"""),12)</f>
        <v>12</v>
      </c>
      <c r="D945" s="199" t="str">
        <f ca="1">IFERROR(__xludf.DUMMYFUNCTION("""COMPUTED_VALUE"""),"G")</f>
        <v>G</v>
      </c>
      <c r="E945" s="202" t="str">
        <f ca="1">IFERROR(__xludf.DUMMYFUNCTION("""COMPUTED_VALUE"""),"J")</f>
        <v>J</v>
      </c>
      <c r="F945" s="202" t="str">
        <f ca="1">IFERROR(__xludf.DUMMYFUNCTION("""COMPUTED_VALUE"""),"I")</f>
        <v>I</v>
      </c>
      <c r="G945" s="202">
        <f ca="1">IFERROR(__xludf.DUMMYFUNCTION("""COMPUTED_VALUE"""),4)</f>
        <v>4</v>
      </c>
      <c r="H945" s="208">
        <v>86.7</v>
      </c>
      <c r="I945" s="208"/>
      <c r="J945" s="208" t="s">
        <v>121</v>
      </c>
      <c r="K945" s="208"/>
      <c r="L945" s="208" t="str">
        <v xml:space="preserve"> 86.7</v>
      </c>
      <c r="M945" s="208" t="str">
        <v/>
      </c>
    </row>
    <row r="946" spans="1:13" ht="14.4">
      <c r="A946" s="199" t="str">
        <f ca="1">IFERROR(__xludf.DUMMYFUNCTION("""COMPUTED_VALUE"""),"HS")</f>
        <v>HS</v>
      </c>
      <c r="B946" s="207" t="str">
        <f ca="1">IFERROR(__xludf.DUMMYFUNCTION("""COMPUTED_VALUE"""),"Claire O’Sullivan")</f>
        <v>Claire O’Sullivan</v>
      </c>
      <c r="C946" s="199">
        <f ca="1">IFERROR(__xludf.DUMMYFUNCTION("""COMPUTED_VALUE"""),11)</f>
        <v>11</v>
      </c>
      <c r="D946" s="199" t="str">
        <f ca="1">IFERROR(__xludf.DUMMYFUNCTION("""COMPUTED_VALUE"""),"G")</f>
        <v>G</v>
      </c>
      <c r="E946" s="202" t="str">
        <f ca="1">IFERROR(__xludf.DUMMYFUNCTION("""COMPUTED_VALUE"""),"J")</f>
        <v>J</v>
      </c>
      <c r="F946" s="202" t="str">
        <f ca="1">IFERROR(__xludf.DUMMYFUNCTION("""COMPUTED_VALUE"""),"I")</f>
        <v>I</v>
      </c>
      <c r="G946" s="202">
        <f ca="1">IFERROR(__xludf.DUMMYFUNCTION("""COMPUTED_VALUE"""),4)</f>
        <v>4</v>
      </c>
      <c r="H946" s="208"/>
      <c r="I946" s="208"/>
      <c r="J946" s="208"/>
      <c r="K946" s="208"/>
      <c r="L946" s="208" t="str">
        <v/>
      </c>
      <c r="M946" s="208" t="str">
        <v/>
      </c>
    </row>
    <row r="947" spans="1:13" ht="14.4">
      <c r="A947" s="199" t="str">
        <f ca="1">IFERROR(__xludf.DUMMYFUNCTION("""COMPUTED_VALUE"""),"HS")</f>
        <v>HS</v>
      </c>
      <c r="B947" s="207" t="str">
        <f ca="1">IFERROR(__xludf.DUMMYFUNCTION("""COMPUTED_VALUE"""),"Grace Noonan")</f>
        <v>Grace Noonan</v>
      </c>
      <c r="C947" s="199">
        <f ca="1">IFERROR(__xludf.DUMMYFUNCTION("""COMPUTED_VALUE"""),11)</f>
        <v>11</v>
      </c>
      <c r="D947" s="199" t="str">
        <f ca="1">IFERROR(__xludf.DUMMYFUNCTION("""COMPUTED_VALUE"""),"G")</f>
        <v>G</v>
      </c>
      <c r="E947" s="202" t="str">
        <f ca="1">IFERROR(__xludf.DUMMYFUNCTION("""COMPUTED_VALUE"""),"J")</f>
        <v>J</v>
      </c>
      <c r="F947" s="202" t="str">
        <f ca="1">IFERROR(__xludf.DUMMYFUNCTION("""COMPUTED_VALUE"""),"I")</f>
        <v>I</v>
      </c>
      <c r="G947" s="202">
        <f ca="1">IFERROR(__xludf.DUMMYFUNCTION("""COMPUTED_VALUE"""),4)</f>
        <v>4</v>
      </c>
      <c r="H947" s="206"/>
      <c r="I947" s="206"/>
      <c r="J947" s="206"/>
      <c r="K947" s="206"/>
      <c r="L947" s="206" t="str">
        <v/>
      </c>
      <c r="M947" s="206" t="str">
        <v/>
      </c>
    </row>
    <row r="948" spans="1:13" ht="14.4">
      <c r="A948" s="199" t="str">
        <f ca="1">IFERROR(__xludf.DUMMYFUNCTION("""COMPUTED_VALUE"""),"HS")</f>
        <v>HS</v>
      </c>
      <c r="B948" s="207" t="str">
        <f ca="1">IFERROR(__xludf.DUMMYFUNCTION("""COMPUTED_VALUE"""),"Heloise Campbell")</f>
        <v>Heloise Campbell</v>
      </c>
      <c r="C948" s="199">
        <f ca="1">IFERROR(__xludf.DUMMYFUNCTION("""COMPUTED_VALUE"""),11)</f>
        <v>11</v>
      </c>
      <c r="D948" s="199" t="str">
        <f ca="1">IFERROR(__xludf.DUMMYFUNCTION("""COMPUTED_VALUE"""),"G")</f>
        <v>G</v>
      </c>
      <c r="E948" s="202" t="str">
        <f ca="1">IFERROR(__xludf.DUMMYFUNCTION("""COMPUTED_VALUE"""),"J")</f>
        <v>J</v>
      </c>
      <c r="F948" s="202" t="str">
        <f ca="1">IFERROR(__xludf.DUMMYFUNCTION("""COMPUTED_VALUE"""),"I")</f>
        <v>I</v>
      </c>
      <c r="G948" s="202">
        <f ca="1">IFERROR(__xludf.DUMMYFUNCTION("""COMPUTED_VALUE"""),4)</f>
        <v>4</v>
      </c>
      <c r="H948" s="208"/>
      <c r="I948" s="208"/>
      <c r="J948" s="208"/>
      <c r="K948" s="208"/>
      <c r="L948" s="208" t="str">
        <v/>
      </c>
      <c r="M948" s="208" t="str">
        <v/>
      </c>
    </row>
    <row r="949" spans="1:13" ht="14.4">
      <c r="A949" s="199" t="str">
        <f ca="1">IFERROR(__xludf.DUMMYFUNCTION("""COMPUTED_VALUE"""),"HS")</f>
        <v>HS</v>
      </c>
      <c r="B949" s="207" t="str">
        <f ca="1">IFERROR(__xludf.DUMMYFUNCTION("""COMPUTED_VALUE"""),"Isabel Karam")</f>
        <v>Isabel Karam</v>
      </c>
      <c r="C949" s="199">
        <f ca="1">IFERROR(__xludf.DUMMYFUNCTION("""COMPUTED_VALUE"""),12)</f>
        <v>12</v>
      </c>
      <c r="D949" s="199" t="str">
        <f ca="1">IFERROR(__xludf.DUMMYFUNCTION("""COMPUTED_VALUE"""),"G")</f>
        <v>G</v>
      </c>
      <c r="E949" s="202" t="str">
        <f ca="1">IFERROR(__xludf.DUMMYFUNCTION("""COMPUTED_VALUE"""),"J")</f>
        <v>J</v>
      </c>
      <c r="F949" s="202" t="str">
        <f ca="1">IFERROR(__xludf.DUMMYFUNCTION("""COMPUTED_VALUE"""),"I")</f>
        <v>I</v>
      </c>
      <c r="G949" s="202">
        <f ca="1">IFERROR(__xludf.DUMMYFUNCTION("""COMPUTED_VALUE"""),4)</f>
        <v>4</v>
      </c>
      <c r="H949" s="206">
        <v>77.599999999999994</v>
      </c>
      <c r="I949" s="206"/>
      <c r="J949" s="206" t="s">
        <v>123</v>
      </c>
      <c r="K949" s="206"/>
      <c r="L949" s="206" t="str">
        <v xml:space="preserve"> -77.6</v>
      </c>
      <c r="M949" s="206" t="str">
        <v>^</v>
      </c>
    </row>
    <row r="950" spans="1:13" ht="14.4">
      <c r="A950" s="199" t="str">
        <f ca="1">IFERROR(__xludf.DUMMYFUNCTION("""COMPUTED_VALUE"""),"HS")</f>
        <v>HS</v>
      </c>
      <c r="B950" s="207" t="str">
        <f ca="1">IFERROR(__xludf.DUMMYFUNCTION("""COMPUTED_VALUE"""),"Lauren Kleinberg")</f>
        <v>Lauren Kleinberg</v>
      </c>
      <c r="C950" s="199">
        <f ca="1">IFERROR(__xludf.DUMMYFUNCTION("""COMPUTED_VALUE"""),12)</f>
        <v>12</v>
      </c>
      <c r="D950" s="199" t="str">
        <f ca="1">IFERROR(__xludf.DUMMYFUNCTION("""COMPUTED_VALUE"""),"G")</f>
        <v>G</v>
      </c>
      <c r="E950" s="202" t="str">
        <f ca="1">IFERROR(__xludf.DUMMYFUNCTION("""COMPUTED_VALUE"""),"J")</f>
        <v>J</v>
      </c>
      <c r="F950" s="202" t="str">
        <f ca="1">IFERROR(__xludf.DUMMYFUNCTION("""COMPUTED_VALUE"""),"I")</f>
        <v>I</v>
      </c>
      <c r="G950" s="202">
        <f ca="1">IFERROR(__xludf.DUMMYFUNCTION("""COMPUTED_VALUE"""),4)</f>
        <v>4</v>
      </c>
      <c r="H950" s="208"/>
      <c r="I950" s="208"/>
      <c r="J950" s="208"/>
      <c r="K950" s="208"/>
      <c r="L950" s="208" t="str">
        <v/>
      </c>
      <c r="M950" s="208" t="str">
        <v/>
      </c>
    </row>
    <row r="951" spans="1:13" ht="14.4">
      <c r="A951" s="199" t="str">
        <f ca="1">IFERROR(__xludf.DUMMYFUNCTION("""COMPUTED_VALUE"""),"HS")</f>
        <v>HS</v>
      </c>
      <c r="B951" s="207" t="str">
        <f ca="1">IFERROR(__xludf.DUMMYFUNCTION("""COMPUTED_VALUE"""),"Madeline Roche")</f>
        <v>Madeline Roche</v>
      </c>
      <c r="C951" s="199">
        <f ca="1">IFERROR(__xludf.DUMMYFUNCTION("""COMPUTED_VALUE"""),11)</f>
        <v>11</v>
      </c>
      <c r="D951" s="199" t="str">
        <f ca="1">IFERROR(__xludf.DUMMYFUNCTION("""COMPUTED_VALUE"""),"G")</f>
        <v>G</v>
      </c>
      <c r="E951" s="202" t="str">
        <f ca="1">IFERROR(__xludf.DUMMYFUNCTION("""COMPUTED_VALUE"""),"J")</f>
        <v>J</v>
      </c>
      <c r="F951" s="202" t="str">
        <f ca="1">IFERROR(__xludf.DUMMYFUNCTION("""COMPUTED_VALUE"""),"I")</f>
        <v>I</v>
      </c>
      <c r="G951" s="202">
        <f ca="1">IFERROR(__xludf.DUMMYFUNCTION("""COMPUTED_VALUE"""),4)</f>
        <v>4</v>
      </c>
      <c r="H951" s="208">
        <v>72.2</v>
      </c>
      <c r="I951" s="208"/>
      <c r="J951" s="208" t="s">
        <v>121</v>
      </c>
      <c r="K951" s="208"/>
      <c r="L951" s="208" t="str">
        <v xml:space="preserve"> 72.2</v>
      </c>
      <c r="M951" s="208" t="str">
        <v/>
      </c>
    </row>
    <row r="952" spans="1:13" ht="14.4">
      <c r="A952" s="199" t="str">
        <f ca="1">IFERROR(__xludf.DUMMYFUNCTION("""COMPUTED_VALUE"""),"HS")</f>
        <v>HS</v>
      </c>
      <c r="B952" s="207" t="str">
        <f ca="1">IFERROR(__xludf.DUMMYFUNCTION("""COMPUTED_VALUE"""),"Margaret-May Segreti")</f>
        <v>Margaret-May Segreti</v>
      </c>
      <c r="C952" s="199">
        <f ca="1">IFERROR(__xludf.DUMMYFUNCTION("""COMPUTED_VALUE"""),11)</f>
        <v>11</v>
      </c>
      <c r="D952" s="199" t="str">
        <f ca="1">IFERROR(__xludf.DUMMYFUNCTION("""COMPUTED_VALUE"""),"G")</f>
        <v>G</v>
      </c>
      <c r="E952" s="202" t="str">
        <f ca="1">IFERROR(__xludf.DUMMYFUNCTION("""COMPUTED_VALUE"""),"J")</f>
        <v>J</v>
      </c>
      <c r="F952" s="202" t="str">
        <f ca="1">IFERROR(__xludf.DUMMYFUNCTION("""COMPUTED_VALUE"""),"I")</f>
        <v>I</v>
      </c>
      <c r="G952" s="202">
        <f ca="1">IFERROR(__xludf.DUMMYFUNCTION("""COMPUTED_VALUE"""),4)</f>
        <v>4</v>
      </c>
      <c r="H952" s="208"/>
      <c r="I952" s="208"/>
      <c r="J952" s="208"/>
      <c r="K952" s="208"/>
      <c r="L952" s="208" t="str">
        <v/>
      </c>
      <c r="M952" s="208" t="str">
        <v/>
      </c>
    </row>
    <row r="953" spans="1:13" ht="14.4">
      <c r="A953" s="199" t="str">
        <f ca="1">IFERROR(__xludf.DUMMYFUNCTION("""COMPUTED_VALUE"""),"HS")</f>
        <v>HS</v>
      </c>
      <c r="B953" s="207" t="str">
        <f ca="1">IFERROR(__xludf.DUMMYFUNCTION("""COMPUTED_VALUE"""),"Jeremy Simon")</f>
        <v>Jeremy Simon</v>
      </c>
      <c r="C953" s="199">
        <f ca="1">IFERROR(__xludf.DUMMYFUNCTION("""COMPUTED_VALUE"""),16)</f>
        <v>16</v>
      </c>
      <c r="D953" s="199" t="str">
        <f ca="1">IFERROR(__xludf.DUMMYFUNCTION("""COMPUTED_VALUE"""),"B")</f>
        <v>B</v>
      </c>
      <c r="E953" s="202" t="str">
        <f ca="1">IFERROR(__xludf.DUMMYFUNCTION("""COMPUTED_VALUE"""),"S")</f>
        <v>S</v>
      </c>
      <c r="F953" s="202" t="str">
        <f ca="1">IFERROR(__xludf.DUMMYFUNCTION("""COMPUTED_VALUE"""),"S")</f>
        <v>S</v>
      </c>
      <c r="G953" s="202">
        <f ca="1">IFERROR(__xludf.DUMMYFUNCTION("""COMPUTED_VALUE"""),4)</f>
        <v>4</v>
      </c>
      <c r="H953" s="208"/>
      <c r="I953" s="208"/>
      <c r="J953" s="208"/>
      <c r="K953" s="208"/>
      <c r="L953" s="208" t="str">
        <v/>
      </c>
      <c r="M953" s="208" t="str">
        <v/>
      </c>
    </row>
    <row r="954" spans="1:13" ht="14.4">
      <c r="A954" s="199" t="str">
        <f ca="1">IFERROR(__xludf.DUMMYFUNCTION("""COMPUTED_VALUE"""),"HS")</f>
        <v>HS</v>
      </c>
      <c r="B954" s="207" t="str">
        <f ca="1">IFERROR(__xludf.DUMMYFUNCTION("""COMPUTED_VALUE"""),"Tanner Moore")</f>
        <v>Tanner Moore</v>
      </c>
      <c r="C954" s="199">
        <f ca="1">IFERROR(__xludf.DUMMYFUNCTION("""COMPUTED_VALUE"""),17)</f>
        <v>17</v>
      </c>
      <c r="D954" s="199" t="str">
        <f ca="1">IFERROR(__xludf.DUMMYFUNCTION("""COMPUTED_VALUE"""),"B")</f>
        <v>B</v>
      </c>
      <c r="E954" s="202" t="str">
        <f ca="1">IFERROR(__xludf.DUMMYFUNCTION("""COMPUTED_VALUE"""),"S")</f>
        <v>S</v>
      </c>
      <c r="F954" s="202" t="str">
        <f ca="1">IFERROR(__xludf.DUMMYFUNCTION("""COMPUTED_VALUE"""),"S")</f>
        <v>S</v>
      </c>
      <c r="G954" s="202">
        <f ca="1">IFERROR(__xludf.DUMMYFUNCTION("""COMPUTED_VALUE"""),4)</f>
        <v>4</v>
      </c>
      <c r="H954" s="208"/>
      <c r="I954" s="208">
        <v>213.9</v>
      </c>
      <c r="J954" s="208"/>
      <c r="K954" s="208" t="s">
        <v>121</v>
      </c>
      <c r="L954" s="208" t="str">
        <v xml:space="preserve"> 213.9</v>
      </c>
      <c r="M954" s="208" t="str">
        <v/>
      </c>
    </row>
    <row r="955" spans="1:13" ht="14.4">
      <c r="A955" s="199" t="str">
        <f ca="1">IFERROR(__xludf.DUMMYFUNCTION("""COMPUTED_VALUE"""),"HS")</f>
        <v>HS</v>
      </c>
      <c r="B955" s="207" t="str">
        <f ca="1">IFERROR(__xludf.DUMMYFUNCTION("""COMPUTED_VALUE"""),"Zachary Abruzzese")</f>
        <v>Zachary Abruzzese</v>
      </c>
      <c r="C955" s="199">
        <f ca="1">IFERROR(__xludf.DUMMYFUNCTION("""COMPUTED_VALUE"""),15)</f>
        <v>15</v>
      </c>
      <c r="D955" s="199" t="str">
        <f ca="1">IFERROR(__xludf.DUMMYFUNCTION("""COMPUTED_VALUE"""),"B")</f>
        <v>B</v>
      </c>
      <c r="E955" s="202" t="str">
        <f ca="1">IFERROR(__xludf.DUMMYFUNCTION("""COMPUTED_VALUE"""),"S")</f>
        <v>S</v>
      </c>
      <c r="F955" s="202" t="str">
        <f ca="1">IFERROR(__xludf.DUMMYFUNCTION("""COMPUTED_VALUE"""),"S")</f>
        <v>S</v>
      </c>
      <c r="G955" s="202">
        <f ca="1">IFERROR(__xludf.DUMMYFUNCTION("""COMPUTED_VALUE"""),4)</f>
        <v>4</v>
      </c>
      <c r="H955" s="208"/>
      <c r="I955" s="208">
        <v>105</v>
      </c>
      <c r="J955" s="208"/>
      <c r="K955" s="208" t="s">
        <v>121</v>
      </c>
      <c r="L955" s="208" t="str">
        <v xml:space="preserve"> 105</v>
      </c>
      <c r="M955" s="208" t="str">
        <v/>
      </c>
    </row>
    <row r="956" spans="1:13" ht="14.4">
      <c r="A956" s="199" t="str">
        <f ca="1">IFERROR(__xludf.DUMMYFUNCTION("""COMPUTED_VALUE"""),"HS")</f>
        <v>HS</v>
      </c>
      <c r="B956" s="207" t="str">
        <f ca="1">IFERROR(__xludf.DUMMYFUNCTION("""COMPUTED_VALUE"""),"Erin Wills")</f>
        <v>Erin Wills</v>
      </c>
      <c r="C956" s="199">
        <f ca="1">IFERROR(__xludf.DUMMYFUNCTION("""COMPUTED_VALUE"""),15)</f>
        <v>15</v>
      </c>
      <c r="D956" s="199" t="str">
        <f ca="1">IFERROR(__xludf.DUMMYFUNCTION("""COMPUTED_VALUE"""),"G")</f>
        <v>G</v>
      </c>
      <c r="E956" s="202" t="str">
        <f ca="1">IFERROR(__xludf.DUMMYFUNCTION("""COMPUTED_VALUE"""),"S")</f>
        <v>S</v>
      </c>
      <c r="F956" s="202" t="str">
        <f ca="1">IFERROR(__xludf.DUMMYFUNCTION("""COMPUTED_VALUE"""),"S")</f>
        <v>S</v>
      </c>
      <c r="G956" s="202">
        <f ca="1">IFERROR(__xludf.DUMMYFUNCTION("""COMPUTED_VALUE"""),4)</f>
        <v>4</v>
      </c>
      <c r="H956" s="206">
        <v>152.19999999999999</v>
      </c>
      <c r="I956" s="206"/>
      <c r="J956" s="206" t="s">
        <v>121</v>
      </c>
      <c r="K956" s="206"/>
      <c r="L956" s="206" t="str">
        <v xml:space="preserve"> 152.2</v>
      </c>
      <c r="M956" s="206" t="str">
        <v/>
      </c>
    </row>
    <row r="957" spans="1:13" ht="14.4">
      <c r="A957" s="199" t="str">
        <f ca="1">IFERROR(__xludf.DUMMYFUNCTION("""COMPUTED_VALUE"""),"HS")</f>
        <v>HS</v>
      </c>
      <c r="B957" s="207" t="str">
        <f ca="1">IFERROR(__xludf.DUMMYFUNCTION("""COMPUTED_VALUE"""),"Karenna Keane")</f>
        <v>Karenna Keane</v>
      </c>
      <c r="C957" s="199">
        <f ca="1">IFERROR(__xludf.DUMMYFUNCTION("""COMPUTED_VALUE"""),16)</f>
        <v>16</v>
      </c>
      <c r="D957" s="199" t="str">
        <f ca="1">IFERROR(__xludf.DUMMYFUNCTION("""COMPUTED_VALUE"""),"G")</f>
        <v>G</v>
      </c>
      <c r="E957" s="202" t="str">
        <f ca="1">IFERROR(__xludf.DUMMYFUNCTION("""COMPUTED_VALUE"""),"S")</f>
        <v>S</v>
      </c>
      <c r="F957" s="202" t="str">
        <f ca="1">IFERROR(__xludf.DUMMYFUNCTION("""COMPUTED_VALUE"""),"S")</f>
        <v>S</v>
      </c>
      <c r="G957" s="202">
        <f ca="1">IFERROR(__xludf.DUMMYFUNCTION("""COMPUTED_VALUE"""),4)</f>
        <v>4</v>
      </c>
      <c r="H957" s="206">
        <v>140.30000000000001</v>
      </c>
      <c r="I957" s="206"/>
      <c r="J957" s="206" t="s">
        <v>121</v>
      </c>
      <c r="K957" s="206"/>
      <c r="L957" s="206" t="str">
        <v xml:space="preserve"> 140.3</v>
      </c>
      <c r="M957" s="206" t="str">
        <v/>
      </c>
    </row>
    <row r="958" spans="1:13" ht="14.4">
      <c r="A958" s="199" t="str">
        <f ca="1">IFERROR(__xludf.DUMMYFUNCTION("""COMPUTED_VALUE"""),"HS")</f>
        <v>HS</v>
      </c>
      <c r="B958" s="207" t="str">
        <f ca="1">IFERROR(__xludf.DUMMYFUNCTION("""COMPUTED_VALUE"""),"Meghan Kissinger")</f>
        <v>Meghan Kissinger</v>
      </c>
      <c r="C958" s="199">
        <f ca="1">IFERROR(__xludf.DUMMYFUNCTION("""COMPUTED_VALUE"""),16)</f>
        <v>16</v>
      </c>
      <c r="D958" s="199" t="str">
        <f ca="1">IFERROR(__xludf.DUMMYFUNCTION("""COMPUTED_VALUE"""),"G")</f>
        <v>G</v>
      </c>
      <c r="E958" s="202" t="str">
        <f ca="1">IFERROR(__xludf.DUMMYFUNCTION("""COMPUTED_VALUE"""),"S")</f>
        <v>S</v>
      </c>
      <c r="F958" s="202" t="str">
        <f ca="1">IFERROR(__xludf.DUMMYFUNCTION("""COMPUTED_VALUE"""),"S")</f>
        <v>S</v>
      </c>
      <c r="G958" s="202">
        <f ca="1">IFERROR(__xludf.DUMMYFUNCTION("""COMPUTED_VALUE"""),4)</f>
        <v>4</v>
      </c>
      <c r="H958" s="208">
        <v>152.6</v>
      </c>
      <c r="I958" s="208"/>
      <c r="J958" s="208" t="s">
        <v>121</v>
      </c>
      <c r="K958" s="208"/>
      <c r="L958" s="208" t="str">
        <v xml:space="preserve"> 152.6</v>
      </c>
      <c r="M958" s="208" t="str">
        <v/>
      </c>
    </row>
    <row r="959" spans="1:13" ht="14.4">
      <c r="A959" s="199" t="str">
        <f ca="1">IFERROR(__xludf.DUMMYFUNCTION("""COMPUTED_VALUE"""),"HSC")</f>
        <v>HSC</v>
      </c>
      <c r="B959" s="207" t="str">
        <f ca="1">IFERROR(__xludf.DUMMYFUNCTION("""COMPUTED_VALUE"""),"Alan Schwartz")</f>
        <v>Alan Schwartz</v>
      </c>
      <c r="C959" s="199">
        <f ca="1">IFERROR(__xludf.DUMMYFUNCTION("""COMPUTED_VALUE"""),7)</f>
        <v>7</v>
      </c>
      <c r="D959" s="199" t="str">
        <f ca="1">IFERROR(__xludf.DUMMYFUNCTION("""COMPUTED_VALUE"""),"B")</f>
        <v>B</v>
      </c>
      <c r="E959" s="202" t="str">
        <f ca="1">IFERROR(__xludf.DUMMYFUNCTION("""COMPUTED_VALUE"""),"F")</f>
        <v>F</v>
      </c>
      <c r="F959" s="202" t="str">
        <f ca="1">IFERROR(__xludf.DUMMYFUNCTION("""COMPUTED_VALUE"""),"J")</f>
        <v>J</v>
      </c>
      <c r="G959" s="202">
        <f ca="1">IFERROR(__xludf.DUMMYFUNCTION("""COMPUTED_VALUE"""),7)</f>
        <v>7</v>
      </c>
      <c r="H959" s="206"/>
      <c r="I959" s="206">
        <v>23.7</v>
      </c>
      <c r="J959" s="206"/>
      <c r="K959" s="206" t="s">
        <v>121</v>
      </c>
      <c r="L959" s="206" t="str">
        <v xml:space="preserve"> 23.7</v>
      </c>
      <c r="M959" s="206" t="str">
        <v/>
      </c>
    </row>
    <row r="960" spans="1:13" ht="14.4">
      <c r="A960" s="199" t="str">
        <f ca="1">IFERROR(__xludf.DUMMYFUNCTION("""COMPUTED_VALUE"""),"HSC")</f>
        <v>HSC</v>
      </c>
      <c r="B960" s="207" t="str">
        <f ca="1">IFERROR(__xludf.DUMMYFUNCTION("""COMPUTED_VALUE"""),"Alejandro Payan")</f>
        <v>Alejandro Payan</v>
      </c>
      <c r="C960" s="199">
        <f ca="1">IFERROR(__xludf.DUMMYFUNCTION("""COMPUTED_VALUE"""),8)</f>
        <v>8</v>
      </c>
      <c r="D960" s="199" t="str">
        <f ca="1">IFERROR(__xludf.DUMMYFUNCTION("""COMPUTED_VALUE"""),"B")</f>
        <v>B</v>
      </c>
      <c r="E960" s="202" t="str">
        <f ca="1">IFERROR(__xludf.DUMMYFUNCTION("""COMPUTED_VALUE"""),"F")</f>
        <v>F</v>
      </c>
      <c r="F960" s="202" t="str">
        <f ca="1">IFERROR(__xludf.DUMMYFUNCTION("""COMPUTED_VALUE"""),"J")</f>
        <v>J</v>
      </c>
      <c r="G960" s="202">
        <f ca="1">IFERROR(__xludf.DUMMYFUNCTION("""COMPUTED_VALUE"""),7)</f>
        <v>7</v>
      </c>
      <c r="H960" s="208"/>
      <c r="I960" s="208">
        <v>22.6</v>
      </c>
      <c r="J960" s="208"/>
      <c r="K960" s="208" t="s">
        <v>121</v>
      </c>
      <c r="L960" s="208" t="str">
        <v xml:space="preserve"> 22.6</v>
      </c>
      <c r="M960" s="208" t="str">
        <v/>
      </c>
    </row>
    <row r="961" spans="1:13" ht="14.4">
      <c r="A961" s="199" t="str">
        <f ca="1">IFERROR(__xludf.DUMMYFUNCTION("""COMPUTED_VALUE"""),"HSC")</f>
        <v>HSC</v>
      </c>
      <c r="B961" s="207" t="str">
        <f ca="1">IFERROR(__xludf.DUMMYFUNCTION("""COMPUTED_VALUE"""),"Arjun Sandhu")</f>
        <v>Arjun Sandhu</v>
      </c>
      <c r="C961" s="199">
        <f ca="1">IFERROR(__xludf.DUMMYFUNCTION("""COMPUTED_VALUE"""),9)</f>
        <v>9</v>
      </c>
      <c r="D961" s="199" t="str">
        <f ca="1">IFERROR(__xludf.DUMMYFUNCTION("""COMPUTED_VALUE"""),"B")</f>
        <v>B</v>
      </c>
      <c r="E961" s="202" t="str">
        <f ca="1">IFERROR(__xludf.DUMMYFUNCTION("""COMPUTED_VALUE"""),"F")</f>
        <v>F</v>
      </c>
      <c r="F961" s="202" t="str">
        <f ca="1">IFERROR(__xludf.DUMMYFUNCTION("""COMPUTED_VALUE"""),"J")</f>
        <v>J</v>
      </c>
      <c r="G961" s="202">
        <f ca="1">IFERROR(__xludf.DUMMYFUNCTION("""COMPUTED_VALUE"""),7)</f>
        <v>7</v>
      </c>
      <c r="H961" s="206"/>
      <c r="I961" s="206"/>
      <c r="J961" s="206"/>
      <c r="K961" s="206"/>
      <c r="L961" s="206" t="str">
        <v/>
      </c>
      <c r="M961" s="206" t="str">
        <v/>
      </c>
    </row>
    <row r="962" spans="1:13" ht="14.4">
      <c r="A962" s="199" t="str">
        <f ca="1">IFERROR(__xludf.DUMMYFUNCTION("""COMPUTED_VALUE"""),"HSC")</f>
        <v>HSC</v>
      </c>
      <c r="B962" s="207" t="str">
        <f ca="1">IFERROR(__xludf.DUMMYFUNCTION("""COMPUTED_VALUE"""),"Armon Saadat")</f>
        <v>Armon Saadat</v>
      </c>
      <c r="C962" s="199">
        <f ca="1">IFERROR(__xludf.DUMMYFUNCTION("""COMPUTED_VALUE"""),9)</f>
        <v>9</v>
      </c>
      <c r="D962" s="199" t="str">
        <f ca="1">IFERROR(__xludf.DUMMYFUNCTION("""COMPUTED_VALUE"""),"B")</f>
        <v>B</v>
      </c>
      <c r="E962" s="202" t="str">
        <f ca="1">IFERROR(__xludf.DUMMYFUNCTION("""COMPUTED_VALUE"""),"F")</f>
        <v>F</v>
      </c>
      <c r="F962" s="202" t="str">
        <f ca="1">IFERROR(__xludf.DUMMYFUNCTION("""COMPUTED_VALUE"""),"J")</f>
        <v>J</v>
      </c>
      <c r="G962" s="202">
        <f ca="1">IFERROR(__xludf.DUMMYFUNCTION("""COMPUTED_VALUE"""),7)</f>
        <v>7</v>
      </c>
      <c r="H962" s="206"/>
      <c r="I962" s="206"/>
      <c r="J962" s="206"/>
      <c r="K962" s="206"/>
      <c r="L962" s="206" t="str">
        <v/>
      </c>
      <c r="M962" s="206" t="str">
        <v/>
      </c>
    </row>
    <row r="963" spans="1:13" ht="14.4">
      <c r="A963" s="199" t="str">
        <f ca="1">IFERROR(__xludf.DUMMYFUNCTION("""COMPUTED_VALUE"""),"HSC")</f>
        <v>HSC</v>
      </c>
      <c r="B963" s="207" t="str">
        <f ca="1">IFERROR(__xludf.DUMMYFUNCTION("""COMPUTED_VALUE"""),"Ben Peebles")</f>
        <v>Ben Peebles</v>
      </c>
      <c r="C963" s="199">
        <f ca="1">IFERROR(__xludf.DUMMYFUNCTION("""COMPUTED_VALUE"""),7)</f>
        <v>7</v>
      </c>
      <c r="D963" s="199" t="str">
        <f ca="1">IFERROR(__xludf.DUMMYFUNCTION("""COMPUTED_VALUE"""),"B")</f>
        <v>B</v>
      </c>
      <c r="E963" s="202" t="str">
        <f ca="1">IFERROR(__xludf.DUMMYFUNCTION("""COMPUTED_VALUE"""),"F")</f>
        <v>F</v>
      </c>
      <c r="F963" s="202" t="str">
        <f ca="1">IFERROR(__xludf.DUMMYFUNCTION("""COMPUTED_VALUE"""),"J")</f>
        <v>J</v>
      </c>
      <c r="G963" s="202">
        <f ca="1">IFERROR(__xludf.DUMMYFUNCTION("""COMPUTED_VALUE"""),7)</f>
        <v>7</v>
      </c>
      <c r="H963" s="206"/>
      <c r="I963" s="206"/>
      <c r="J963" s="206"/>
      <c r="K963" s="206"/>
      <c r="L963" s="206" t="str">
        <v/>
      </c>
      <c r="M963" s="206" t="str">
        <v/>
      </c>
    </row>
    <row r="964" spans="1:13" ht="14.4">
      <c r="A964" s="199" t="str">
        <f ca="1">IFERROR(__xludf.DUMMYFUNCTION("""COMPUTED_VALUE"""),"HSC")</f>
        <v>HSC</v>
      </c>
      <c r="B964" s="207" t="str">
        <f ca="1">IFERROR(__xludf.DUMMYFUNCTION("""COMPUTED_VALUE"""),"Ben Phillips")</f>
        <v>Ben Phillips</v>
      </c>
      <c r="C964" s="199">
        <f ca="1">IFERROR(__xludf.DUMMYFUNCTION("""COMPUTED_VALUE"""),9)</f>
        <v>9</v>
      </c>
      <c r="D964" s="199" t="str">
        <f ca="1">IFERROR(__xludf.DUMMYFUNCTION("""COMPUTED_VALUE"""),"B")</f>
        <v>B</v>
      </c>
      <c r="E964" s="202" t="str">
        <f ca="1">IFERROR(__xludf.DUMMYFUNCTION("""COMPUTED_VALUE"""),"F")</f>
        <v>F</v>
      </c>
      <c r="F964" s="202" t="str">
        <f ca="1">IFERROR(__xludf.DUMMYFUNCTION("""COMPUTED_VALUE"""),"J")</f>
        <v>J</v>
      </c>
      <c r="G964" s="202">
        <f ca="1">IFERROR(__xludf.DUMMYFUNCTION("""COMPUTED_VALUE"""),7)</f>
        <v>7</v>
      </c>
      <c r="H964" s="206"/>
      <c r="I964" s="206"/>
      <c r="J964" s="206"/>
      <c r="K964" s="206"/>
      <c r="L964" s="206" t="str">
        <v/>
      </c>
      <c r="M964" s="206" t="str">
        <v/>
      </c>
    </row>
    <row r="965" spans="1:13" ht="14.4">
      <c r="A965" s="199" t="str">
        <f ca="1">IFERROR(__xludf.DUMMYFUNCTION("""COMPUTED_VALUE"""),"HSC")</f>
        <v>HSC</v>
      </c>
      <c r="B965" s="207" t="str">
        <f ca="1">IFERROR(__xludf.DUMMYFUNCTION("""COMPUTED_VALUE"""),"Connor Phillips")</f>
        <v>Connor Phillips</v>
      </c>
      <c r="C965" s="199">
        <f ca="1">IFERROR(__xludf.DUMMYFUNCTION("""COMPUTED_VALUE"""),7)</f>
        <v>7</v>
      </c>
      <c r="D965" s="199" t="str">
        <f ca="1">IFERROR(__xludf.DUMMYFUNCTION("""COMPUTED_VALUE"""),"B")</f>
        <v>B</v>
      </c>
      <c r="E965" s="202" t="str">
        <f ca="1">IFERROR(__xludf.DUMMYFUNCTION("""COMPUTED_VALUE"""),"F")</f>
        <v>F</v>
      </c>
      <c r="F965" s="202" t="str">
        <f ca="1">IFERROR(__xludf.DUMMYFUNCTION("""COMPUTED_VALUE"""),"J")</f>
        <v>J</v>
      </c>
      <c r="G965" s="202">
        <f ca="1">IFERROR(__xludf.DUMMYFUNCTION("""COMPUTED_VALUE"""),7)</f>
        <v>7</v>
      </c>
      <c r="H965" s="208"/>
      <c r="I965" s="208"/>
      <c r="J965" s="208"/>
      <c r="K965" s="208"/>
      <c r="L965" s="208" t="str">
        <v/>
      </c>
      <c r="M965" s="208" t="str">
        <v/>
      </c>
    </row>
    <row r="966" spans="1:13" ht="14.4">
      <c r="A966" s="199" t="str">
        <f ca="1">IFERROR(__xludf.DUMMYFUNCTION("""COMPUTED_VALUE"""),"HSC")</f>
        <v>HSC</v>
      </c>
      <c r="B966" s="207" t="str">
        <f ca="1">IFERROR(__xludf.DUMMYFUNCTION("""COMPUTED_VALUE"""),"David Schwartz")</f>
        <v>David Schwartz</v>
      </c>
      <c r="C966" s="199">
        <f ca="1">IFERROR(__xludf.DUMMYFUNCTION("""COMPUTED_VALUE"""),7)</f>
        <v>7</v>
      </c>
      <c r="D966" s="199" t="str">
        <f ca="1">IFERROR(__xludf.DUMMYFUNCTION("""COMPUTED_VALUE"""),"B")</f>
        <v>B</v>
      </c>
      <c r="E966" s="202" t="str">
        <f ca="1">IFERROR(__xludf.DUMMYFUNCTION("""COMPUTED_VALUE"""),"F")</f>
        <v>F</v>
      </c>
      <c r="F966" s="202" t="str">
        <f ca="1">IFERROR(__xludf.DUMMYFUNCTION("""COMPUTED_VALUE"""),"J")</f>
        <v>J</v>
      </c>
      <c r="G966" s="202">
        <f ca="1">IFERROR(__xludf.DUMMYFUNCTION("""COMPUTED_VALUE"""),7)</f>
        <v>7</v>
      </c>
      <c r="H966" s="206"/>
      <c r="I966" s="206"/>
      <c r="J966" s="206"/>
      <c r="K966" s="206"/>
      <c r="L966" s="206" t="str">
        <v/>
      </c>
      <c r="M966" s="206" t="str">
        <v/>
      </c>
    </row>
    <row r="967" spans="1:13" ht="14.4">
      <c r="A967" s="199" t="str">
        <f ca="1">IFERROR(__xludf.DUMMYFUNCTION("""COMPUTED_VALUE"""),"HSC")</f>
        <v>HSC</v>
      </c>
      <c r="B967" s="207" t="str">
        <f ca="1">IFERROR(__xludf.DUMMYFUNCTION("""COMPUTED_VALUE"""),"Declan Ghazal")</f>
        <v>Declan Ghazal</v>
      </c>
      <c r="C967" s="199">
        <f ca="1">IFERROR(__xludf.DUMMYFUNCTION("""COMPUTED_VALUE"""),8)</f>
        <v>8</v>
      </c>
      <c r="D967" s="199" t="str">
        <f ca="1">IFERROR(__xludf.DUMMYFUNCTION("""COMPUTED_VALUE"""),"B")</f>
        <v>B</v>
      </c>
      <c r="E967" s="202" t="str">
        <f ca="1">IFERROR(__xludf.DUMMYFUNCTION("""COMPUTED_VALUE"""),"F")</f>
        <v>F</v>
      </c>
      <c r="F967" s="202" t="str">
        <f ca="1">IFERROR(__xludf.DUMMYFUNCTION("""COMPUTED_VALUE"""),"J")</f>
        <v>J</v>
      </c>
      <c r="G967" s="202">
        <f ca="1">IFERROR(__xludf.DUMMYFUNCTION("""COMPUTED_VALUE"""),7)</f>
        <v>7</v>
      </c>
      <c r="H967" s="208"/>
      <c r="I967" s="208"/>
      <c r="J967" s="208"/>
      <c r="K967" s="208"/>
      <c r="L967" s="208" t="str">
        <v/>
      </c>
      <c r="M967" s="208" t="str">
        <v/>
      </c>
    </row>
    <row r="968" spans="1:13" ht="14.4">
      <c r="A968" s="199" t="str">
        <f ca="1">IFERROR(__xludf.DUMMYFUNCTION("""COMPUTED_VALUE"""),"HSC")</f>
        <v>HSC</v>
      </c>
      <c r="B968" s="207" t="str">
        <f ca="1">IFERROR(__xludf.DUMMYFUNCTION("""COMPUTED_VALUE"""),"Denis Huric")</f>
        <v>Denis Huric</v>
      </c>
      <c r="C968" s="199">
        <f ca="1">IFERROR(__xludf.DUMMYFUNCTION("""COMPUTED_VALUE"""),9)</f>
        <v>9</v>
      </c>
      <c r="D968" s="199" t="str">
        <f ca="1">IFERROR(__xludf.DUMMYFUNCTION("""COMPUTED_VALUE"""),"B")</f>
        <v>B</v>
      </c>
      <c r="E968" s="202" t="str">
        <f ca="1">IFERROR(__xludf.DUMMYFUNCTION("""COMPUTED_VALUE"""),"F")</f>
        <v>F</v>
      </c>
      <c r="F968" s="202" t="str">
        <f ca="1">IFERROR(__xludf.DUMMYFUNCTION("""COMPUTED_VALUE"""),"J")</f>
        <v>J</v>
      </c>
      <c r="G968" s="202">
        <f ca="1">IFERROR(__xludf.DUMMYFUNCTION("""COMPUTED_VALUE"""),7)</f>
        <v>7</v>
      </c>
      <c r="H968" s="206"/>
      <c r="I968" s="206"/>
      <c r="J968" s="206"/>
      <c r="K968" s="206"/>
      <c r="L968" s="206" t="str">
        <v/>
      </c>
      <c r="M968" s="206" t="str">
        <v/>
      </c>
    </row>
    <row r="969" spans="1:13" ht="14.4">
      <c r="A969" s="199" t="str">
        <f ca="1">IFERROR(__xludf.DUMMYFUNCTION("""COMPUTED_VALUE"""),"HSC")</f>
        <v>HSC</v>
      </c>
      <c r="B969" s="207" t="str">
        <f ca="1">IFERROR(__xludf.DUMMYFUNCTION("""COMPUTED_VALUE"""),"Hudson Pierre")</f>
        <v>Hudson Pierre</v>
      </c>
      <c r="C969" s="199">
        <f ca="1">IFERROR(__xludf.DUMMYFUNCTION("""COMPUTED_VALUE"""),9)</f>
        <v>9</v>
      </c>
      <c r="D969" s="199" t="str">
        <f ca="1">IFERROR(__xludf.DUMMYFUNCTION("""COMPUTED_VALUE"""),"B")</f>
        <v>B</v>
      </c>
      <c r="E969" s="202" t="str">
        <f ca="1">IFERROR(__xludf.DUMMYFUNCTION("""COMPUTED_VALUE"""),"F")</f>
        <v>F</v>
      </c>
      <c r="F969" s="202" t="str">
        <f ca="1">IFERROR(__xludf.DUMMYFUNCTION("""COMPUTED_VALUE"""),"J")</f>
        <v>J</v>
      </c>
      <c r="G969" s="202">
        <f ca="1">IFERROR(__xludf.DUMMYFUNCTION("""COMPUTED_VALUE"""),7)</f>
        <v>7</v>
      </c>
      <c r="H969" s="206"/>
      <c r="I969" s="206"/>
      <c r="J969" s="206"/>
      <c r="K969" s="206"/>
      <c r="L969" s="206" t="str">
        <v/>
      </c>
      <c r="M969" s="206" t="str">
        <v/>
      </c>
    </row>
    <row r="970" spans="1:13" ht="14.4">
      <c r="A970" s="199" t="str">
        <f ca="1">IFERROR(__xludf.DUMMYFUNCTION("""COMPUTED_VALUE"""),"HSC")</f>
        <v>HSC</v>
      </c>
      <c r="B970" s="207" t="str">
        <f ca="1">IFERROR(__xludf.DUMMYFUNCTION("""COMPUTED_VALUE"""),"Jacob Ross")</f>
        <v>Jacob Ross</v>
      </c>
      <c r="C970" s="199">
        <f ca="1">IFERROR(__xludf.DUMMYFUNCTION("""COMPUTED_VALUE"""),10)</f>
        <v>10</v>
      </c>
      <c r="D970" s="199" t="str">
        <f ca="1">IFERROR(__xludf.DUMMYFUNCTION("""COMPUTED_VALUE"""),"B")</f>
        <v>B</v>
      </c>
      <c r="E970" s="202" t="str">
        <f ca="1">IFERROR(__xludf.DUMMYFUNCTION("""COMPUTED_VALUE"""),"F")</f>
        <v>F</v>
      </c>
      <c r="F970" s="202" t="str">
        <f ca="1">IFERROR(__xludf.DUMMYFUNCTION("""COMPUTED_VALUE"""),"J")</f>
        <v>J</v>
      </c>
      <c r="G970" s="202">
        <f ca="1">IFERROR(__xludf.DUMMYFUNCTION("""COMPUTED_VALUE"""),7)</f>
        <v>7</v>
      </c>
      <c r="H970" s="206"/>
      <c r="I970" s="206">
        <v>66</v>
      </c>
      <c r="J970" s="206"/>
      <c r="K970" s="206" t="s">
        <v>123</v>
      </c>
      <c r="L970" s="206" t="str">
        <v xml:space="preserve"> -66</v>
      </c>
      <c r="M970" s="206" t="str">
        <v>^</v>
      </c>
    </row>
    <row r="971" spans="1:13" ht="14.4">
      <c r="A971" s="199" t="str">
        <f ca="1">IFERROR(__xludf.DUMMYFUNCTION("""COMPUTED_VALUE"""),"HSC")</f>
        <v>HSC</v>
      </c>
      <c r="B971" s="207" t="str">
        <f ca="1">IFERROR(__xludf.DUMMYFUNCTION("""COMPUTED_VALUE"""),"James Shernit")</f>
        <v>James Shernit</v>
      </c>
      <c r="C971" s="199">
        <f ca="1">IFERROR(__xludf.DUMMYFUNCTION("""COMPUTED_VALUE"""),8)</f>
        <v>8</v>
      </c>
      <c r="D971" s="199" t="str">
        <f ca="1">IFERROR(__xludf.DUMMYFUNCTION("""COMPUTED_VALUE"""),"B")</f>
        <v>B</v>
      </c>
      <c r="E971" s="202" t="str">
        <f ca="1">IFERROR(__xludf.DUMMYFUNCTION("""COMPUTED_VALUE"""),"F")</f>
        <v>F</v>
      </c>
      <c r="F971" s="202" t="str">
        <f ca="1">IFERROR(__xludf.DUMMYFUNCTION("""COMPUTED_VALUE"""),"J")</f>
        <v>J</v>
      </c>
      <c r="G971" s="202">
        <f ca="1">IFERROR(__xludf.DUMMYFUNCTION("""COMPUTED_VALUE"""),7)</f>
        <v>7</v>
      </c>
      <c r="H971" s="206"/>
      <c r="I971" s="206"/>
      <c r="J971" s="206"/>
      <c r="K971" s="206"/>
      <c r="L971" s="206" t="str">
        <v/>
      </c>
      <c r="M971" s="206" t="str">
        <v/>
      </c>
    </row>
    <row r="972" spans="1:13" ht="14.4">
      <c r="A972" s="199" t="str">
        <f ca="1">IFERROR(__xludf.DUMMYFUNCTION("""COMPUTED_VALUE"""),"HSC")</f>
        <v>HSC</v>
      </c>
      <c r="B972" s="207" t="str">
        <f ca="1">IFERROR(__xludf.DUMMYFUNCTION("""COMPUTED_VALUE"""),"Kirin Sandhu")</f>
        <v>Kirin Sandhu</v>
      </c>
      <c r="C972" s="199">
        <f ca="1">IFERROR(__xludf.DUMMYFUNCTION("""COMPUTED_VALUE"""),10)</f>
        <v>10</v>
      </c>
      <c r="D972" s="199" t="str">
        <f ca="1">IFERROR(__xludf.DUMMYFUNCTION("""COMPUTED_VALUE"""),"B")</f>
        <v>B</v>
      </c>
      <c r="E972" s="202" t="str">
        <f ca="1">IFERROR(__xludf.DUMMYFUNCTION("""COMPUTED_VALUE"""),"F")</f>
        <v>F</v>
      </c>
      <c r="F972" s="202" t="str">
        <f ca="1">IFERROR(__xludf.DUMMYFUNCTION("""COMPUTED_VALUE"""),"J")</f>
        <v>J</v>
      </c>
      <c r="G972" s="202">
        <f ca="1">IFERROR(__xludf.DUMMYFUNCTION("""COMPUTED_VALUE"""),7)</f>
        <v>7</v>
      </c>
      <c r="H972" s="206"/>
      <c r="I972" s="206"/>
      <c r="J972" s="206"/>
      <c r="K972" s="206"/>
      <c r="L972" s="206" t="str">
        <v/>
      </c>
      <c r="M972" s="206" t="str">
        <v/>
      </c>
    </row>
    <row r="973" spans="1:13" ht="14.4">
      <c r="A973" s="199" t="str">
        <f ca="1">IFERROR(__xludf.DUMMYFUNCTION("""COMPUTED_VALUE"""),"HSC")</f>
        <v>HSC</v>
      </c>
      <c r="B973" s="207" t="str">
        <f ca="1">IFERROR(__xludf.DUMMYFUNCTION("""COMPUTED_VALUE"""),"Liam Gentry")</f>
        <v>Liam Gentry</v>
      </c>
      <c r="C973" s="199">
        <f ca="1">IFERROR(__xludf.DUMMYFUNCTION("""COMPUTED_VALUE"""),9)</f>
        <v>9</v>
      </c>
      <c r="D973" s="199" t="str">
        <f ca="1">IFERROR(__xludf.DUMMYFUNCTION("""COMPUTED_VALUE"""),"B")</f>
        <v>B</v>
      </c>
      <c r="E973" s="202" t="str">
        <f ca="1">IFERROR(__xludf.DUMMYFUNCTION("""COMPUTED_VALUE"""),"F")</f>
        <v>F</v>
      </c>
      <c r="F973" s="202" t="str">
        <f ca="1">IFERROR(__xludf.DUMMYFUNCTION("""COMPUTED_VALUE"""),"J")</f>
        <v>J</v>
      </c>
      <c r="G973" s="202">
        <f ca="1">IFERROR(__xludf.DUMMYFUNCTION("""COMPUTED_VALUE"""),7)</f>
        <v>7</v>
      </c>
      <c r="H973" s="208"/>
      <c r="I973" s="208">
        <v>33.75</v>
      </c>
      <c r="J973" s="208"/>
      <c r="K973" s="208" t="s">
        <v>121</v>
      </c>
      <c r="L973" s="208" t="str">
        <v xml:space="preserve"> 33.75</v>
      </c>
      <c r="M973" s="208" t="str">
        <v/>
      </c>
    </row>
    <row r="974" spans="1:13" ht="14.4">
      <c r="A974" s="199" t="str">
        <f ca="1">IFERROR(__xludf.DUMMYFUNCTION("""COMPUTED_VALUE"""),"HSC")</f>
        <v>HSC</v>
      </c>
      <c r="B974" s="207" t="str">
        <f ca="1">IFERROR(__xludf.DUMMYFUNCTION("""COMPUTED_VALUE"""),"Peter Bricker")</f>
        <v>Peter Bricker</v>
      </c>
      <c r="C974" s="199">
        <f ca="1">IFERROR(__xludf.DUMMYFUNCTION("""COMPUTED_VALUE"""),6)</f>
        <v>6</v>
      </c>
      <c r="D974" s="199" t="str">
        <f ca="1">IFERROR(__xludf.DUMMYFUNCTION("""COMPUTED_VALUE"""),"B")</f>
        <v>B</v>
      </c>
      <c r="E974" s="202" t="str">
        <f ca="1">IFERROR(__xludf.DUMMYFUNCTION("""COMPUTED_VALUE"""),"F")</f>
        <v>F</v>
      </c>
      <c r="F974" s="202" t="str">
        <f ca="1">IFERROR(__xludf.DUMMYFUNCTION("""COMPUTED_VALUE"""),"J")</f>
        <v>J</v>
      </c>
      <c r="G974" s="202">
        <f ca="1">IFERROR(__xludf.DUMMYFUNCTION("""COMPUTED_VALUE"""),7)</f>
        <v>7</v>
      </c>
      <c r="H974" s="208"/>
      <c r="I974" s="208"/>
      <c r="J974" s="208"/>
      <c r="K974" s="208"/>
      <c r="L974" s="208" t="str">
        <v/>
      </c>
      <c r="M974" s="208" t="str">
        <v/>
      </c>
    </row>
    <row r="975" spans="1:13" ht="14.4">
      <c r="A975" s="199" t="str">
        <f ca="1">IFERROR(__xludf.DUMMYFUNCTION("""COMPUTED_VALUE"""),"HSC")</f>
        <v>HSC</v>
      </c>
      <c r="B975" s="207" t="str">
        <f ca="1">IFERROR(__xludf.DUMMYFUNCTION("""COMPUTED_VALUE"""),"Sam Hernandez")</f>
        <v>Sam Hernandez</v>
      </c>
      <c r="C975" s="199">
        <f ca="1">IFERROR(__xludf.DUMMYFUNCTION("""COMPUTED_VALUE"""),9)</f>
        <v>9</v>
      </c>
      <c r="D975" s="199" t="str">
        <f ca="1">IFERROR(__xludf.DUMMYFUNCTION("""COMPUTED_VALUE"""),"B")</f>
        <v>B</v>
      </c>
      <c r="E975" s="202" t="str">
        <f ca="1">IFERROR(__xludf.DUMMYFUNCTION("""COMPUTED_VALUE"""),"F")</f>
        <v>F</v>
      </c>
      <c r="F975" s="202" t="str">
        <f ca="1">IFERROR(__xludf.DUMMYFUNCTION("""COMPUTED_VALUE"""),"J")</f>
        <v>J</v>
      </c>
      <c r="G975" s="202">
        <f ca="1">IFERROR(__xludf.DUMMYFUNCTION("""COMPUTED_VALUE"""),7)</f>
        <v>7</v>
      </c>
      <c r="H975" s="206"/>
      <c r="I975" s="206"/>
      <c r="J975" s="206"/>
      <c r="K975" s="206"/>
      <c r="L975" s="206" t="str">
        <v/>
      </c>
      <c r="M975" s="206" t="str">
        <v/>
      </c>
    </row>
    <row r="976" spans="1:13" ht="14.4">
      <c r="A976" s="199" t="str">
        <f ca="1">IFERROR(__xludf.DUMMYFUNCTION("""COMPUTED_VALUE"""),"HSC")</f>
        <v>HSC</v>
      </c>
      <c r="B976" s="207" t="str">
        <f ca="1">IFERROR(__xludf.DUMMYFUNCTION("""COMPUTED_VALUE"""),"Samuel Bricker")</f>
        <v>Samuel Bricker</v>
      </c>
      <c r="C976" s="199">
        <f ca="1">IFERROR(__xludf.DUMMYFUNCTION("""COMPUTED_VALUE"""),9)</f>
        <v>9</v>
      </c>
      <c r="D976" s="199" t="str">
        <f ca="1">IFERROR(__xludf.DUMMYFUNCTION("""COMPUTED_VALUE"""),"B")</f>
        <v>B</v>
      </c>
      <c r="E976" s="202" t="str">
        <f ca="1">IFERROR(__xludf.DUMMYFUNCTION("""COMPUTED_VALUE"""),"F")</f>
        <v>F</v>
      </c>
      <c r="F976" s="202" t="str">
        <f ca="1">IFERROR(__xludf.DUMMYFUNCTION("""COMPUTED_VALUE"""),"J")</f>
        <v>J</v>
      </c>
      <c r="G976" s="202">
        <f ca="1">IFERROR(__xludf.DUMMYFUNCTION("""COMPUTED_VALUE"""),7)</f>
        <v>7</v>
      </c>
      <c r="H976" s="206"/>
      <c r="I976" s="206">
        <v>29.85</v>
      </c>
      <c r="J976" s="206"/>
      <c r="K976" s="206" t="s">
        <v>121</v>
      </c>
      <c r="L976" s="206" t="str">
        <v xml:space="preserve"> 29.85</v>
      </c>
      <c r="M976" s="206" t="str">
        <v/>
      </c>
    </row>
    <row r="977" spans="1:13" ht="14.4">
      <c r="A977" s="199" t="str">
        <f ca="1">IFERROR(__xludf.DUMMYFUNCTION("""COMPUTED_VALUE"""),"HSC")</f>
        <v>HSC</v>
      </c>
      <c r="B977" s="207" t="str">
        <f ca="1">IFERROR(__xludf.DUMMYFUNCTION("""COMPUTED_VALUE"""),"William Pickard")</f>
        <v>William Pickard</v>
      </c>
      <c r="C977" s="199">
        <f ca="1">IFERROR(__xludf.DUMMYFUNCTION("""COMPUTED_VALUE"""),8)</f>
        <v>8</v>
      </c>
      <c r="D977" s="199" t="str">
        <f ca="1">IFERROR(__xludf.DUMMYFUNCTION("""COMPUTED_VALUE"""),"B")</f>
        <v>B</v>
      </c>
      <c r="E977" s="202" t="str">
        <f ca="1">IFERROR(__xludf.DUMMYFUNCTION("""COMPUTED_VALUE"""),"F")</f>
        <v>F</v>
      </c>
      <c r="F977" s="202" t="str">
        <f ca="1">IFERROR(__xludf.DUMMYFUNCTION("""COMPUTED_VALUE"""),"J")</f>
        <v>J</v>
      </c>
      <c r="G977" s="202">
        <f ca="1">IFERROR(__xludf.DUMMYFUNCTION("""COMPUTED_VALUE"""),7)</f>
        <v>7</v>
      </c>
      <c r="H977" s="208"/>
      <c r="I977" s="208"/>
      <c r="J977" s="208"/>
      <c r="K977" s="208"/>
      <c r="L977" s="208" t="str">
        <v/>
      </c>
      <c r="M977" s="208" t="str">
        <v/>
      </c>
    </row>
    <row r="978" spans="1:13" ht="14.4">
      <c r="A978" s="199" t="str">
        <f ca="1">IFERROR(__xludf.DUMMYFUNCTION("""COMPUTED_VALUE"""),"HSC")</f>
        <v>HSC</v>
      </c>
      <c r="B978" s="207" t="str">
        <f ca="1">IFERROR(__xludf.DUMMYFUNCTION("""COMPUTED_VALUE"""),"William Shernit")</f>
        <v>William Shernit</v>
      </c>
      <c r="C978" s="199">
        <f ca="1">IFERROR(__xludf.DUMMYFUNCTION("""COMPUTED_VALUE"""),8)</f>
        <v>8</v>
      </c>
      <c r="D978" s="199" t="str">
        <f ca="1">IFERROR(__xludf.DUMMYFUNCTION("""COMPUTED_VALUE"""),"B")</f>
        <v>B</v>
      </c>
      <c r="E978" s="202" t="str">
        <f ca="1">IFERROR(__xludf.DUMMYFUNCTION("""COMPUTED_VALUE"""),"F")</f>
        <v>F</v>
      </c>
      <c r="F978" s="202" t="str">
        <f ca="1">IFERROR(__xludf.DUMMYFUNCTION("""COMPUTED_VALUE"""),"J")</f>
        <v>J</v>
      </c>
      <c r="G978" s="202">
        <f ca="1">IFERROR(__xludf.DUMMYFUNCTION("""COMPUTED_VALUE"""),7)</f>
        <v>7</v>
      </c>
      <c r="H978" s="206"/>
      <c r="I978" s="206"/>
      <c r="J978" s="206"/>
      <c r="K978" s="206"/>
      <c r="L978" s="206" t="str">
        <v/>
      </c>
      <c r="M978" s="206" t="str">
        <v/>
      </c>
    </row>
    <row r="979" spans="1:13" ht="14.4">
      <c r="A979" s="199" t="str">
        <f ca="1">IFERROR(__xludf.DUMMYFUNCTION("""COMPUTED_VALUE"""),"HSC")</f>
        <v>HSC</v>
      </c>
      <c r="B979" s="207" t="str">
        <f ca="1">IFERROR(__xludf.DUMMYFUNCTION("""COMPUTED_VALUE"""),"Abby Desai")</f>
        <v>Abby Desai</v>
      </c>
      <c r="C979" s="199">
        <f ca="1">IFERROR(__xludf.DUMMYFUNCTION("""COMPUTED_VALUE"""),8)</f>
        <v>8</v>
      </c>
      <c r="D979" s="199" t="str">
        <f ca="1">IFERROR(__xludf.DUMMYFUNCTION("""COMPUTED_VALUE"""),"G")</f>
        <v>G</v>
      </c>
      <c r="E979" s="202" t="str">
        <f ca="1">IFERROR(__xludf.DUMMYFUNCTION("""COMPUTED_VALUE"""),"F")</f>
        <v>F</v>
      </c>
      <c r="F979" s="202" t="str">
        <f ca="1">IFERROR(__xludf.DUMMYFUNCTION("""COMPUTED_VALUE"""),"J")</f>
        <v>J</v>
      </c>
      <c r="G979" s="202">
        <f ca="1">IFERROR(__xludf.DUMMYFUNCTION("""COMPUTED_VALUE"""),7)</f>
        <v>7</v>
      </c>
      <c r="H979" s="206"/>
      <c r="I979" s="206"/>
      <c r="J979" s="206"/>
      <c r="K979" s="206"/>
      <c r="L979" s="206" t="str">
        <v/>
      </c>
      <c r="M979" s="206" t="str">
        <v/>
      </c>
    </row>
    <row r="980" spans="1:13" ht="14.4">
      <c r="A980" s="199" t="str">
        <f ca="1">IFERROR(__xludf.DUMMYFUNCTION("""COMPUTED_VALUE"""),"HSC")</f>
        <v>HSC</v>
      </c>
      <c r="B980" s="207" t="str">
        <f ca="1">IFERROR(__xludf.DUMMYFUNCTION("""COMPUTED_VALUE"""),"Abby Pickard")</f>
        <v>Abby Pickard</v>
      </c>
      <c r="C980" s="199">
        <f ca="1">IFERROR(__xludf.DUMMYFUNCTION("""COMPUTED_VALUE"""),10)</f>
        <v>10</v>
      </c>
      <c r="D980" s="199" t="str">
        <f ca="1">IFERROR(__xludf.DUMMYFUNCTION("""COMPUTED_VALUE"""),"G")</f>
        <v>G</v>
      </c>
      <c r="E980" s="202" t="str">
        <f ca="1">IFERROR(__xludf.DUMMYFUNCTION("""COMPUTED_VALUE"""),"F")</f>
        <v>F</v>
      </c>
      <c r="F980" s="202" t="str">
        <f ca="1">IFERROR(__xludf.DUMMYFUNCTION("""COMPUTED_VALUE"""),"J")</f>
        <v>J</v>
      </c>
      <c r="G980" s="202">
        <f ca="1">IFERROR(__xludf.DUMMYFUNCTION("""COMPUTED_VALUE"""),7)</f>
        <v>7</v>
      </c>
      <c r="H980" s="206">
        <v>59.5</v>
      </c>
      <c r="I980" s="206"/>
      <c r="J980" s="206" t="s">
        <v>121</v>
      </c>
      <c r="K980" s="206"/>
      <c r="L980" s="206" t="str">
        <v xml:space="preserve"> 59.5</v>
      </c>
      <c r="M980" s="206" t="str">
        <v/>
      </c>
    </row>
    <row r="981" spans="1:13" ht="14.4">
      <c r="A981" s="199" t="str">
        <f ca="1">IFERROR(__xludf.DUMMYFUNCTION("""COMPUTED_VALUE"""),"HSC")</f>
        <v>HSC</v>
      </c>
      <c r="B981" s="207" t="str">
        <f ca="1">IFERROR(__xludf.DUMMYFUNCTION("""COMPUTED_VALUE"""),"Aleska McCarthy")</f>
        <v>Aleska McCarthy</v>
      </c>
      <c r="C981" s="199">
        <f ca="1">IFERROR(__xludf.DUMMYFUNCTION("""COMPUTED_VALUE"""),9)</f>
        <v>9</v>
      </c>
      <c r="D981" s="199" t="str">
        <f ca="1">IFERROR(__xludf.DUMMYFUNCTION("""COMPUTED_VALUE"""),"G")</f>
        <v>G</v>
      </c>
      <c r="E981" s="202" t="str">
        <f ca="1">IFERROR(__xludf.DUMMYFUNCTION("""COMPUTED_VALUE"""),"F")</f>
        <v>F</v>
      </c>
      <c r="F981" s="202" t="str">
        <f ca="1">IFERROR(__xludf.DUMMYFUNCTION("""COMPUTED_VALUE"""),"J")</f>
        <v>J</v>
      </c>
      <c r="G981" s="202">
        <f ca="1">IFERROR(__xludf.DUMMYFUNCTION("""COMPUTED_VALUE"""),7)</f>
        <v>7</v>
      </c>
      <c r="H981" s="208"/>
      <c r="I981" s="208"/>
      <c r="J981" s="208"/>
      <c r="K981" s="208"/>
      <c r="L981" s="208" t="str">
        <v/>
      </c>
      <c r="M981" s="208" t="str">
        <v/>
      </c>
    </row>
    <row r="982" spans="1:13" ht="14.4">
      <c r="A982" s="199" t="str">
        <f ca="1">IFERROR(__xludf.DUMMYFUNCTION("""COMPUTED_VALUE"""),"HSC")</f>
        <v>HSC</v>
      </c>
      <c r="B982" s="207" t="str">
        <f ca="1">IFERROR(__xludf.DUMMYFUNCTION("""COMPUTED_VALUE"""),"Alison Bricker")</f>
        <v>Alison Bricker</v>
      </c>
      <c r="C982" s="199">
        <f ca="1">IFERROR(__xludf.DUMMYFUNCTION("""COMPUTED_VALUE"""),6)</f>
        <v>6</v>
      </c>
      <c r="D982" s="199" t="str">
        <f ca="1">IFERROR(__xludf.DUMMYFUNCTION("""COMPUTED_VALUE"""),"G")</f>
        <v>G</v>
      </c>
      <c r="E982" s="202" t="str">
        <f ca="1">IFERROR(__xludf.DUMMYFUNCTION("""COMPUTED_VALUE"""),"F")</f>
        <v>F</v>
      </c>
      <c r="F982" s="202" t="str">
        <f ca="1">IFERROR(__xludf.DUMMYFUNCTION("""COMPUTED_VALUE"""),"J")</f>
        <v>J</v>
      </c>
      <c r="G982" s="202">
        <f ca="1">IFERROR(__xludf.DUMMYFUNCTION("""COMPUTED_VALUE"""),7)</f>
        <v>7</v>
      </c>
      <c r="H982" s="208"/>
      <c r="I982" s="208"/>
      <c r="J982" s="208"/>
      <c r="K982" s="208"/>
      <c r="L982" s="208" t="str">
        <v/>
      </c>
      <c r="M982" s="208" t="str">
        <v/>
      </c>
    </row>
    <row r="983" spans="1:13" ht="14.4">
      <c r="A983" s="199" t="str">
        <f ca="1">IFERROR(__xludf.DUMMYFUNCTION("""COMPUTED_VALUE"""),"HSC")</f>
        <v>HSC</v>
      </c>
      <c r="B983" s="207" t="str">
        <f ca="1">IFERROR(__xludf.DUMMYFUNCTION("""COMPUTED_VALUE"""),"Amelia Gentry")</f>
        <v>Amelia Gentry</v>
      </c>
      <c r="C983" s="199">
        <f ca="1">IFERROR(__xludf.DUMMYFUNCTION("""COMPUTED_VALUE"""),7)</f>
        <v>7</v>
      </c>
      <c r="D983" s="199" t="str">
        <f ca="1">IFERROR(__xludf.DUMMYFUNCTION("""COMPUTED_VALUE"""),"G")</f>
        <v>G</v>
      </c>
      <c r="E983" s="202" t="str">
        <f ca="1">IFERROR(__xludf.DUMMYFUNCTION("""COMPUTED_VALUE"""),"F")</f>
        <v>F</v>
      </c>
      <c r="F983" s="202" t="str">
        <f ca="1">IFERROR(__xludf.DUMMYFUNCTION("""COMPUTED_VALUE"""),"J")</f>
        <v>J</v>
      </c>
      <c r="G983" s="202">
        <f ca="1">IFERROR(__xludf.DUMMYFUNCTION("""COMPUTED_VALUE"""),7)</f>
        <v>7</v>
      </c>
      <c r="H983" s="206">
        <v>14.5</v>
      </c>
      <c r="I983" s="206"/>
      <c r="J983" s="206" t="s">
        <v>121</v>
      </c>
      <c r="K983" s="206"/>
      <c r="L983" s="206" t="str">
        <v xml:space="preserve"> 14.5</v>
      </c>
      <c r="M983" s="206" t="str">
        <v/>
      </c>
    </row>
    <row r="984" spans="1:13" ht="14.4">
      <c r="A984" s="199" t="str">
        <f ca="1">IFERROR(__xludf.DUMMYFUNCTION("""COMPUTED_VALUE"""),"HSC")</f>
        <v>HSC</v>
      </c>
      <c r="B984" s="207" t="str">
        <f ca="1">IFERROR(__xludf.DUMMYFUNCTION("""COMPUTED_VALUE"""),"Artemisia Hashemi")</f>
        <v>Artemisia Hashemi</v>
      </c>
      <c r="C984" s="199">
        <f ca="1">IFERROR(__xludf.DUMMYFUNCTION("""COMPUTED_VALUE"""),8)</f>
        <v>8</v>
      </c>
      <c r="D984" s="199" t="str">
        <f ca="1">IFERROR(__xludf.DUMMYFUNCTION("""COMPUTED_VALUE"""),"G")</f>
        <v>G</v>
      </c>
      <c r="E984" s="202" t="str">
        <f ca="1">IFERROR(__xludf.DUMMYFUNCTION("""COMPUTED_VALUE"""),"F")</f>
        <v>F</v>
      </c>
      <c r="F984" s="202" t="str">
        <f ca="1">IFERROR(__xludf.DUMMYFUNCTION("""COMPUTED_VALUE"""),"J")</f>
        <v>J</v>
      </c>
      <c r="G984" s="202">
        <f ca="1">IFERROR(__xludf.DUMMYFUNCTION("""COMPUTED_VALUE"""),7)</f>
        <v>7</v>
      </c>
      <c r="H984" s="208"/>
      <c r="I984" s="208"/>
      <c r="J984" s="208"/>
      <c r="K984" s="208"/>
      <c r="L984" s="208" t="str">
        <v/>
      </c>
      <c r="M984" s="208" t="str">
        <v/>
      </c>
    </row>
    <row r="985" spans="1:13" ht="14.4">
      <c r="A985" s="199" t="str">
        <f ca="1">IFERROR(__xludf.DUMMYFUNCTION("""COMPUTED_VALUE"""),"HSC")</f>
        <v>HSC</v>
      </c>
      <c r="B985" s="207" t="str">
        <f ca="1">IFERROR(__xludf.DUMMYFUNCTION("""COMPUTED_VALUE"""),"Audrey Fass")</f>
        <v>Audrey Fass</v>
      </c>
      <c r="C985" s="199">
        <f ca="1">IFERROR(__xludf.DUMMYFUNCTION("""COMPUTED_VALUE"""),10)</f>
        <v>10</v>
      </c>
      <c r="D985" s="199" t="str">
        <f ca="1">IFERROR(__xludf.DUMMYFUNCTION("""COMPUTED_VALUE"""),"G")</f>
        <v>G</v>
      </c>
      <c r="E985" s="202" t="str">
        <f ca="1">IFERROR(__xludf.DUMMYFUNCTION("""COMPUTED_VALUE"""),"F")</f>
        <v>F</v>
      </c>
      <c r="F985" s="202" t="str">
        <f ca="1">IFERROR(__xludf.DUMMYFUNCTION("""COMPUTED_VALUE"""),"J")</f>
        <v>J</v>
      </c>
      <c r="G985" s="202">
        <f ca="1">IFERROR(__xludf.DUMMYFUNCTION("""COMPUTED_VALUE"""),7)</f>
        <v>7</v>
      </c>
      <c r="H985" s="206"/>
      <c r="I985" s="206"/>
      <c r="J985" s="206"/>
      <c r="K985" s="206"/>
      <c r="L985" s="206" t="str">
        <v/>
      </c>
      <c r="M985" s="206" t="str">
        <v/>
      </c>
    </row>
    <row r="986" spans="1:13" ht="14.4">
      <c r="A986" s="199" t="str">
        <f ca="1">IFERROR(__xludf.DUMMYFUNCTION("""COMPUTED_VALUE"""),"HSC")</f>
        <v>HSC</v>
      </c>
      <c r="B986" s="207" t="str">
        <f ca="1">IFERROR(__xludf.DUMMYFUNCTION("""COMPUTED_VALUE"""),"Ava Payan")</f>
        <v>Ava Payan</v>
      </c>
      <c r="C986" s="199">
        <f ca="1">IFERROR(__xludf.DUMMYFUNCTION("""COMPUTED_VALUE"""),7)</f>
        <v>7</v>
      </c>
      <c r="D986" s="199" t="str">
        <f ca="1">IFERROR(__xludf.DUMMYFUNCTION("""COMPUTED_VALUE"""),"G")</f>
        <v>G</v>
      </c>
      <c r="E986" s="202" t="str">
        <f ca="1">IFERROR(__xludf.DUMMYFUNCTION("""COMPUTED_VALUE"""),"F")</f>
        <v>F</v>
      </c>
      <c r="F986" s="202" t="str">
        <f ca="1">IFERROR(__xludf.DUMMYFUNCTION("""COMPUTED_VALUE"""),"J")</f>
        <v>J</v>
      </c>
      <c r="G986" s="202">
        <f ca="1">IFERROR(__xludf.DUMMYFUNCTION("""COMPUTED_VALUE"""),7)</f>
        <v>7</v>
      </c>
      <c r="H986" s="206">
        <v>11</v>
      </c>
      <c r="I986" s="206"/>
      <c r="J986" s="206" t="s">
        <v>121</v>
      </c>
      <c r="K986" s="206"/>
      <c r="L986" s="206" t="str">
        <v xml:space="preserve"> 11</v>
      </c>
      <c r="M986" s="206" t="str">
        <v/>
      </c>
    </row>
    <row r="987" spans="1:13" ht="14.4">
      <c r="A987" s="199" t="str">
        <f ca="1">IFERROR(__xludf.DUMMYFUNCTION("""COMPUTED_VALUE"""),"HSC")</f>
        <v>HSC</v>
      </c>
      <c r="B987" s="207" t="str">
        <f ca="1">IFERROR(__xludf.DUMMYFUNCTION("""COMPUTED_VALUE"""),"Campbell Kurpiel")</f>
        <v>Campbell Kurpiel</v>
      </c>
      <c r="C987" s="199">
        <f ca="1">IFERROR(__xludf.DUMMYFUNCTION("""COMPUTED_VALUE"""),10)</f>
        <v>10</v>
      </c>
      <c r="D987" s="199" t="str">
        <f ca="1">IFERROR(__xludf.DUMMYFUNCTION("""COMPUTED_VALUE"""),"G")</f>
        <v>G</v>
      </c>
      <c r="E987" s="202" t="str">
        <f ca="1">IFERROR(__xludf.DUMMYFUNCTION("""COMPUTED_VALUE"""),"F")</f>
        <v>F</v>
      </c>
      <c r="F987" s="202" t="str">
        <f ca="1">IFERROR(__xludf.DUMMYFUNCTION("""COMPUTED_VALUE"""),"J")</f>
        <v>J</v>
      </c>
      <c r="G987" s="202">
        <f ca="1">IFERROR(__xludf.DUMMYFUNCTION("""COMPUTED_VALUE"""),7)</f>
        <v>7</v>
      </c>
      <c r="H987" s="206">
        <v>48.95</v>
      </c>
      <c r="I987" s="206"/>
      <c r="J987" s="206" t="s">
        <v>121</v>
      </c>
      <c r="K987" s="206"/>
      <c r="L987" s="206" t="str">
        <v xml:space="preserve"> 48.95</v>
      </c>
      <c r="M987" s="206" t="str">
        <v/>
      </c>
    </row>
    <row r="988" spans="1:13" ht="14.4">
      <c r="A988" s="199" t="str">
        <f ca="1">IFERROR(__xludf.DUMMYFUNCTION("""COMPUTED_VALUE"""),"HSC")</f>
        <v>HSC</v>
      </c>
      <c r="B988" s="207" t="str">
        <f ca="1">IFERROR(__xludf.DUMMYFUNCTION("""COMPUTED_VALUE"""),"Elizabeth Peebles")</f>
        <v>Elizabeth Peebles</v>
      </c>
      <c r="C988" s="199">
        <f ca="1">IFERROR(__xludf.DUMMYFUNCTION("""COMPUTED_VALUE"""),9)</f>
        <v>9</v>
      </c>
      <c r="D988" s="199" t="str">
        <f ca="1">IFERROR(__xludf.DUMMYFUNCTION("""COMPUTED_VALUE"""),"G")</f>
        <v>G</v>
      </c>
      <c r="E988" s="202" t="str">
        <f ca="1">IFERROR(__xludf.DUMMYFUNCTION("""COMPUTED_VALUE"""),"F")</f>
        <v>F</v>
      </c>
      <c r="F988" s="202" t="str">
        <f ca="1">IFERROR(__xludf.DUMMYFUNCTION("""COMPUTED_VALUE"""),"J")</f>
        <v>J</v>
      </c>
      <c r="G988" s="202">
        <f ca="1">IFERROR(__xludf.DUMMYFUNCTION("""COMPUTED_VALUE"""),7)</f>
        <v>7</v>
      </c>
      <c r="H988" s="206">
        <v>36.950000000000003</v>
      </c>
      <c r="I988" s="206"/>
      <c r="J988" s="206" t="s">
        <v>121</v>
      </c>
      <c r="K988" s="206"/>
      <c r="L988" s="206" t="str">
        <v xml:space="preserve"> 36.95</v>
      </c>
      <c r="M988" s="206" t="str">
        <v/>
      </c>
    </row>
    <row r="989" spans="1:13" ht="14.4">
      <c r="A989" s="199" t="str">
        <f ca="1">IFERROR(__xludf.DUMMYFUNCTION("""COMPUTED_VALUE"""),"HSC")</f>
        <v>HSC</v>
      </c>
      <c r="B989" s="207" t="str">
        <f ca="1">IFERROR(__xludf.DUMMYFUNCTION("""COMPUTED_VALUE"""),"Georgia Steele")</f>
        <v>Georgia Steele</v>
      </c>
      <c r="C989" s="199">
        <f ca="1">IFERROR(__xludf.DUMMYFUNCTION("""COMPUTED_VALUE"""),10)</f>
        <v>10</v>
      </c>
      <c r="D989" s="199" t="str">
        <f ca="1">IFERROR(__xludf.DUMMYFUNCTION("""COMPUTED_VALUE"""),"G")</f>
        <v>G</v>
      </c>
      <c r="E989" s="202" t="str">
        <f ca="1">IFERROR(__xludf.DUMMYFUNCTION("""COMPUTED_VALUE"""),"F")</f>
        <v>F</v>
      </c>
      <c r="F989" s="202" t="str">
        <f ca="1">IFERROR(__xludf.DUMMYFUNCTION("""COMPUTED_VALUE"""),"J")</f>
        <v>J</v>
      </c>
      <c r="G989" s="202">
        <f ca="1">IFERROR(__xludf.DUMMYFUNCTION("""COMPUTED_VALUE"""),7)</f>
        <v>7</v>
      </c>
      <c r="H989" s="206"/>
      <c r="I989" s="206"/>
      <c r="J989" s="206"/>
      <c r="K989" s="206"/>
      <c r="L989" s="206" t="str">
        <v/>
      </c>
      <c r="M989" s="206" t="str">
        <v/>
      </c>
    </row>
    <row r="990" spans="1:13" ht="14.4">
      <c r="A990" s="199" t="str">
        <f ca="1">IFERROR(__xludf.DUMMYFUNCTION("""COMPUTED_VALUE"""),"HSC")</f>
        <v>HSC</v>
      </c>
      <c r="B990" s="207" t="str">
        <f ca="1">IFERROR(__xludf.DUMMYFUNCTION("""COMPUTED_VALUE"""),"Grace Wegner")</f>
        <v>Grace Wegner</v>
      </c>
      <c r="C990" s="199">
        <f ca="1">IFERROR(__xludf.DUMMYFUNCTION("""COMPUTED_VALUE"""),7)</f>
        <v>7</v>
      </c>
      <c r="D990" s="199" t="str">
        <f ca="1">IFERROR(__xludf.DUMMYFUNCTION("""COMPUTED_VALUE"""),"G")</f>
        <v>G</v>
      </c>
      <c r="E990" s="202" t="str">
        <f ca="1">IFERROR(__xludf.DUMMYFUNCTION("""COMPUTED_VALUE"""),"F")</f>
        <v>F</v>
      </c>
      <c r="F990" s="202" t="str">
        <f ca="1">IFERROR(__xludf.DUMMYFUNCTION("""COMPUTED_VALUE"""),"J")</f>
        <v>J</v>
      </c>
      <c r="G990" s="202">
        <f ca="1">IFERROR(__xludf.DUMMYFUNCTION("""COMPUTED_VALUE"""),7)</f>
        <v>7</v>
      </c>
      <c r="H990" s="206"/>
      <c r="I990" s="206"/>
      <c r="J990" s="206"/>
      <c r="K990" s="206"/>
      <c r="L990" s="206" t="str">
        <v/>
      </c>
      <c r="M990" s="206" t="str">
        <v/>
      </c>
    </row>
    <row r="991" spans="1:13" ht="14.4">
      <c r="A991" s="199" t="str">
        <f ca="1">IFERROR(__xludf.DUMMYFUNCTION("""COMPUTED_VALUE"""),"HSC")</f>
        <v>HSC</v>
      </c>
      <c r="B991" s="207" t="str">
        <f ca="1">IFERROR(__xludf.DUMMYFUNCTION("""COMPUTED_VALUE"""),"Julia Hernandez")</f>
        <v>Julia Hernandez</v>
      </c>
      <c r="C991" s="199">
        <f ca="1">IFERROR(__xludf.DUMMYFUNCTION("""COMPUTED_VALUE"""),6)</f>
        <v>6</v>
      </c>
      <c r="D991" s="199" t="str">
        <f ca="1">IFERROR(__xludf.DUMMYFUNCTION("""COMPUTED_VALUE"""),"G")</f>
        <v>G</v>
      </c>
      <c r="E991" s="202" t="str">
        <f ca="1">IFERROR(__xludf.DUMMYFUNCTION("""COMPUTED_VALUE"""),"F")</f>
        <v>F</v>
      </c>
      <c r="F991" s="202" t="str">
        <f ca="1">IFERROR(__xludf.DUMMYFUNCTION("""COMPUTED_VALUE"""),"J")</f>
        <v>J</v>
      </c>
      <c r="G991" s="202">
        <f ca="1">IFERROR(__xludf.DUMMYFUNCTION("""COMPUTED_VALUE"""),7)</f>
        <v>7</v>
      </c>
      <c r="H991" s="208"/>
      <c r="I991" s="208"/>
      <c r="J991" s="208"/>
      <c r="K991" s="208"/>
      <c r="L991" s="208" t="str">
        <v/>
      </c>
      <c r="M991" s="208" t="str">
        <v/>
      </c>
    </row>
    <row r="992" spans="1:13" ht="14.4">
      <c r="A992" s="199" t="str">
        <f ca="1">IFERROR(__xludf.DUMMYFUNCTION("""COMPUTED_VALUE"""),"HSC")</f>
        <v>HSC</v>
      </c>
      <c r="B992" s="207" t="str">
        <f ca="1">IFERROR(__xludf.DUMMYFUNCTION("""COMPUTED_VALUE"""),"Kate Gentry")</f>
        <v>Kate Gentry</v>
      </c>
      <c r="C992" s="199">
        <f ca="1">IFERROR(__xludf.DUMMYFUNCTION("""COMPUTED_VALUE"""),9)</f>
        <v>9</v>
      </c>
      <c r="D992" s="199" t="str">
        <f ca="1">IFERROR(__xludf.DUMMYFUNCTION("""COMPUTED_VALUE"""),"G")</f>
        <v>G</v>
      </c>
      <c r="E992" s="202" t="str">
        <f ca="1">IFERROR(__xludf.DUMMYFUNCTION("""COMPUTED_VALUE"""),"F")</f>
        <v>F</v>
      </c>
      <c r="F992" s="202" t="str">
        <f ca="1">IFERROR(__xludf.DUMMYFUNCTION("""COMPUTED_VALUE"""),"J")</f>
        <v>J</v>
      </c>
      <c r="G992" s="202">
        <f ca="1">IFERROR(__xludf.DUMMYFUNCTION("""COMPUTED_VALUE"""),7)</f>
        <v>7</v>
      </c>
      <c r="H992" s="208">
        <v>46.15</v>
      </c>
      <c r="I992" s="208"/>
      <c r="J992" s="208" t="s">
        <v>121</v>
      </c>
      <c r="K992" s="208"/>
      <c r="L992" s="208" t="str">
        <v xml:space="preserve"> 46.15</v>
      </c>
      <c r="M992" s="208" t="str">
        <v/>
      </c>
    </row>
    <row r="993" spans="1:13" ht="14.4">
      <c r="A993" s="199" t="str">
        <f ca="1">IFERROR(__xludf.DUMMYFUNCTION("""COMPUTED_VALUE"""),"HSC")</f>
        <v>HSC</v>
      </c>
      <c r="B993" s="207" t="str">
        <f ca="1">IFERROR(__xludf.DUMMYFUNCTION("""COMPUTED_VALUE"""),"Leah Schwartz")</f>
        <v>Leah Schwartz</v>
      </c>
      <c r="C993" s="199">
        <f ca="1">IFERROR(__xludf.DUMMYFUNCTION("""COMPUTED_VALUE"""),5)</f>
        <v>5</v>
      </c>
      <c r="D993" s="199" t="str">
        <f ca="1">IFERROR(__xludf.DUMMYFUNCTION("""COMPUTED_VALUE"""),"G")</f>
        <v>G</v>
      </c>
      <c r="E993" s="202" t="str">
        <f ca="1">IFERROR(__xludf.DUMMYFUNCTION("""COMPUTED_VALUE"""),"F")</f>
        <v>F</v>
      </c>
      <c r="F993" s="202" t="str">
        <f ca="1">IFERROR(__xludf.DUMMYFUNCTION("""COMPUTED_VALUE"""),"J")</f>
        <v>J</v>
      </c>
      <c r="G993" s="202">
        <f ca="1">IFERROR(__xludf.DUMMYFUNCTION("""COMPUTED_VALUE"""),7)</f>
        <v>7</v>
      </c>
      <c r="H993" s="208"/>
      <c r="I993" s="208"/>
      <c r="J993" s="208"/>
      <c r="K993" s="208"/>
      <c r="L993" s="208" t="str">
        <v/>
      </c>
      <c r="M993" s="208" t="str">
        <v/>
      </c>
    </row>
    <row r="994" spans="1:13" ht="14.4">
      <c r="A994" s="199" t="str">
        <f ca="1">IFERROR(__xludf.DUMMYFUNCTION("""COMPUTED_VALUE"""),"HSC")</f>
        <v>HSC</v>
      </c>
      <c r="B994" s="207" t="str">
        <f ca="1">IFERROR(__xludf.DUMMYFUNCTION("""COMPUTED_VALUE"""),"Mandi Wang")</f>
        <v>Mandi Wang</v>
      </c>
      <c r="C994" s="199">
        <f ca="1">IFERROR(__xludf.DUMMYFUNCTION("""COMPUTED_VALUE"""),8)</f>
        <v>8</v>
      </c>
      <c r="D994" s="199" t="str">
        <f ca="1">IFERROR(__xludf.DUMMYFUNCTION("""COMPUTED_VALUE"""),"G")</f>
        <v>G</v>
      </c>
      <c r="E994" s="202" t="str">
        <f ca="1">IFERROR(__xludf.DUMMYFUNCTION("""COMPUTED_VALUE"""),"F")</f>
        <v>F</v>
      </c>
      <c r="F994" s="202" t="str">
        <f ca="1">IFERROR(__xludf.DUMMYFUNCTION("""COMPUTED_VALUE"""),"J")</f>
        <v>J</v>
      </c>
      <c r="G994" s="202">
        <f ca="1">IFERROR(__xludf.DUMMYFUNCTION("""COMPUTED_VALUE"""),7)</f>
        <v>7</v>
      </c>
      <c r="H994" s="208"/>
      <c r="I994" s="208"/>
      <c r="J994" s="208"/>
      <c r="K994" s="208"/>
      <c r="L994" s="208" t="str">
        <v/>
      </c>
      <c r="M994" s="208" t="str">
        <v/>
      </c>
    </row>
    <row r="995" spans="1:13" ht="14.4">
      <c r="A995" s="199" t="str">
        <f ca="1">IFERROR(__xludf.DUMMYFUNCTION("""COMPUTED_VALUE"""),"HSC")</f>
        <v>HSC</v>
      </c>
      <c r="B995" s="207" t="str">
        <f ca="1">IFERROR(__xludf.DUMMYFUNCTION("""COMPUTED_VALUE"""),"Noelle Rosser")</f>
        <v>Noelle Rosser</v>
      </c>
      <c r="C995" s="199">
        <f ca="1">IFERROR(__xludf.DUMMYFUNCTION("""COMPUTED_VALUE"""),8)</f>
        <v>8</v>
      </c>
      <c r="D995" s="199" t="str">
        <f ca="1">IFERROR(__xludf.DUMMYFUNCTION("""COMPUTED_VALUE"""),"G")</f>
        <v>G</v>
      </c>
      <c r="E995" s="202" t="str">
        <f ca="1">IFERROR(__xludf.DUMMYFUNCTION("""COMPUTED_VALUE"""),"F")</f>
        <v>F</v>
      </c>
      <c r="F995" s="202" t="str">
        <f ca="1">IFERROR(__xludf.DUMMYFUNCTION("""COMPUTED_VALUE"""),"J")</f>
        <v>J</v>
      </c>
      <c r="G995" s="202">
        <f ca="1">IFERROR(__xludf.DUMMYFUNCTION("""COMPUTED_VALUE"""),7)</f>
        <v>7</v>
      </c>
      <c r="H995" s="206"/>
      <c r="I995" s="206"/>
      <c r="J995" s="206"/>
      <c r="K995" s="206"/>
      <c r="L995" s="206" t="str">
        <v/>
      </c>
      <c r="M995" s="206" t="str">
        <v/>
      </c>
    </row>
    <row r="996" spans="1:13" ht="14.4">
      <c r="A996" s="199" t="str">
        <f ca="1">IFERROR(__xludf.DUMMYFUNCTION("""COMPUTED_VALUE"""),"HSC")</f>
        <v>HSC</v>
      </c>
      <c r="B996" s="207" t="str">
        <f ca="1">IFERROR(__xludf.DUMMYFUNCTION("""COMPUTED_VALUE"""),"Olivia Gentry")</f>
        <v>Olivia Gentry</v>
      </c>
      <c r="C996" s="199">
        <f ca="1">IFERROR(__xludf.DUMMYFUNCTION("""COMPUTED_VALUE"""),7)</f>
        <v>7</v>
      </c>
      <c r="D996" s="199" t="str">
        <f ca="1">IFERROR(__xludf.DUMMYFUNCTION("""COMPUTED_VALUE"""),"G")</f>
        <v>G</v>
      </c>
      <c r="E996" s="202" t="str">
        <f ca="1">IFERROR(__xludf.DUMMYFUNCTION("""COMPUTED_VALUE"""),"F")</f>
        <v>F</v>
      </c>
      <c r="F996" s="202" t="str">
        <f ca="1">IFERROR(__xludf.DUMMYFUNCTION("""COMPUTED_VALUE"""),"J")</f>
        <v>J</v>
      </c>
      <c r="G996" s="202">
        <f ca="1">IFERROR(__xludf.DUMMYFUNCTION("""COMPUTED_VALUE"""),7)</f>
        <v>7</v>
      </c>
      <c r="H996" s="208"/>
      <c r="I996" s="208"/>
      <c r="J996" s="208"/>
      <c r="K996" s="208"/>
      <c r="L996" s="208" t="str">
        <v/>
      </c>
      <c r="M996" s="208" t="str">
        <v/>
      </c>
    </row>
    <row r="997" spans="1:13" ht="14.4">
      <c r="A997" s="199" t="str">
        <f ca="1">IFERROR(__xludf.DUMMYFUNCTION("""COMPUTED_VALUE"""),"HSC")</f>
        <v>HSC</v>
      </c>
      <c r="B997" s="207" t="str">
        <f ca="1">IFERROR(__xludf.DUMMYFUNCTION("""COMPUTED_VALUE"""),"Saachi Chandrasekar")</f>
        <v>Saachi Chandrasekar</v>
      </c>
      <c r="C997" s="199">
        <f ca="1">IFERROR(__xludf.DUMMYFUNCTION("""COMPUTED_VALUE"""),10)</f>
        <v>10</v>
      </c>
      <c r="D997" s="199" t="str">
        <f ca="1">IFERROR(__xludf.DUMMYFUNCTION("""COMPUTED_VALUE"""),"G")</f>
        <v>G</v>
      </c>
      <c r="E997" s="202" t="str">
        <f ca="1">IFERROR(__xludf.DUMMYFUNCTION("""COMPUTED_VALUE"""),"F")</f>
        <v>F</v>
      </c>
      <c r="F997" s="202" t="str">
        <f ca="1">IFERROR(__xludf.DUMMYFUNCTION("""COMPUTED_VALUE"""),"J")</f>
        <v>J</v>
      </c>
      <c r="G997" s="202">
        <f ca="1">IFERROR(__xludf.DUMMYFUNCTION("""COMPUTED_VALUE"""),7)</f>
        <v>7</v>
      </c>
      <c r="H997" s="208"/>
      <c r="I997" s="208"/>
      <c r="J997" s="208"/>
      <c r="K997" s="208"/>
      <c r="L997" s="208" t="str">
        <v/>
      </c>
      <c r="M997" s="208" t="str">
        <v/>
      </c>
    </row>
    <row r="998" spans="1:13" ht="14.4">
      <c r="A998" s="199" t="str">
        <f ca="1">IFERROR(__xludf.DUMMYFUNCTION("""COMPUTED_VALUE"""),"HSC")</f>
        <v>HSC</v>
      </c>
      <c r="B998" s="207" t="str">
        <f ca="1">IFERROR(__xludf.DUMMYFUNCTION("""COMPUTED_VALUE"""),"Siena Nguyen")</f>
        <v>Siena Nguyen</v>
      </c>
      <c r="C998" s="199">
        <f ca="1">IFERROR(__xludf.DUMMYFUNCTION("""COMPUTED_VALUE"""),9)</f>
        <v>9</v>
      </c>
      <c r="D998" s="199" t="str">
        <f ca="1">IFERROR(__xludf.DUMMYFUNCTION("""COMPUTED_VALUE"""),"G")</f>
        <v>G</v>
      </c>
      <c r="E998" s="202" t="str">
        <f ca="1">IFERROR(__xludf.DUMMYFUNCTION("""COMPUTED_VALUE"""),"F")</f>
        <v>F</v>
      </c>
      <c r="F998" s="202" t="str">
        <f ca="1">IFERROR(__xludf.DUMMYFUNCTION("""COMPUTED_VALUE"""),"J")</f>
        <v>J</v>
      </c>
      <c r="G998" s="202">
        <f ca="1">IFERROR(__xludf.DUMMYFUNCTION("""COMPUTED_VALUE"""),7)</f>
        <v>7</v>
      </c>
      <c r="H998" s="208">
        <v>18.25</v>
      </c>
      <c r="I998" s="208"/>
      <c r="J998" s="208" t="s">
        <v>121</v>
      </c>
      <c r="K998" s="208"/>
      <c r="L998" s="208" t="str">
        <v xml:space="preserve"> 18.25</v>
      </c>
      <c r="M998" s="208" t="str">
        <v/>
      </c>
    </row>
    <row r="999" spans="1:13" ht="14.4">
      <c r="A999" s="199" t="str">
        <f ca="1">IFERROR(__xludf.DUMMYFUNCTION("""COMPUTED_VALUE"""),"HSC")</f>
        <v>HSC</v>
      </c>
      <c r="B999" s="207" t="str">
        <f ca="1">IFERROR(__xludf.DUMMYFUNCTION("""COMPUTED_VALUE"""),"Soraya Hashemi")</f>
        <v>Soraya Hashemi</v>
      </c>
      <c r="C999" s="199">
        <f ca="1">IFERROR(__xludf.DUMMYFUNCTION("""COMPUTED_VALUE"""),6)</f>
        <v>6</v>
      </c>
      <c r="D999" s="199" t="str">
        <f ca="1">IFERROR(__xludf.DUMMYFUNCTION("""COMPUTED_VALUE"""),"G")</f>
        <v>G</v>
      </c>
      <c r="E999" s="202" t="str">
        <f ca="1">IFERROR(__xludf.DUMMYFUNCTION("""COMPUTED_VALUE"""),"F")</f>
        <v>F</v>
      </c>
      <c r="F999" s="202" t="str">
        <f ca="1">IFERROR(__xludf.DUMMYFUNCTION("""COMPUTED_VALUE"""),"J")</f>
        <v>J</v>
      </c>
      <c r="G999" s="202">
        <f ca="1">IFERROR(__xludf.DUMMYFUNCTION("""COMPUTED_VALUE"""),7)</f>
        <v>7</v>
      </c>
      <c r="H999" s="208"/>
      <c r="I999" s="208"/>
      <c r="J999" s="208"/>
      <c r="K999" s="208"/>
      <c r="L999" s="208" t="str">
        <v/>
      </c>
      <c r="M999" s="208" t="str">
        <v/>
      </c>
    </row>
    <row r="1000" spans="1:13" ht="14.4">
      <c r="A1000" s="199" t="str">
        <f ca="1">IFERROR(__xludf.DUMMYFUNCTION("""COMPUTED_VALUE"""),"HSC")</f>
        <v>HSC</v>
      </c>
      <c r="B1000" s="207" t="str">
        <f ca="1">IFERROR(__xludf.DUMMYFUNCTION("""COMPUTED_VALUE"""),"Thais Valkenburg")</f>
        <v>Thais Valkenburg</v>
      </c>
      <c r="C1000" s="199">
        <f ca="1">IFERROR(__xludf.DUMMYFUNCTION("""COMPUTED_VALUE"""),5)</f>
        <v>5</v>
      </c>
      <c r="D1000" s="199" t="str">
        <f ca="1">IFERROR(__xludf.DUMMYFUNCTION("""COMPUTED_VALUE"""),"G")</f>
        <v>G</v>
      </c>
      <c r="E1000" s="202" t="str">
        <f ca="1">IFERROR(__xludf.DUMMYFUNCTION("""COMPUTED_VALUE"""),"F")</f>
        <v>F</v>
      </c>
      <c r="F1000" s="202" t="str">
        <f ca="1">IFERROR(__xludf.DUMMYFUNCTION("""COMPUTED_VALUE"""),"J")</f>
        <v>J</v>
      </c>
      <c r="G1000" s="202">
        <f ca="1">IFERROR(__xludf.DUMMYFUNCTION("""COMPUTED_VALUE"""),7)</f>
        <v>7</v>
      </c>
      <c r="H1000" s="206"/>
      <c r="I1000" s="206"/>
      <c r="J1000" s="206"/>
      <c r="K1000" s="206"/>
      <c r="L1000" s="206" t="str">
        <v/>
      </c>
      <c r="M1000" s="206" t="str">
        <v/>
      </c>
    </row>
    <row r="1001" spans="1:13" ht="14.4">
      <c r="A1001" s="199" t="str">
        <f ca="1">IFERROR(__xludf.DUMMYFUNCTION("""COMPUTED_VALUE"""),"HSC")</f>
        <v>HSC</v>
      </c>
      <c r="B1001" s="207" t="str">
        <f ca="1">IFERROR(__xludf.DUMMYFUNCTION("""COMPUTED_VALUE"""),"Victoria Moscoso")</f>
        <v>Victoria Moscoso</v>
      </c>
      <c r="C1001" s="199">
        <f ca="1">IFERROR(__xludf.DUMMYFUNCTION("""COMPUTED_VALUE"""),8)</f>
        <v>8</v>
      </c>
      <c r="D1001" s="199" t="str">
        <f ca="1">IFERROR(__xludf.DUMMYFUNCTION("""COMPUTED_VALUE"""),"G")</f>
        <v>G</v>
      </c>
      <c r="E1001" s="202" t="str">
        <f ca="1">IFERROR(__xludf.DUMMYFUNCTION("""COMPUTED_VALUE"""),"F")</f>
        <v>F</v>
      </c>
      <c r="F1001" s="202" t="str">
        <f ca="1">IFERROR(__xludf.DUMMYFUNCTION("""COMPUTED_VALUE"""),"J")</f>
        <v>J</v>
      </c>
      <c r="G1001" s="202">
        <f ca="1">IFERROR(__xludf.DUMMYFUNCTION("""COMPUTED_VALUE"""),7)</f>
        <v>7</v>
      </c>
      <c r="H1001" s="206"/>
      <c r="I1001" s="206"/>
      <c r="J1001" s="206"/>
      <c r="K1001" s="206"/>
      <c r="L1001" s="206" t="str">
        <v/>
      </c>
      <c r="M1001" s="206" t="str">
        <v/>
      </c>
    </row>
    <row r="1002" spans="1:13" ht="14.4">
      <c r="A1002" s="199" t="str">
        <f ca="1">IFERROR(__xludf.DUMMYFUNCTION("""COMPUTED_VALUE"""),"HSC")</f>
        <v>HSC</v>
      </c>
      <c r="B1002" s="207" t="str">
        <f ca="1">IFERROR(__xludf.DUMMYFUNCTION("""COMPUTED_VALUE"""),"Cooper Short")</f>
        <v>Cooper Short</v>
      </c>
      <c r="C1002" s="199">
        <f ca="1">IFERROR(__xludf.DUMMYFUNCTION("""COMPUTED_VALUE"""),13)</f>
        <v>13</v>
      </c>
      <c r="D1002" s="199" t="str">
        <f ca="1">IFERROR(__xludf.DUMMYFUNCTION("""COMPUTED_VALUE"""),"B")</f>
        <v>B</v>
      </c>
      <c r="E1002" s="202" t="str">
        <f ca="1">IFERROR(__xludf.DUMMYFUNCTION("""COMPUTED_VALUE"""),"I")</f>
        <v>I</v>
      </c>
      <c r="F1002" s="202" t="str">
        <f ca="1">IFERROR(__xludf.DUMMYFUNCTION("""COMPUTED_VALUE"""),"S")</f>
        <v>S</v>
      </c>
      <c r="G1002" s="202">
        <f ca="1">IFERROR(__xludf.DUMMYFUNCTION("""COMPUTED_VALUE"""),7)</f>
        <v>7</v>
      </c>
      <c r="H1002" s="206"/>
      <c r="I1002" s="206"/>
      <c r="J1002" s="206"/>
      <c r="K1002" s="206"/>
      <c r="L1002" s="206" t="str">
        <v/>
      </c>
      <c r="M1002" s="206" t="str">
        <v/>
      </c>
    </row>
    <row r="1003" spans="1:13" ht="14.4">
      <c r="A1003" s="199" t="str">
        <f ca="1">IFERROR(__xludf.DUMMYFUNCTION("""COMPUTED_VALUE"""),"HSC")</f>
        <v>HSC</v>
      </c>
      <c r="B1003" s="207" t="str">
        <f ca="1">IFERROR(__xludf.DUMMYFUNCTION("""COMPUTED_VALUE"""),"Jackson Joseph")</f>
        <v>Jackson Joseph</v>
      </c>
      <c r="C1003" s="199">
        <f ca="1">IFERROR(__xludf.DUMMYFUNCTION("""COMPUTED_VALUE"""),13)</f>
        <v>13</v>
      </c>
      <c r="D1003" s="199" t="str">
        <f ca="1">IFERROR(__xludf.DUMMYFUNCTION("""COMPUTED_VALUE"""),"B")</f>
        <v>B</v>
      </c>
      <c r="E1003" s="202" t="str">
        <f ca="1">IFERROR(__xludf.DUMMYFUNCTION("""COMPUTED_VALUE"""),"I")</f>
        <v>I</v>
      </c>
      <c r="F1003" s="202" t="str">
        <f ca="1">IFERROR(__xludf.DUMMYFUNCTION("""COMPUTED_VALUE"""),"S")</f>
        <v>S</v>
      </c>
      <c r="G1003" s="202">
        <f ca="1">IFERROR(__xludf.DUMMYFUNCTION("""COMPUTED_VALUE"""),7)</f>
        <v>7</v>
      </c>
      <c r="H1003" s="208"/>
      <c r="I1003" s="208"/>
      <c r="J1003" s="208"/>
      <c r="K1003" s="208"/>
      <c r="L1003" s="208" t="str">
        <v/>
      </c>
      <c r="M1003" s="208" t="str">
        <v/>
      </c>
    </row>
    <row r="1004" spans="1:13" ht="14.4">
      <c r="A1004" s="199" t="str">
        <f ca="1">IFERROR(__xludf.DUMMYFUNCTION("""COMPUTED_VALUE"""),"HSC")</f>
        <v>HSC</v>
      </c>
      <c r="B1004" s="207" t="str">
        <f ca="1">IFERROR(__xludf.DUMMYFUNCTION("""COMPUTED_VALUE"""),"Savas Emanuel")</f>
        <v>Savas Emanuel</v>
      </c>
      <c r="C1004" s="199">
        <f ca="1">IFERROR(__xludf.DUMMYFUNCTION("""COMPUTED_VALUE"""),14)</f>
        <v>14</v>
      </c>
      <c r="D1004" s="199" t="str">
        <f ca="1">IFERROR(__xludf.DUMMYFUNCTION("""COMPUTED_VALUE"""),"B")</f>
        <v>B</v>
      </c>
      <c r="E1004" s="202" t="str">
        <f ca="1">IFERROR(__xludf.DUMMYFUNCTION("""COMPUTED_VALUE"""),"I")</f>
        <v>I</v>
      </c>
      <c r="F1004" s="202" t="str">
        <f ca="1">IFERROR(__xludf.DUMMYFUNCTION("""COMPUTED_VALUE"""),"S")</f>
        <v>S</v>
      </c>
      <c r="G1004" s="202">
        <f ca="1">IFERROR(__xludf.DUMMYFUNCTION("""COMPUTED_VALUE"""),7)</f>
        <v>7</v>
      </c>
      <c r="H1004" s="206"/>
      <c r="I1004" s="206">
        <v>104.2</v>
      </c>
      <c r="J1004" s="206"/>
      <c r="K1004" s="206" t="s">
        <v>121</v>
      </c>
      <c r="L1004" s="206" t="str">
        <v xml:space="preserve"> 104.2</v>
      </c>
      <c r="M1004" s="206" t="str">
        <v/>
      </c>
    </row>
    <row r="1005" spans="1:13" ht="14.4">
      <c r="A1005" s="199" t="str">
        <f ca="1">IFERROR(__xludf.DUMMYFUNCTION("""COMPUTED_VALUE"""),"HSC")</f>
        <v>HSC</v>
      </c>
      <c r="B1005" s="207" t="str">
        <f ca="1">IFERROR(__xludf.DUMMYFUNCTION("""COMPUTED_VALUE"""),"Ayaan Ramnani")</f>
        <v>Ayaan Ramnani</v>
      </c>
      <c r="C1005" s="199">
        <f ca="1">IFERROR(__xludf.DUMMYFUNCTION("""COMPUTED_VALUE"""),11)</f>
        <v>11</v>
      </c>
      <c r="D1005" s="199" t="str">
        <f ca="1">IFERROR(__xludf.DUMMYFUNCTION("""COMPUTED_VALUE"""),"B")</f>
        <v>B</v>
      </c>
      <c r="E1005" s="202" t="str">
        <f ca="1">IFERROR(__xludf.DUMMYFUNCTION("""COMPUTED_VALUE"""),"J")</f>
        <v>J</v>
      </c>
      <c r="F1005" s="202" t="str">
        <f ca="1">IFERROR(__xludf.DUMMYFUNCTION("""COMPUTED_VALUE"""),"I")</f>
        <v>I</v>
      </c>
      <c r="G1005" s="202">
        <f ca="1">IFERROR(__xludf.DUMMYFUNCTION("""COMPUTED_VALUE"""),7)</f>
        <v>7</v>
      </c>
      <c r="H1005" s="208"/>
      <c r="I1005" s="208"/>
      <c r="J1005" s="208"/>
      <c r="K1005" s="208"/>
      <c r="L1005" s="208" t="str">
        <v/>
      </c>
      <c r="M1005" s="208" t="str">
        <v/>
      </c>
    </row>
    <row r="1006" spans="1:13" ht="14.4">
      <c r="A1006" s="199" t="str">
        <f ca="1">IFERROR(__xludf.DUMMYFUNCTION("""COMPUTED_VALUE"""),"HSC")</f>
        <v>HSC</v>
      </c>
      <c r="B1006" s="207" t="str">
        <f ca="1">IFERROR(__xludf.DUMMYFUNCTION("""COMPUTED_VALUE"""),"Bennett Steele")</f>
        <v>Bennett Steele</v>
      </c>
      <c r="C1006" s="199">
        <f ca="1">IFERROR(__xludf.DUMMYFUNCTION("""COMPUTED_VALUE"""),11)</f>
        <v>11</v>
      </c>
      <c r="D1006" s="199" t="str">
        <f ca="1">IFERROR(__xludf.DUMMYFUNCTION("""COMPUTED_VALUE"""),"B")</f>
        <v>B</v>
      </c>
      <c r="E1006" s="202" t="str">
        <f ca="1">IFERROR(__xludf.DUMMYFUNCTION("""COMPUTED_VALUE"""),"J")</f>
        <v>J</v>
      </c>
      <c r="F1006" s="202" t="str">
        <f ca="1">IFERROR(__xludf.DUMMYFUNCTION("""COMPUTED_VALUE"""),"I")</f>
        <v>I</v>
      </c>
      <c r="G1006" s="202">
        <f ca="1">IFERROR(__xludf.DUMMYFUNCTION("""COMPUTED_VALUE"""),7)</f>
        <v>7</v>
      </c>
      <c r="H1006" s="206"/>
      <c r="I1006" s="206">
        <v>88.45</v>
      </c>
      <c r="J1006" s="206"/>
      <c r="K1006" s="206" t="s">
        <v>121</v>
      </c>
      <c r="L1006" s="206" t="str">
        <v xml:space="preserve"> 88.45</v>
      </c>
      <c r="M1006" s="206" t="str">
        <v/>
      </c>
    </row>
    <row r="1007" spans="1:13" ht="14.4">
      <c r="A1007" s="199" t="str">
        <f ca="1">IFERROR(__xludf.DUMMYFUNCTION("""COMPUTED_VALUE"""),"HSC")</f>
        <v>HSC</v>
      </c>
      <c r="B1007" s="207" t="str">
        <f ca="1">IFERROR(__xludf.DUMMYFUNCTION("""COMPUTED_VALUE"""),"Darius Bajoghli")</f>
        <v>Darius Bajoghli</v>
      </c>
      <c r="C1007" s="199">
        <f ca="1">IFERROR(__xludf.DUMMYFUNCTION("""COMPUTED_VALUE"""),12)</f>
        <v>12</v>
      </c>
      <c r="D1007" s="199" t="str">
        <f ca="1">IFERROR(__xludf.DUMMYFUNCTION("""COMPUTED_VALUE"""),"B")</f>
        <v>B</v>
      </c>
      <c r="E1007" s="202" t="str">
        <f ca="1">IFERROR(__xludf.DUMMYFUNCTION("""COMPUTED_VALUE"""),"J")</f>
        <v>J</v>
      </c>
      <c r="F1007" s="202" t="str">
        <f ca="1">IFERROR(__xludf.DUMMYFUNCTION("""COMPUTED_VALUE"""),"I")</f>
        <v>I</v>
      </c>
      <c r="G1007" s="202">
        <f ca="1">IFERROR(__xludf.DUMMYFUNCTION("""COMPUTED_VALUE"""),7)</f>
        <v>7</v>
      </c>
      <c r="H1007" s="208"/>
      <c r="I1007" s="208">
        <v>62.75</v>
      </c>
      <c r="J1007" s="208"/>
      <c r="K1007" s="208" t="s">
        <v>121</v>
      </c>
      <c r="L1007" s="208" t="str">
        <v xml:space="preserve"> 62.75</v>
      </c>
      <c r="M1007" s="208" t="str">
        <v/>
      </c>
    </row>
    <row r="1008" spans="1:13" ht="14.4">
      <c r="A1008" s="199" t="str">
        <f ca="1">IFERROR(__xludf.DUMMYFUNCTION("""COMPUTED_VALUE"""),"HSC")</f>
        <v>HSC</v>
      </c>
      <c r="B1008" s="207" t="str">
        <f ca="1">IFERROR(__xludf.DUMMYFUNCTION("""COMPUTED_VALUE"""),"Grant Fass")</f>
        <v>Grant Fass</v>
      </c>
      <c r="C1008" s="199">
        <f ca="1">IFERROR(__xludf.DUMMYFUNCTION("""COMPUTED_VALUE"""),11)</f>
        <v>11</v>
      </c>
      <c r="D1008" s="199" t="str">
        <f ca="1">IFERROR(__xludf.DUMMYFUNCTION("""COMPUTED_VALUE"""),"B")</f>
        <v>B</v>
      </c>
      <c r="E1008" s="202" t="str">
        <f ca="1">IFERROR(__xludf.DUMMYFUNCTION("""COMPUTED_VALUE"""),"J")</f>
        <v>J</v>
      </c>
      <c r="F1008" s="202" t="str">
        <f ca="1">IFERROR(__xludf.DUMMYFUNCTION("""COMPUTED_VALUE"""),"I")</f>
        <v>I</v>
      </c>
      <c r="G1008" s="202">
        <f ca="1">IFERROR(__xludf.DUMMYFUNCTION("""COMPUTED_VALUE"""),7)</f>
        <v>7</v>
      </c>
      <c r="H1008" s="208"/>
      <c r="I1008" s="208"/>
      <c r="J1008" s="208"/>
      <c r="K1008" s="208"/>
      <c r="L1008" s="208" t="str">
        <v/>
      </c>
      <c r="M1008" s="208" t="str">
        <v/>
      </c>
    </row>
    <row r="1009" spans="1:13" ht="14.4">
      <c r="A1009" s="199" t="str">
        <f ca="1">IFERROR(__xludf.DUMMYFUNCTION("""COMPUTED_VALUE"""),"HSC")</f>
        <v>HSC</v>
      </c>
      <c r="B1009" s="207" t="str">
        <f ca="1">IFERROR(__xludf.DUMMYFUNCTION("""COMPUTED_VALUE"""),"Samuel Frankel")</f>
        <v>Samuel Frankel</v>
      </c>
      <c r="C1009" s="199">
        <f ca="1">IFERROR(__xludf.DUMMYFUNCTION("""COMPUTED_VALUE"""),11)</f>
        <v>11</v>
      </c>
      <c r="D1009" s="199" t="str">
        <f ca="1">IFERROR(__xludf.DUMMYFUNCTION("""COMPUTED_VALUE"""),"B")</f>
        <v>B</v>
      </c>
      <c r="E1009" s="202" t="str">
        <f ca="1">IFERROR(__xludf.DUMMYFUNCTION("""COMPUTED_VALUE"""),"J")</f>
        <v>J</v>
      </c>
      <c r="F1009" s="202" t="str">
        <f ca="1">IFERROR(__xludf.DUMMYFUNCTION("""COMPUTED_VALUE"""),"I")</f>
        <v>I</v>
      </c>
      <c r="G1009" s="202">
        <f ca="1">IFERROR(__xludf.DUMMYFUNCTION("""COMPUTED_VALUE"""),7)</f>
        <v>7</v>
      </c>
      <c r="H1009" s="208"/>
      <c r="I1009" s="208"/>
      <c r="J1009" s="208"/>
      <c r="K1009" s="208"/>
      <c r="L1009" s="208" t="str">
        <v/>
      </c>
      <c r="M1009" s="208" t="str">
        <v/>
      </c>
    </row>
    <row r="1010" spans="1:13" ht="14.4">
      <c r="A1010" s="199" t="str">
        <f ca="1">IFERROR(__xludf.DUMMYFUNCTION("""COMPUTED_VALUE"""),"HSC")</f>
        <v>HSC</v>
      </c>
      <c r="B1010" s="207" t="str">
        <f ca="1">IFERROR(__xludf.DUMMYFUNCTION("""COMPUTED_VALUE"""),"Charlotte Frankel")</f>
        <v>Charlotte Frankel</v>
      </c>
      <c r="C1010" s="199">
        <f ca="1">IFERROR(__xludf.DUMMYFUNCTION("""COMPUTED_VALUE"""),11)</f>
        <v>11</v>
      </c>
      <c r="D1010" s="199" t="str">
        <f ca="1">IFERROR(__xludf.DUMMYFUNCTION("""COMPUTED_VALUE"""),"G")</f>
        <v>G</v>
      </c>
      <c r="E1010" s="202" t="str">
        <f ca="1">IFERROR(__xludf.DUMMYFUNCTION("""COMPUTED_VALUE"""),"J")</f>
        <v>J</v>
      </c>
      <c r="F1010" s="202" t="str">
        <f ca="1">IFERROR(__xludf.DUMMYFUNCTION("""COMPUTED_VALUE"""),"I")</f>
        <v>I</v>
      </c>
      <c r="G1010" s="202">
        <f ca="1">IFERROR(__xludf.DUMMYFUNCTION("""COMPUTED_VALUE"""),7)</f>
        <v>7</v>
      </c>
      <c r="H1010" s="206"/>
      <c r="I1010" s="206"/>
      <c r="J1010" s="206"/>
      <c r="K1010" s="206"/>
      <c r="L1010" s="206" t="str">
        <v/>
      </c>
      <c r="M1010" s="206" t="str">
        <v/>
      </c>
    </row>
    <row r="1011" spans="1:13" ht="14.4">
      <c r="A1011" s="199" t="str">
        <f ca="1">IFERROR(__xludf.DUMMYFUNCTION("""COMPUTED_VALUE"""),"HSC")</f>
        <v>HSC</v>
      </c>
      <c r="B1011" s="207" t="str">
        <f ca="1">IFERROR(__xludf.DUMMYFUNCTION("""COMPUTED_VALUE"""),"Leyla Ozden")</f>
        <v>Leyla Ozden</v>
      </c>
      <c r="C1011" s="199">
        <f ca="1">IFERROR(__xludf.DUMMYFUNCTION("""COMPUTED_VALUE"""),11)</f>
        <v>11</v>
      </c>
      <c r="D1011" s="199" t="str">
        <f ca="1">IFERROR(__xludf.DUMMYFUNCTION("""COMPUTED_VALUE"""),"G")</f>
        <v>G</v>
      </c>
      <c r="E1011" s="202" t="str">
        <f ca="1">IFERROR(__xludf.DUMMYFUNCTION("""COMPUTED_VALUE"""),"J")</f>
        <v>J</v>
      </c>
      <c r="F1011" s="202" t="str">
        <f ca="1">IFERROR(__xludf.DUMMYFUNCTION("""COMPUTED_VALUE"""),"I")</f>
        <v>I</v>
      </c>
      <c r="G1011" s="202">
        <f ca="1">IFERROR(__xludf.DUMMYFUNCTION("""COMPUTED_VALUE"""),7)</f>
        <v>7</v>
      </c>
      <c r="H1011" s="208">
        <v>58.85</v>
      </c>
      <c r="I1011" s="208"/>
      <c r="J1011" s="208" t="s">
        <v>121</v>
      </c>
      <c r="K1011" s="208"/>
      <c r="L1011" s="208" t="str">
        <v xml:space="preserve"> 58.85</v>
      </c>
      <c r="M1011" s="208" t="str">
        <v/>
      </c>
    </row>
    <row r="1012" spans="1:13" ht="14.4">
      <c r="A1012" s="199" t="str">
        <f ca="1">IFERROR(__xludf.DUMMYFUNCTION("""COMPUTED_VALUE"""),"HSC")</f>
        <v>HSC</v>
      </c>
      <c r="B1012" s="207" t="str">
        <f ca="1">IFERROR(__xludf.DUMMYFUNCTION("""COMPUTED_VALUE"""),"Tatum Kurpiel")</f>
        <v>Tatum Kurpiel</v>
      </c>
      <c r="C1012" s="199">
        <f ca="1">IFERROR(__xludf.DUMMYFUNCTION("""COMPUTED_VALUE"""),11)</f>
        <v>11</v>
      </c>
      <c r="D1012" s="199" t="str">
        <f ca="1">IFERROR(__xludf.DUMMYFUNCTION("""COMPUTED_VALUE"""),"G")</f>
        <v>G</v>
      </c>
      <c r="E1012" s="202" t="str">
        <f ca="1">IFERROR(__xludf.DUMMYFUNCTION("""COMPUTED_VALUE"""),"J")</f>
        <v>J</v>
      </c>
      <c r="F1012" s="202" t="str">
        <f ca="1">IFERROR(__xludf.DUMMYFUNCTION("""COMPUTED_VALUE"""),"I")</f>
        <v>I</v>
      </c>
      <c r="G1012" s="202">
        <f ca="1">IFERROR(__xludf.DUMMYFUNCTION("""COMPUTED_VALUE"""),7)</f>
        <v>7</v>
      </c>
      <c r="H1012" s="208"/>
      <c r="I1012" s="208"/>
      <c r="J1012" s="208"/>
      <c r="K1012" s="208"/>
      <c r="L1012" s="208" t="str">
        <v/>
      </c>
      <c r="M1012" s="208" t="str">
        <v/>
      </c>
    </row>
    <row r="1013" spans="1:13" ht="14.4">
      <c r="A1013" s="199" t="str">
        <f ca="1">IFERROR(__xludf.DUMMYFUNCTION("""COMPUTED_VALUE"""),"HSC")</f>
        <v>HSC</v>
      </c>
      <c r="B1013" s="207" t="str">
        <f ca="1">IFERROR(__xludf.DUMMYFUNCTION("""COMPUTED_VALUE"""),"Vela Pascual")</f>
        <v>Vela Pascual</v>
      </c>
      <c r="C1013" s="199">
        <f ca="1">IFERROR(__xludf.DUMMYFUNCTION("""COMPUTED_VALUE"""),12)</f>
        <v>12</v>
      </c>
      <c r="D1013" s="199" t="str">
        <f ca="1">IFERROR(__xludf.DUMMYFUNCTION("""COMPUTED_VALUE"""),"G")</f>
        <v>G</v>
      </c>
      <c r="E1013" s="202" t="str">
        <f ca="1">IFERROR(__xludf.DUMMYFUNCTION("""COMPUTED_VALUE"""),"J")</f>
        <v>J</v>
      </c>
      <c r="F1013" s="202" t="str">
        <f ca="1">IFERROR(__xludf.DUMMYFUNCTION("""COMPUTED_VALUE"""),"I")</f>
        <v>I</v>
      </c>
      <c r="G1013" s="202">
        <f ca="1">IFERROR(__xludf.DUMMYFUNCTION("""COMPUTED_VALUE"""),7)</f>
        <v>7</v>
      </c>
      <c r="H1013" s="206"/>
      <c r="I1013" s="206"/>
      <c r="J1013" s="206"/>
      <c r="K1013" s="206"/>
      <c r="L1013" s="206" t="str">
        <v/>
      </c>
      <c r="M1013" s="206" t="str">
        <v/>
      </c>
    </row>
    <row r="1014" spans="1:13" ht="14.4">
      <c r="A1014" s="199" t="str">
        <f ca="1">IFERROR(__xludf.DUMMYFUNCTION("""COMPUTED_VALUE"""),"HSC")</f>
        <v>HSC</v>
      </c>
      <c r="B1014" s="207" t="str">
        <f ca="1">IFERROR(__xludf.DUMMYFUNCTION("""COMPUTED_VALUE"""),"Anthony Maull")</f>
        <v>Anthony Maull</v>
      </c>
      <c r="C1014" s="199">
        <f ca="1">IFERROR(__xludf.DUMMYFUNCTION("""COMPUTED_VALUE"""),15)</f>
        <v>15</v>
      </c>
      <c r="D1014" s="199" t="str">
        <f ca="1">IFERROR(__xludf.DUMMYFUNCTION("""COMPUTED_VALUE"""),"B")</f>
        <v>B</v>
      </c>
      <c r="E1014" s="202" t="str">
        <f ca="1">IFERROR(__xludf.DUMMYFUNCTION("""COMPUTED_VALUE"""),"S")</f>
        <v>S</v>
      </c>
      <c r="F1014" s="202" t="str">
        <f ca="1">IFERROR(__xludf.DUMMYFUNCTION("""COMPUTED_VALUE"""),"S")</f>
        <v>S</v>
      </c>
      <c r="G1014" s="202">
        <f ca="1">IFERROR(__xludf.DUMMYFUNCTION("""COMPUTED_VALUE"""),7)</f>
        <v>7</v>
      </c>
      <c r="H1014" s="206"/>
      <c r="I1014" s="206">
        <v>114.6</v>
      </c>
      <c r="J1014" s="206"/>
      <c r="K1014" s="206" t="s">
        <v>121</v>
      </c>
      <c r="L1014" s="206" t="str">
        <v xml:space="preserve"> 114.6</v>
      </c>
      <c r="M1014" s="206" t="str">
        <v/>
      </c>
    </row>
    <row r="1015" spans="1:13" ht="14.4">
      <c r="A1015" s="199" t="str">
        <f ca="1">IFERROR(__xludf.DUMMYFUNCTION("""COMPUTED_VALUE"""),"HSC")</f>
        <v>HSC</v>
      </c>
      <c r="B1015" s="207" t="str">
        <f ca="1">IFERROR(__xludf.DUMMYFUNCTION("""COMPUTED_VALUE"""),"Luke Terry")</f>
        <v>Luke Terry</v>
      </c>
      <c r="C1015" s="199">
        <f ca="1">IFERROR(__xludf.DUMMYFUNCTION("""COMPUTED_VALUE"""),16)</f>
        <v>16</v>
      </c>
      <c r="D1015" s="199" t="str">
        <f ca="1">IFERROR(__xludf.DUMMYFUNCTION("""COMPUTED_VALUE"""),"B")</f>
        <v>B</v>
      </c>
      <c r="E1015" s="202" t="str">
        <f ca="1">IFERROR(__xludf.DUMMYFUNCTION("""COMPUTED_VALUE"""),"S")</f>
        <v>S</v>
      </c>
      <c r="F1015" s="202" t="str">
        <f ca="1">IFERROR(__xludf.DUMMYFUNCTION("""COMPUTED_VALUE"""),"S")</f>
        <v>S</v>
      </c>
      <c r="G1015" s="202">
        <f ca="1">IFERROR(__xludf.DUMMYFUNCTION("""COMPUTED_VALUE"""),7)</f>
        <v>7</v>
      </c>
      <c r="H1015" s="208"/>
      <c r="I1015" s="208"/>
      <c r="J1015" s="208"/>
      <c r="K1015" s="208"/>
      <c r="L1015" s="208" t="str">
        <v/>
      </c>
      <c r="M1015" s="208" t="str">
        <v/>
      </c>
    </row>
    <row r="1016" spans="1:13" ht="14.4">
      <c r="A1016" s="199" t="str">
        <f ca="1">IFERROR(__xludf.DUMMYFUNCTION("""COMPUTED_VALUE"""),"HSC")</f>
        <v>HSC</v>
      </c>
      <c r="B1016" s="207" t="str">
        <f ca="1">IFERROR(__xludf.DUMMYFUNCTION("""COMPUTED_VALUE"""),"Melinda Hauda")</f>
        <v>Melinda Hauda</v>
      </c>
      <c r="C1016" s="199">
        <f ca="1">IFERROR(__xludf.DUMMYFUNCTION("""COMPUTED_VALUE"""),16)</f>
        <v>16</v>
      </c>
      <c r="D1016" s="199" t="str">
        <f ca="1">IFERROR(__xludf.DUMMYFUNCTION("""COMPUTED_VALUE"""),"G")</f>
        <v>G</v>
      </c>
      <c r="E1016" s="202" t="str">
        <f ca="1">IFERROR(__xludf.DUMMYFUNCTION("""COMPUTED_VALUE"""),"S")</f>
        <v>S</v>
      </c>
      <c r="F1016" s="202" t="str">
        <f ca="1">IFERROR(__xludf.DUMMYFUNCTION("""COMPUTED_VALUE"""),"S")</f>
        <v>S</v>
      </c>
      <c r="G1016" s="202">
        <f ca="1">IFERROR(__xludf.DUMMYFUNCTION("""COMPUTED_VALUE"""),7)</f>
        <v>7</v>
      </c>
      <c r="H1016" s="208">
        <v>141.5</v>
      </c>
      <c r="I1016" s="208"/>
      <c r="J1016" s="208" t="s">
        <v>121</v>
      </c>
      <c r="K1016" s="208"/>
      <c r="L1016" s="208" t="str">
        <v xml:space="preserve"> 141.5</v>
      </c>
      <c r="M1016" s="208" t="str">
        <v/>
      </c>
    </row>
    <row r="1017" spans="1:13" ht="14.4">
      <c r="A1017" s="199" t="str">
        <f ca="1">IFERROR(__xludf.DUMMYFUNCTION("""COMPUTED_VALUE"""),"HV")</f>
        <v>HV</v>
      </c>
      <c r="B1017" s="207" t="str">
        <f ca="1">IFERROR(__xludf.DUMMYFUNCTION("""COMPUTED_VALUE"""),"Adam Ogrodny")</f>
        <v>Adam Ogrodny</v>
      </c>
      <c r="C1017" s="199">
        <f ca="1">IFERROR(__xludf.DUMMYFUNCTION("""COMPUTED_VALUE"""),8)</f>
        <v>8</v>
      </c>
      <c r="D1017" s="199" t="str">
        <f ca="1">IFERROR(__xludf.DUMMYFUNCTION("""COMPUTED_VALUE"""),"B")</f>
        <v>B</v>
      </c>
      <c r="E1017" s="202" t="str">
        <f ca="1">IFERROR(__xludf.DUMMYFUNCTION("""COMPUTED_VALUE"""),"F")</f>
        <v>F</v>
      </c>
      <c r="F1017" s="202" t="str">
        <f ca="1">IFERROR(__xludf.DUMMYFUNCTION("""COMPUTED_VALUE"""),"J")</f>
        <v>J</v>
      </c>
      <c r="G1017" s="202">
        <f ca="1">IFERROR(__xludf.DUMMYFUNCTION("""COMPUTED_VALUE"""),3)</f>
        <v>3</v>
      </c>
      <c r="H1017" s="206"/>
      <c r="I1017" s="206">
        <v>51</v>
      </c>
      <c r="J1017" s="206"/>
      <c r="K1017" s="206" t="s">
        <v>121</v>
      </c>
      <c r="L1017" s="206" t="str">
        <v xml:space="preserve"> 51</v>
      </c>
      <c r="M1017" s="206" t="str">
        <v/>
      </c>
    </row>
    <row r="1018" spans="1:13" ht="14.4">
      <c r="A1018" s="199" t="str">
        <f ca="1">IFERROR(__xludf.DUMMYFUNCTION("""COMPUTED_VALUE"""),"HV")</f>
        <v>HV</v>
      </c>
      <c r="B1018" s="207" t="str">
        <f ca="1">IFERROR(__xludf.DUMMYFUNCTION("""COMPUTED_VALUE"""),"Amir Owens")</f>
        <v>Amir Owens</v>
      </c>
      <c r="C1018" s="199">
        <f ca="1">IFERROR(__xludf.DUMMYFUNCTION("""COMPUTED_VALUE"""),8)</f>
        <v>8</v>
      </c>
      <c r="D1018" s="199" t="str">
        <f ca="1">IFERROR(__xludf.DUMMYFUNCTION("""COMPUTED_VALUE"""),"B")</f>
        <v>B</v>
      </c>
      <c r="E1018" s="202" t="str">
        <f ca="1">IFERROR(__xludf.DUMMYFUNCTION("""COMPUTED_VALUE"""),"F")</f>
        <v>F</v>
      </c>
      <c r="F1018" s="202" t="str">
        <f ca="1">IFERROR(__xludf.DUMMYFUNCTION("""COMPUTED_VALUE"""),"J")</f>
        <v>J</v>
      </c>
      <c r="G1018" s="202">
        <f ca="1">IFERROR(__xludf.DUMMYFUNCTION("""COMPUTED_VALUE"""),3)</f>
        <v>3</v>
      </c>
      <c r="H1018" s="208"/>
      <c r="I1018" s="208">
        <v>84.7</v>
      </c>
      <c r="J1018" s="208"/>
      <c r="K1018" s="208" t="s">
        <v>121</v>
      </c>
      <c r="L1018" s="208" t="str">
        <v xml:space="preserve"> 84.7</v>
      </c>
      <c r="M1018" s="208" t="str">
        <v/>
      </c>
    </row>
    <row r="1019" spans="1:13" ht="14.4">
      <c r="A1019" s="199" t="str">
        <f ca="1">IFERROR(__xludf.DUMMYFUNCTION("""COMPUTED_VALUE"""),"HV")</f>
        <v>HV</v>
      </c>
      <c r="B1019" s="207" t="str">
        <f ca="1">IFERROR(__xludf.DUMMYFUNCTION("""COMPUTED_VALUE"""),"Brennan McGill")</f>
        <v>Brennan McGill</v>
      </c>
      <c r="C1019" s="199">
        <f ca="1">IFERROR(__xludf.DUMMYFUNCTION("""COMPUTED_VALUE"""),7)</f>
        <v>7</v>
      </c>
      <c r="D1019" s="199" t="str">
        <f ca="1">IFERROR(__xludf.DUMMYFUNCTION("""COMPUTED_VALUE"""),"B")</f>
        <v>B</v>
      </c>
      <c r="E1019" s="202" t="str">
        <f ca="1">IFERROR(__xludf.DUMMYFUNCTION("""COMPUTED_VALUE"""),"F")</f>
        <v>F</v>
      </c>
      <c r="F1019" s="202" t="str">
        <f ca="1">IFERROR(__xludf.DUMMYFUNCTION("""COMPUTED_VALUE"""),"J")</f>
        <v>J</v>
      </c>
      <c r="G1019" s="202">
        <f ca="1">IFERROR(__xludf.DUMMYFUNCTION("""COMPUTED_VALUE"""),3)</f>
        <v>3</v>
      </c>
      <c r="H1019" s="208"/>
      <c r="I1019" s="208"/>
      <c r="J1019" s="208"/>
      <c r="K1019" s="208"/>
      <c r="L1019" s="208" t="str">
        <v/>
      </c>
      <c r="M1019" s="208" t="str">
        <v/>
      </c>
    </row>
    <row r="1020" spans="1:13" ht="14.4">
      <c r="A1020" s="199" t="str">
        <f ca="1">IFERROR(__xludf.DUMMYFUNCTION("""COMPUTED_VALUE"""),"HV")</f>
        <v>HV</v>
      </c>
      <c r="B1020" s="207" t="str">
        <f ca="1">IFERROR(__xludf.DUMMYFUNCTION("""COMPUTED_VALUE"""),"Colson Gardiner")</f>
        <v>Colson Gardiner</v>
      </c>
      <c r="C1020" s="199">
        <f ca="1">IFERROR(__xludf.DUMMYFUNCTION("""COMPUTED_VALUE"""),10)</f>
        <v>10</v>
      </c>
      <c r="D1020" s="199" t="str">
        <f ca="1">IFERROR(__xludf.DUMMYFUNCTION("""COMPUTED_VALUE"""),"B")</f>
        <v>B</v>
      </c>
      <c r="E1020" s="202" t="str">
        <f ca="1">IFERROR(__xludf.DUMMYFUNCTION("""COMPUTED_VALUE"""),"F")</f>
        <v>F</v>
      </c>
      <c r="F1020" s="202" t="str">
        <f ca="1">IFERROR(__xludf.DUMMYFUNCTION("""COMPUTED_VALUE"""),"J")</f>
        <v>J</v>
      </c>
      <c r="G1020" s="202">
        <f ca="1">IFERROR(__xludf.DUMMYFUNCTION("""COMPUTED_VALUE"""),3)</f>
        <v>3</v>
      </c>
      <c r="H1020" s="206"/>
      <c r="I1020" s="206"/>
      <c r="J1020" s="206"/>
      <c r="K1020" s="206"/>
      <c r="L1020" s="206" t="str">
        <v/>
      </c>
      <c r="M1020" s="206" t="str">
        <v/>
      </c>
    </row>
    <row r="1021" spans="1:13" ht="14.4">
      <c r="A1021" s="199" t="str">
        <f ca="1">IFERROR(__xludf.DUMMYFUNCTION("""COMPUTED_VALUE"""),"HV")</f>
        <v>HV</v>
      </c>
      <c r="B1021" s="207" t="str">
        <f ca="1">IFERROR(__xludf.DUMMYFUNCTION("""COMPUTED_VALUE"""),"Derek Baltas")</f>
        <v>Derek Baltas</v>
      </c>
      <c r="C1021" s="199">
        <f ca="1">IFERROR(__xludf.DUMMYFUNCTION("""COMPUTED_VALUE"""),10)</f>
        <v>10</v>
      </c>
      <c r="D1021" s="199" t="str">
        <f ca="1">IFERROR(__xludf.DUMMYFUNCTION("""COMPUTED_VALUE"""),"B")</f>
        <v>B</v>
      </c>
      <c r="E1021" s="202" t="str">
        <f ca="1">IFERROR(__xludf.DUMMYFUNCTION("""COMPUTED_VALUE"""),"F")</f>
        <v>F</v>
      </c>
      <c r="F1021" s="202" t="str">
        <f ca="1">IFERROR(__xludf.DUMMYFUNCTION("""COMPUTED_VALUE"""),"J")</f>
        <v>J</v>
      </c>
      <c r="G1021" s="202">
        <f ca="1">IFERROR(__xludf.DUMMYFUNCTION("""COMPUTED_VALUE"""),3)</f>
        <v>3</v>
      </c>
      <c r="H1021" s="206"/>
      <c r="I1021" s="206">
        <v>54.05</v>
      </c>
      <c r="J1021" s="206"/>
      <c r="K1021" s="206" t="s">
        <v>121</v>
      </c>
      <c r="L1021" s="206" t="str">
        <v xml:space="preserve"> 54.05</v>
      </c>
      <c r="M1021" s="206" t="str">
        <v/>
      </c>
    </row>
    <row r="1022" spans="1:13" ht="14.4">
      <c r="A1022" s="199" t="str">
        <f ca="1">IFERROR(__xludf.DUMMYFUNCTION("""COMPUTED_VALUE"""),"HV")</f>
        <v>HV</v>
      </c>
      <c r="B1022" s="207" t="str">
        <f ca="1">IFERROR(__xludf.DUMMYFUNCTION("""COMPUTED_VALUE"""),"Jacob Faustman")</f>
        <v>Jacob Faustman</v>
      </c>
      <c r="C1022" s="199">
        <f ca="1">IFERROR(__xludf.DUMMYFUNCTION("""COMPUTED_VALUE"""),9)</f>
        <v>9</v>
      </c>
      <c r="D1022" s="199" t="str">
        <f ca="1">IFERROR(__xludf.DUMMYFUNCTION("""COMPUTED_VALUE"""),"B")</f>
        <v>B</v>
      </c>
      <c r="E1022" s="202" t="str">
        <f ca="1">IFERROR(__xludf.DUMMYFUNCTION("""COMPUTED_VALUE"""),"F")</f>
        <v>F</v>
      </c>
      <c r="F1022" s="202" t="str">
        <f ca="1">IFERROR(__xludf.DUMMYFUNCTION("""COMPUTED_VALUE"""),"J")</f>
        <v>J</v>
      </c>
      <c r="G1022" s="202">
        <f ca="1">IFERROR(__xludf.DUMMYFUNCTION("""COMPUTED_VALUE"""),3)</f>
        <v>3</v>
      </c>
      <c r="H1022" s="208"/>
      <c r="I1022" s="208">
        <v>54.85</v>
      </c>
      <c r="J1022" s="208"/>
      <c r="K1022" s="208" t="s">
        <v>121</v>
      </c>
      <c r="L1022" s="208" t="str">
        <v xml:space="preserve"> 54.85</v>
      </c>
      <c r="M1022" s="208" t="str">
        <v/>
      </c>
    </row>
    <row r="1023" spans="1:13" ht="14.4">
      <c r="A1023" s="199" t="str">
        <f ca="1">IFERROR(__xludf.DUMMYFUNCTION("""COMPUTED_VALUE"""),"HV")</f>
        <v>HV</v>
      </c>
      <c r="B1023" s="207" t="str">
        <f ca="1">IFERROR(__xludf.DUMMYFUNCTION("""COMPUTED_VALUE"""),"John Mulcahy")</f>
        <v>John Mulcahy</v>
      </c>
      <c r="C1023" s="199">
        <f ca="1">IFERROR(__xludf.DUMMYFUNCTION("""COMPUTED_VALUE"""),8)</f>
        <v>8</v>
      </c>
      <c r="D1023" s="199" t="str">
        <f ca="1">IFERROR(__xludf.DUMMYFUNCTION("""COMPUTED_VALUE"""),"B")</f>
        <v>B</v>
      </c>
      <c r="E1023" s="202" t="str">
        <f ca="1">IFERROR(__xludf.DUMMYFUNCTION("""COMPUTED_VALUE"""),"F")</f>
        <v>F</v>
      </c>
      <c r="F1023" s="202" t="str">
        <f ca="1">IFERROR(__xludf.DUMMYFUNCTION("""COMPUTED_VALUE"""),"J")</f>
        <v>J</v>
      </c>
      <c r="G1023" s="202">
        <f ca="1">IFERROR(__xludf.DUMMYFUNCTION("""COMPUTED_VALUE"""),3)</f>
        <v>3</v>
      </c>
      <c r="H1023" s="206"/>
      <c r="I1023" s="206">
        <v>45.15</v>
      </c>
      <c r="J1023" s="206"/>
      <c r="K1023" s="206" t="s">
        <v>121</v>
      </c>
      <c r="L1023" s="206" t="str">
        <v xml:space="preserve"> 45.15</v>
      </c>
      <c r="M1023" s="206" t="str">
        <v/>
      </c>
    </row>
    <row r="1024" spans="1:13" ht="14.4">
      <c r="A1024" s="199" t="str">
        <f ca="1">IFERROR(__xludf.DUMMYFUNCTION("""COMPUTED_VALUE"""),"HV")</f>
        <v>HV</v>
      </c>
      <c r="B1024" s="207" t="str">
        <f ca="1">IFERROR(__xludf.DUMMYFUNCTION("""COMPUTED_VALUE"""),"Ryan Ingraham")</f>
        <v>Ryan Ingraham</v>
      </c>
      <c r="C1024" s="199">
        <f ca="1">IFERROR(__xludf.DUMMYFUNCTION("""COMPUTED_VALUE"""),8)</f>
        <v>8</v>
      </c>
      <c r="D1024" s="199" t="str">
        <f ca="1">IFERROR(__xludf.DUMMYFUNCTION("""COMPUTED_VALUE"""),"B")</f>
        <v>B</v>
      </c>
      <c r="E1024" s="202" t="str">
        <f ca="1">IFERROR(__xludf.DUMMYFUNCTION("""COMPUTED_VALUE"""),"F")</f>
        <v>F</v>
      </c>
      <c r="F1024" s="202" t="str">
        <f ca="1">IFERROR(__xludf.DUMMYFUNCTION("""COMPUTED_VALUE"""),"J")</f>
        <v>J</v>
      </c>
      <c r="G1024" s="202">
        <f ca="1">IFERROR(__xludf.DUMMYFUNCTION("""COMPUTED_VALUE"""),3)</f>
        <v>3</v>
      </c>
      <c r="H1024" s="208"/>
      <c r="I1024" s="208"/>
      <c r="J1024" s="208"/>
      <c r="K1024" s="208"/>
      <c r="L1024" s="208" t="str">
        <v/>
      </c>
      <c r="M1024" s="208" t="str">
        <v/>
      </c>
    </row>
    <row r="1025" spans="1:13" ht="14.4">
      <c r="A1025" s="199" t="str">
        <f ca="1">IFERROR(__xludf.DUMMYFUNCTION("""COMPUTED_VALUE"""),"HV")</f>
        <v>HV</v>
      </c>
      <c r="B1025" s="207" t="str">
        <f ca="1">IFERROR(__xludf.DUMMYFUNCTION("""COMPUTED_VALUE"""),"Tanner Bennett")</f>
        <v>Tanner Bennett</v>
      </c>
      <c r="C1025" s="199">
        <f ca="1">IFERROR(__xludf.DUMMYFUNCTION("""COMPUTED_VALUE"""),8)</f>
        <v>8</v>
      </c>
      <c r="D1025" s="199" t="str">
        <f ca="1">IFERROR(__xludf.DUMMYFUNCTION("""COMPUTED_VALUE"""),"B")</f>
        <v>B</v>
      </c>
      <c r="E1025" s="202" t="str">
        <f ca="1">IFERROR(__xludf.DUMMYFUNCTION("""COMPUTED_VALUE"""),"F")</f>
        <v>F</v>
      </c>
      <c r="F1025" s="202" t="str">
        <f ca="1">IFERROR(__xludf.DUMMYFUNCTION("""COMPUTED_VALUE"""),"J")</f>
        <v>J</v>
      </c>
      <c r="G1025" s="202">
        <f ca="1">IFERROR(__xludf.DUMMYFUNCTION("""COMPUTED_VALUE"""),3)</f>
        <v>3</v>
      </c>
      <c r="H1025" s="208"/>
      <c r="I1025" s="208"/>
      <c r="J1025" s="208"/>
      <c r="K1025" s="208"/>
      <c r="L1025" s="208" t="str">
        <v/>
      </c>
      <c r="M1025" s="208" t="str">
        <v/>
      </c>
    </row>
    <row r="1026" spans="1:13" ht="14.4">
      <c r="A1026" s="199" t="str">
        <f ca="1">IFERROR(__xludf.DUMMYFUNCTION("""COMPUTED_VALUE"""),"HV")</f>
        <v>HV</v>
      </c>
      <c r="B1026" s="207" t="str">
        <f ca="1">IFERROR(__xludf.DUMMYFUNCTION("""COMPUTED_VALUE"""),"Addison Bennett")</f>
        <v>Addison Bennett</v>
      </c>
      <c r="C1026" s="199">
        <f ca="1">IFERROR(__xludf.DUMMYFUNCTION("""COMPUTED_VALUE"""),10)</f>
        <v>10</v>
      </c>
      <c r="D1026" s="199" t="str">
        <f ca="1">IFERROR(__xludf.DUMMYFUNCTION("""COMPUTED_VALUE"""),"G")</f>
        <v>G</v>
      </c>
      <c r="E1026" s="202" t="str">
        <f ca="1">IFERROR(__xludf.DUMMYFUNCTION("""COMPUTED_VALUE"""),"F")</f>
        <v>F</v>
      </c>
      <c r="F1026" s="202" t="str">
        <f ca="1">IFERROR(__xludf.DUMMYFUNCTION("""COMPUTED_VALUE"""),"J")</f>
        <v>J</v>
      </c>
      <c r="G1026" s="202">
        <f ca="1">IFERROR(__xludf.DUMMYFUNCTION("""COMPUTED_VALUE"""),3)</f>
        <v>3</v>
      </c>
      <c r="H1026" s="208">
        <v>36.65</v>
      </c>
      <c r="I1026" s="208"/>
      <c r="J1026" s="208" t="s">
        <v>121</v>
      </c>
      <c r="K1026" s="208"/>
      <c r="L1026" s="208" t="str">
        <v xml:space="preserve"> 36.65</v>
      </c>
      <c r="M1026" s="208" t="str">
        <v/>
      </c>
    </row>
    <row r="1027" spans="1:13" ht="14.4">
      <c r="A1027" s="199" t="str">
        <f ca="1">IFERROR(__xludf.DUMMYFUNCTION("""COMPUTED_VALUE"""),"HV")</f>
        <v>HV</v>
      </c>
      <c r="B1027" s="207" t="str">
        <f ca="1">IFERROR(__xludf.DUMMYFUNCTION("""COMPUTED_VALUE"""),"Eloise Ayers")</f>
        <v>Eloise Ayers</v>
      </c>
      <c r="C1027" s="199">
        <f ca="1">IFERROR(__xludf.DUMMYFUNCTION("""COMPUTED_VALUE"""),10)</f>
        <v>10</v>
      </c>
      <c r="D1027" s="199" t="str">
        <f ca="1">IFERROR(__xludf.DUMMYFUNCTION("""COMPUTED_VALUE"""),"G")</f>
        <v>G</v>
      </c>
      <c r="E1027" s="202" t="str">
        <f ca="1">IFERROR(__xludf.DUMMYFUNCTION("""COMPUTED_VALUE"""),"F")</f>
        <v>F</v>
      </c>
      <c r="F1027" s="202" t="str">
        <f ca="1">IFERROR(__xludf.DUMMYFUNCTION("""COMPUTED_VALUE"""),"J")</f>
        <v>J</v>
      </c>
      <c r="G1027" s="202">
        <f ca="1">IFERROR(__xludf.DUMMYFUNCTION("""COMPUTED_VALUE"""),3)</f>
        <v>3</v>
      </c>
      <c r="H1027" s="208"/>
      <c r="I1027" s="208"/>
      <c r="J1027" s="208"/>
      <c r="K1027" s="208"/>
      <c r="L1027" s="208" t="str">
        <v/>
      </c>
      <c r="M1027" s="208" t="str">
        <v/>
      </c>
    </row>
    <row r="1028" spans="1:13" ht="14.4">
      <c r="A1028" s="199" t="str">
        <f ca="1">IFERROR(__xludf.DUMMYFUNCTION("""COMPUTED_VALUE"""),"HV")</f>
        <v>HV</v>
      </c>
      <c r="B1028" s="207" t="str">
        <f ca="1">IFERROR(__xludf.DUMMYFUNCTION("""COMPUTED_VALUE"""),"Emily Dunn")</f>
        <v>Emily Dunn</v>
      </c>
      <c r="C1028" s="199">
        <f ca="1">IFERROR(__xludf.DUMMYFUNCTION("""COMPUTED_VALUE"""),7)</f>
        <v>7</v>
      </c>
      <c r="D1028" s="199" t="str">
        <f ca="1">IFERROR(__xludf.DUMMYFUNCTION("""COMPUTED_VALUE"""),"G")</f>
        <v>G</v>
      </c>
      <c r="E1028" s="202" t="str">
        <f ca="1">IFERROR(__xludf.DUMMYFUNCTION("""COMPUTED_VALUE"""),"F")</f>
        <v>F</v>
      </c>
      <c r="F1028" s="202" t="str">
        <f ca="1">IFERROR(__xludf.DUMMYFUNCTION("""COMPUTED_VALUE"""),"J")</f>
        <v>J</v>
      </c>
      <c r="G1028" s="202">
        <f ca="1">IFERROR(__xludf.DUMMYFUNCTION("""COMPUTED_VALUE"""),3)</f>
        <v>3</v>
      </c>
      <c r="H1028" s="206"/>
      <c r="I1028" s="206"/>
      <c r="J1028" s="206"/>
      <c r="K1028" s="206"/>
      <c r="L1028" s="206" t="str">
        <v/>
      </c>
      <c r="M1028" s="206" t="str">
        <v/>
      </c>
    </row>
    <row r="1029" spans="1:13" ht="14.4">
      <c r="A1029" s="199" t="str">
        <f ca="1">IFERROR(__xludf.DUMMYFUNCTION("""COMPUTED_VALUE"""),"HV")</f>
        <v>HV</v>
      </c>
      <c r="B1029" s="207" t="str">
        <f ca="1">IFERROR(__xludf.DUMMYFUNCTION("""COMPUTED_VALUE"""),"Erin Gardiner")</f>
        <v>Erin Gardiner</v>
      </c>
      <c r="C1029" s="199">
        <f ca="1">IFERROR(__xludf.DUMMYFUNCTION("""COMPUTED_VALUE"""),10)</f>
        <v>10</v>
      </c>
      <c r="D1029" s="199" t="str">
        <f ca="1">IFERROR(__xludf.DUMMYFUNCTION("""COMPUTED_VALUE"""),"G")</f>
        <v>G</v>
      </c>
      <c r="E1029" s="202" t="str">
        <f ca="1">IFERROR(__xludf.DUMMYFUNCTION("""COMPUTED_VALUE"""),"F")</f>
        <v>F</v>
      </c>
      <c r="F1029" s="202" t="str">
        <f ca="1">IFERROR(__xludf.DUMMYFUNCTION("""COMPUTED_VALUE"""),"J")</f>
        <v>J</v>
      </c>
      <c r="G1029" s="202">
        <f ca="1">IFERROR(__xludf.DUMMYFUNCTION("""COMPUTED_VALUE"""),3)</f>
        <v>3</v>
      </c>
      <c r="H1029" s="208"/>
      <c r="I1029" s="208"/>
      <c r="J1029" s="208"/>
      <c r="K1029" s="208"/>
      <c r="L1029" s="208" t="str">
        <v/>
      </c>
      <c r="M1029" s="208" t="str">
        <v/>
      </c>
    </row>
    <row r="1030" spans="1:13" ht="14.4">
      <c r="A1030" s="199" t="str">
        <f ca="1">IFERROR(__xludf.DUMMYFUNCTION("""COMPUTED_VALUE"""),"HV")</f>
        <v>HV</v>
      </c>
      <c r="B1030" s="207" t="str">
        <f ca="1">IFERROR(__xludf.DUMMYFUNCTION("""COMPUTED_VALUE"""),"Lyla Jacobs")</f>
        <v>Lyla Jacobs</v>
      </c>
      <c r="C1030" s="199">
        <f ca="1">IFERROR(__xludf.DUMMYFUNCTION("""COMPUTED_VALUE"""),10)</f>
        <v>10</v>
      </c>
      <c r="D1030" s="199" t="str">
        <f ca="1">IFERROR(__xludf.DUMMYFUNCTION("""COMPUTED_VALUE"""),"G")</f>
        <v>G</v>
      </c>
      <c r="E1030" s="202" t="str">
        <f ca="1">IFERROR(__xludf.DUMMYFUNCTION("""COMPUTED_VALUE"""),"F")</f>
        <v>F</v>
      </c>
      <c r="F1030" s="202" t="str">
        <f ca="1">IFERROR(__xludf.DUMMYFUNCTION("""COMPUTED_VALUE"""),"J")</f>
        <v>J</v>
      </c>
      <c r="G1030" s="202">
        <f ca="1">IFERROR(__xludf.DUMMYFUNCTION("""COMPUTED_VALUE"""),3)</f>
        <v>3</v>
      </c>
      <c r="H1030" s="208">
        <v>29.25</v>
      </c>
      <c r="I1030" s="208"/>
      <c r="J1030" s="208" t="s">
        <v>121</v>
      </c>
      <c r="K1030" s="208"/>
      <c r="L1030" s="208" t="str">
        <v xml:space="preserve"> 29.25</v>
      </c>
      <c r="M1030" s="208" t="str">
        <v/>
      </c>
    </row>
    <row r="1031" spans="1:13" ht="14.4">
      <c r="A1031" s="199" t="str">
        <f ca="1">IFERROR(__xludf.DUMMYFUNCTION("""COMPUTED_VALUE"""),"HV")</f>
        <v>HV</v>
      </c>
      <c r="B1031" s="207" t="str">
        <f ca="1">IFERROR(__xludf.DUMMYFUNCTION("""COMPUTED_VALUE"""),"Payton Bennett")</f>
        <v>Payton Bennett</v>
      </c>
      <c r="C1031" s="199">
        <f ca="1">IFERROR(__xludf.DUMMYFUNCTION("""COMPUTED_VALUE"""),6)</f>
        <v>6</v>
      </c>
      <c r="D1031" s="199" t="str">
        <f ca="1">IFERROR(__xludf.DUMMYFUNCTION("""COMPUTED_VALUE"""),"G")</f>
        <v>G</v>
      </c>
      <c r="E1031" s="202" t="str">
        <f ca="1">IFERROR(__xludf.DUMMYFUNCTION("""COMPUTED_VALUE"""),"F")</f>
        <v>F</v>
      </c>
      <c r="F1031" s="202" t="str">
        <f ca="1">IFERROR(__xludf.DUMMYFUNCTION("""COMPUTED_VALUE"""),"J")</f>
        <v>J</v>
      </c>
      <c r="G1031" s="202">
        <f ca="1">IFERROR(__xludf.DUMMYFUNCTION("""COMPUTED_VALUE"""),3)</f>
        <v>3</v>
      </c>
      <c r="H1031" s="208">
        <v>41.3</v>
      </c>
      <c r="I1031" s="208"/>
      <c r="J1031" s="208" t="s">
        <v>121</v>
      </c>
      <c r="K1031" s="208"/>
      <c r="L1031" s="208" t="str">
        <v xml:space="preserve"> 41.3</v>
      </c>
      <c r="M1031" s="208" t="str">
        <v/>
      </c>
    </row>
    <row r="1032" spans="1:13" ht="14.4">
      <c r="A1032" s="199" t="str">
        <f ca="1">IFERROR(__xludf.DUMMYFUNCTION("""COMPUTED_VALUE"""),"HV")</f>
        <v>HV</v>
      </c>
      <c r="B1032" s="207" t="str">
        <f ca="1">IFERROR(__xludf.DUMMYFUNCTION("""COMPUTED_VALUE"""),"Zara Ingraham")</f>
        <v>Zara Ingraham</v>
      </c>
      <c r="C1032" s="199">
        <f ca="1">IFERROR(__xludf.DUMMYFUNCTION("""COMPUTED_VALUE"""),7)</f>
        <v>7</v>
      </c>
      <c r="D1032" s="199" t="str">
        <f ca="1">IFERROR(__xludf.DUMMYFUNCTION("""COMPUTED_VALUE"""),"G")</f>
        <v>G</v>
      </c>
      <c r="E1032" s="202" t="str">
        <f ca="1">IFERROR(__xludf.DUMMYFUNCTION("""COMPUTED_VALUE"""),"F")</f>
        <v>F</v>
      </c>
      <c r="F1032" s="202" t="str">
        <f ca="1">IFERROR(__xludf.DUMMYFUNCTION("""COMPUTED_VALUE"""),"J")</f>
        <v>J</v>
      </c>
      <c r="G1032" s="202">
        <f ca="1">IFERROR(__xludf.DUMMYFUNCTION("""COMPUTED_VALUE"""),3)</f>
        <v>3</v>
      </c>
      <c r="H1032" s="208"/>
      <c r="I1032" s="208"/>
      <c r="J1032" s="208"/>
      <c r="K1032" s="208"/>
      <c r="L1032" s="208" t="str">
        <v/>
      </c>
      <c r="M1032" s="208" t="str">
        <v/>
      </c>
    </row>
    <row r="1033" spans="1:13" ht="14.4">
      <c r="A1033" s="199" t="str">
        <f ca="1">IFERROR(__xludf.DUMMYFUNCTION("""COMPUTED_VALUE"""),"HV")</f>
        <v>HV</v>
      </c>
      <c r="B1033" s="207" t="str">
        <f ca="1">IFERROR(__xludf.DUMMYFUNCTION("""COMPUTED_VALUE"""),"Benjamin Brackett")</f>
        <v>Benjamin Brackett</v>
      </c>
      <c r="C1033" s="199">
        <f ca="1">IFERROR(__xludf.DUMMYFUNCTION("""COMPUTED_VALUE"""),13)</f>
        <v>13</v>
      </c>
      <c r="D1033" s="199" t="str">
        <f ca="1">IFERROR(__xludf.DUMMYFUNCTION("""COMPUTED_VALUE"""),"B")</f>
        <v>B</v>
      </c>
      <c r="E1033" s="202" t="str">
        <f ca="1">IFERROR(__xludf.DUMMYFUNCTION("""COMPUTED_VALUE"""),"I")</f>
        <v>I</v>
      </c>
      <c r="F1033" s="202" t="str">
        <f ca="1">IFERROR(__xludf.DUMMYFUNCTION("""COMPUTED_VALUE"""),"S")</f>
        <v>S</v>
      </c>
      <c r="G1033" s="202">
        <f ca="1">IFERROR(__xludf.DUMMYFUNCTION("""COMPUTED_VALUE"""),3)</f>
        <v>3</v>
      </c>
      <c r="H1033" s="208"/>
      <c r="I1033" s="208"/>
      <c r="J1033" s="208"/>
      <c r="K1033" s="208"/>
      <c r="L1033" s="208" t="str">
        <v/>
      </c>
      <c r="M1033" s="208" t="str">
        <v/>
      </c>
    </row>
    <row r="1034" spans="1:13" ht="14.4">
      <c r="A1034" s="199" t="str">
        <f ca="1">IFERROR(__xludf.DUMMYFUNCTION("""COMPUTED_VALUE"""),"HV")</f>
        <v>HV</v>
      </c>
      <c r="B1034" s="207" t="str">
        <f ca="1">IFERROR(__xludf.DUMMYFUNCTION("""COMPUTED_VALUE"""),"Cooper Bouton")</f>
        <v>Cooper Bouton</v>
      </c>
      <c r="C1034" s="199">
        <f ca="1">IFERROR(__xludf.DUMMYFUNCTION("""COMPUTED_VALUE"""),14)</f>
        <v>14</v>
      </c>
      <c r="D1034" s="199" t="str">
        <f ca="1">IFERROR(__xludf.DUMMYFUNCTION("""COMPUTED_VALUE"""),"B")</f>
        <v>B</v>
      </c>
      <c r="E1034" s="202" t="str">
        <f ca="1">IFERROR(__xludf.DUMMYFUNCTION("""COMPUTED_VALUE"""),"I")</f>
        <v>I</v>
      </c>
      <c r="F1034" s="202" t="str">
        <f ca="1">IFERROR(__xludf.DUMMYFUNCTION("""COMPUTED_VALUE"""),"S")</f>
        <v>S</v>
      </c>
      <c r="G1034" s="202">
        <f ca="1">IFERROR(__xludf.DUMMYFUNCTION("""COMPUTED_VALUE"""),3)</f>
        <v>3</v>
      </c>
      <c r="H1034" s="208"/>
      <c r="I1034" s="208">
        <v>111.05</v>
      </c>
      <c r="J1034" s="208"/>
      <c r="K1034" s="208" t="s">
        <v>121</v>
      </c>
      <c r="L1034" s="208" t="str">
        <v xml:space="preserve"> 111.05</v>
      </c>
      <c r="M1034" s="208" t="str">
        <v/>
      </c>
    </row>
    <row r="1035" spans="1:13" ht="14.4">
      <c r="A1035" s="199" t="str">
        <f ca="1">IFERROR(__xludf.DUMMYFUNCTION("""COMPUTED_VALUE"""),"HV")</f>
        <v>HV</v>
      </c>
      <c r="B1035" s="207" t="str">
        <f ca="1">IFERROR(__xludf.DUMMYFUNCTION("""COMPUTED_VALUE"""),"Jack Pritchard")</f>
        <v>Jack Pritchard</v>
      </c>
      <c r="C1035" s="199">
        <f ca="1">IFERROR(__xludf.DUMMYFUNCTION("""COMPUTED_VALUE"""),13)</f>
        <v>13</v>
      </c>
      <c r="D1035" s="199" t="str">
        <f ca="1">IFERROR(__xludf.DUMMYFUNCTION("""COMPUTED_VALUE"""),"B")</f>
        <v>B</v>
      </c>
      <c r="E1035" s="202" t="str">
        <f ca="1">IFERROR(__xludf.DUMMYFUNCTION("""COMPUTED_VALUE"""),"I")</f>
        <v>I</v>
      </c>
      <c r="F1035" s="202" t="str">
        <f ca="1">IFERROR(__xludf.DUMMYFUNCTION("""COMPUTED_VALUE"""),"S")</f>
        <v>S</v>
      </c>
      <c r="G1035" s="202">
        <f ca="1">IFERROR(__xludf.DUMMYFUNCTION("""COMPUTED_VALUE"""),3)</f>
        <v>3</v>
      </c>
      <c r="H1035" s="208"/>
      <c r="I1035" s="208">
        <v>153.85</v>
      </c>
      <c r="J1035" s="208"/>
      <c r="K1035" s="208" t="s">
        <v>123</v>
      </c>
      <c r="L1035" s="208" t="str">
        <v xml:space="preserve"> -153.85</v>
      </c>
      <c r="M1035" s="208" t="str">
        <v>^</v>
      </c>
    </row>
    <row r="1036" spans="1:13" ht="14.4">
      <c r="A1036" s="199" t="str">
        <f ca="1">IFERROR(__xludf.DUMMYFUNCTION("""COMPUTED_VALUE"""),"HV")</f>
        <v>HV</v>
      </c>
      <c r="B1036" s="207" t="str">
        <f ca="1">IFERROR(__xludf.DUMMYFUNCTION("""COMPUTED_VALUE"""),"Ward Gardiner")</f>
        <v>Ward Gardiner</v>
      </c>
      <c r="C1036" s="199">
        <f ca="1">IFERROR(__xludf.DUMMYFUNCTION("""COMPUTED_VALUE"""),13)</f>
        <v>13</v>
      </c>
      <c r="D1036" s="199" t="str">
        <f ca="1">IFERROR(__xludf.DUMMYFUNCTION("""COMPUTED_VALUE"""),"B")</f>
        <v>B</v>
      </c>
      <c r="E1036" s="202" t="str">
        <f ca="1">IFERROR(__xludf.DUMMYFUNCTION("""COMPUTED_VALUE"""),"I")</f>
        <v>I</v>
      </c>
      <c r="F1036" s="202" t="str">
        <f ca="1">IFERROR(__xludf.DUMMYFUNCTION("""COMPUTED_VALUE"""),"S")</f>
        <v>S</v>
      </c>
      <c r="G1036" s="202">
        <f ca="1">IFERROR(__xludf.DUMMYFUNCTION("""COMPUTED_VALUE"""),3)</f>
        <v>3</v>
      </c>
      <c r="H1036" s="208"/>
      <c r="I1036" s="208"/>
      <c r="J1036" s="208"/>
      <c r="K1036" s="208"/>
      <c r="L1036" s="208" t="str">
        <v/>
      </c>
      <c r="M1036" s="208" t="str">
        <v/>
      </c>
    </row>
    <row r="1037" spans="1:13" ht="14.4">
      <c r="A1037" s="199" t="str">
        <f ca="1">IFERROR(__xludf.DUMMYFUNCTION("""COMPUTED_VALUE"""),"HV")</f>
        <v>HV</v>
      </c>
      <c r="B1037" s="207" t="str">
        <f ca="1">IFERROR(__xludf.DUMMYFUNCTION("""COMPUTED_VALUE"""),"Alexandra Charecky")</f>
        <v>Alexandra Charecky</v>
      </c>
      <c r="C1037" s="199">
        <f ca="1">IFERROR(__xludf.DUMMYFUNCTION("""COMPUTED_VALUE"""),14)</f>
        <v>14</v>
      </c>
      <c r="D1037" s="199" t="str">
        <f ca="1">IFERROR(__xludf.DUMMYFUNCTION("""COMPUTED_VALUE"""),"G")</f>
        <v>G</v>
      </c>
      <c r="E1037" s="202" t="str">
        <f ca="1">IFERROR(__xludf.DUMMYFUNCTION("""COMPUTED_VALUE"""),"I")</f>
        <v>I</v>
      </c>
      <c r="F1037" s="202" t="str">
        <f ca="1">IFERROR(__xludf.DUMMYFUNCTION("""COMPUTED_VALUE"""),"S")</f>
        <v>S</v>
      </c>
      <c r="G1037" s="202">
        <f ca="1">IFERROR(__xludf.DUMMYFUNCTION("""COMPUTED_VALUE"""),3)</f>
        <v>3</v>
      </c>
      <c r="H1037" s="206">
        <v>133.35</v>
      </c>
      <c r="I1037" s="206"/>
      <c r="J1037" s="206" t="s">
        <v>121</v>
      </c>
      <c r="K1037" s="206"/>
      <c r="L1037" s="206" t="str">
        <v xml:space="preserve"> 133.35</v>
      </c>
      <c r="M1037" s="206" t="str">
        <v/>
      </c>
    </row>
    <row r="1038" spans="1:13" ht="14.4">
      <c r="A1038" s="199" t="str">
        <f ca="1">IFERROR(__xludf.DUMMYFUNCTION("""COMPUTED_VALUE"""),"HV")</f>
        <v>HV</v>
      </c>
      <c r="B1038" s="207" t="str">
        <f ca="1">IFERROR(__xludf.DUMMYFUNCTION("""COMPUTED_VALUE"""),"Corinne Dunsmoor")</f>
        <v>Corinne Dunsmoor</v>
      </c>
      <c r="C1038" s="199">
        <f ca="1">IFERROR(__xludf.DUMMYFUNCTION("""COMPUTED_VALUE"""),14)</f>
        <v>14</v>
      </c>
      <c r="D1038" s="199" t="str">
        <f ca="1">IFERROR(__xludf.DUMMYFUNCTION("""COMPUTED_VALUE"""),"G")</f>
        <v>G</v>
      </c>
      <c r="E1038" s="202" t="str">
        <f ca="1">IFERROR(__xludf.DUMMYFUNCTION("""COMPUTED_VALUE"""),"I")</f>
        <v>I</v>
      </c>
      <c r="F1038" s="202" t="str">
        <f ca="1">IFERROR(__xludf.DUMMYFUNCTION("""COMPUTED_VALUE"""),"S")</f>
        <v>S</v>
      </c>
      <c r="G1038" s="202">
        <f ca="1">IFERROR(__xludf.DUMMYFUNCTION("""COMPUTED_VALUE"""),3)</f>
        <v>3</v>
      </c>
      <c r="H1038" s="206">
        <v>80</v>
      </c>
      <c r="I1038" s="206"/>
      <c r="J1038" s="206" t="s">
        <v>121</v>
      </c>
      <c r="K1038" s="206"/>
      <c r="L1038" s="206" t="str">
        <v xml:space="preserve"> 80</v>
      </c>
      <c r="M1038" s="206" t="str">
        <v/>
      </c>
    </row>
    <row r="1039" spans="1:13" ht="14.4">
      <c r="A1039" s="199" t="str">
        <f ca="1">IFERROR(__xludf.DUMMYFUNCTION("""COMPUTED_VALUE"""),"HV")</f>
        <v>HV</v>
      </c>
      <c r="B1039" s="207" t="str">
        <f ca="1">IFERROR(__xludf.DUMMYFUNCTION("""COMPUTED_VALUE"""),"Ivy Smith")</f>
        <v>Ivy Smith</v>
      </c>
      <c r="C1039" s="199">
        <f ca="1">IFERROR(__xludf.DUMMYFUNCTION("""COMPUTED_VALUE"""),14)</f>
        <v>14</v>
      </c>
      <c r="D1039" s="199" t="str">
        <f ca="1">IFERROR(__xludf.DUMMYFUNCTION("""COMPUTED_VALUE"""),"G")</f>
        <v>G</v>
      </c>
      <c r="E1039" s="202" t="str">
        <f ca="1">IFERROR(__xludf.DUMMYFUNCTION("""COMPUTED_VALUE"""),"I")</f>
        <v>I</v>
      </c>
      <c r="F1039" s="202" t="str">
        <f ca="1">IFERROR(__xludf.DUMMYFUNCTION("""COMPUTED_VALUE"""),"S")</f>
        <v>S</v>
      </c>
      <c r="G1039" s="202">
        <f ca="1">IFERROR(__xludf.DUMMYFUNCTION("""COMPUTED_VALUE"""),3)</f>
        <v>3</v>
      </c>
      <c r="H1039" s="208"/>
      <c r="I1039" s="208"/>
      <c r="J1039" s="208"/>
      <c r="K1039" s="208"/>
      <c r="L1039" s="208" t="str">
        <v/>
      </c>
      <c r="M1039" s="208" t="str">
        <v/>
      </c>
    </row>
    <row r="1040" spans="1:13" ht="14.4">
      <c r="A1040" s="199" t="str">
        <f ca="1">IFERROR(__xludf.DUMMYFUNCTION("""COMPUTED_VALUE"""),"HV")</f>
        <v>HV</v>
      </c>
      <c r="B1040" s="207" t="str">
        <f ca="1">IFERROR(__xludf.DUMMYFUNCTION("""COMPUTED_VALUE"""),"Lily Dunsmoor")</f>
        <v>Lily Dunsmoor</v>
      </c>
      <c r="C1040" s="199">
        <f ca="1">IFERROR(__xludf.DUMMYFUNCTION("""COMPUTED_VALUE"""),14)</f>
        <v>14</v>
      </c>
      <c r="D1040" s="199" t="str">
        <f ca="1">IFERROR(__xludf.DUMMYFUNCTION("""COMPUTED_VALUE"""),"G")</f>
        <v>G</v>
      </c>
      <c r="E1040" s="202" t="str">
        <f ca="1">IFERROR(__xludf.DUMMYFUNCTION("""COMPUTED_VALUE"""),"I")</f>
        <v>I</v>
      </c>
      <c r="F1040" s="202" t="str">
        <f ca="1">IFERROR(__xludf.DUMMYFUNCTION("""COMPUTED_VALUE"""),"S")</f>
        <v>S</v>
      </c>
      <c r="G1040" s="202">
        <f ca="1">IFERROR(__xludf.DUMMYFUNCTION("""COMPUTED_VALUE"""),3)</f>
        <v>3</v>
      </c>
      <c r="H1040" s="208">
        <v>70.8</v>
      </c>
      <c r="I1040" s="208"/>
      <c r="J1040" s="208" t="s">
        <v>121</v>
      </c>
      <c r="K1040" s="208"/>
      <c r="L1040" s="208" t="str">
        <v xml:space="preserve"> 70.8</v>
      </c>
      <c r="M1040" s="208" t="str">
        <v/>
      </c>
    </row>
    <row r="1041" spans="1:13" ht="14.4">
      <c r="A1041" s="199" t="str">
        <f ca="1">IFERROR(__xludf.DUMMYFUNCTION("""COMPUTED_VALUE"""),"HV")</f>
        <v>HV</v>
      </c>
      <c r="B1041" s="207" t="str">
        <f ca="1">IFERROR(__xludf.DUMMYFUNCTION("""COMPUTED_VALUE"""),"Valerie christopher")</f>
        <v>Valerie christopher</v>
      </c>
      <c r="C1041" s="199">
        <f ca="1">IFERROR(__xludf.DUMMYFUNCTION("""COMPUTED_VALUE"""),13)</f>
        <v>13</v>
      </c>
      <c r="D1041" s="199" t="str">
        <f ca="1">IFERROR(__xludf.DUMMYFUNCTION("""COMPUTED_VALUE"""),"G")</f>
        <v>G</v>
      </c>
      <c r="E1041" s="202" t="str">
        <f ca="1">IFERROR(__xludf.DUMMYFUNCTION("""COMPUTED_VALUE"""),"I")</f>
        <v>I</v>
      </c>
      <c r="F1041" s="202" t="str">
        <f ca="1">IFERROR(__xludf.DUMMYFUNCTION("""COMPUTED_VALUE"""),"S")</f>
        <v>S</v>
      </c>
      <c r="G1041" s="202">
        <f ca="1">IFERROR(__xludf.DUMMYFUNCTION("""COMPUTED_VALUE"""),3)</f>
        <v>3</v>
      </c>
      <c r="H1041" s="208">
        <v>146.35</v>
      </c>
      <c r="I1041" s="208"/>
      <c r="J1041" s="208" t="s">
        <v>121</v>
      </c>
      <c r="K1041" s="208"/>
      <c r="L1041" s="208" t="str">
        <v xml:space="preserve"> 146.35</v>
      </c>
      <c r="M1041" s="208" t="str">
        <v/>
      </c>
    </row>
    <row r="1042" spans="1:13" ht="14.4">
      <c r="A1042" s="199" t="str">
        <f ca="1">IFERROR(__xludf.DUMMYFUNCTION("""COMPUTED_VALUE"""),"HV")</f>
        <v>HV</v>
      </c>
      <c r="B1042" s="207" t="str">
        <f ca="1">IFERROR(__xludf.DUMMYFUNCTION("""COMPUTED_VALUE"""),"Virginia Grubbs")</f>
        <v>Virginia Grubbs</v>
      </c>
      <c r="C1042" s="199">
        <f ca="1">IFERROR(__xludf.DUMMYFUNCTION("""COMPUTED_VALUE"""),13)</f>
        <v>13</v>
      </c>
      <c r="D1042" s="199" t="str">
        <f ca="1">IFERROR(__xludf.DUMMYFUNCTION("""COMPUTED_VALUE"""),"G")</f>
        <v>G</v>
      </c>
      <c r="E1042" s="202" t="str">
        <f ca="1">IFERROR(__xludf.DUMMYFUNCTION("""COMPUTED_VALUE"""),"I")</f>
        <v>I</v>
      </c>
      <c r="F1042" s="202" t="str">
        <f ca="1">IFERROR(__xludf.DUMMYFUNCTION("""COMPUTED_VALUE"""),"S")</f>
        <v>S</v>
      </c>
      <c r="G1042" s="202">
        <f ca="1">IFERROR(__xludf.DUMMYFUNCTION("""COMPUTED_VALUE"""),3)</f>
        <v>3</v>
      </c>
      <c r="H1042" s="208">
        <v>109.95</v>
      </c>
      <c r="I1042" s="208"/>
      <c r="J1042" s="208" t="s">
        <v>121</v>
      </c>
      <c r="K1042" s="208"/>
      <c r="L1042" s="208" t="str">
        <v xml:space="preserve"> 109.95</v>
      </c>
      <c r="M1042" s="208" t="str">
        <v/>
      </c>
    </row>
    <row r="1043" spans="1:13" ht="14.4">
      <c r="A1043" s="199" t="str">
        <f ca="1">IFERROR(__xludf.DUMMYFUNCTION("""COMPUTED_VALUE"""),"HV")</f>
        <v>HV</v>
      </c>
      <c r="B1043" s="207" t="str">
        <f ca="1">IFERROR(__xludf.DUMMYFUNCTION("""COMPUTED_VALUE"""),"Andrew Maurer")</f>
        <v>Andrew Maurer</v>
      </c>
      <c r="C1043" s="199">
        <f ca="1">IFERROR(__xludf.DUMMYFUNCTION("""COMPUTED_VALUE"""),12)</f>
        <v>12</v>
      </c>
      <c r="D1043" s="199" t="str">
        <f ca="1">IFERROR(__xludf.DUMMYFUNCTION("""COMPUTED_VALUE"""),"B")</f>
        <v>B</v>
      </c>
      <c r="E1043" s="202" t="str">
        <f ca="1">IFERROR(__xludf.DUMMYFUNCTION("""COMPUTED_VALUE"""),"J")</f>
        <v>J</v>
      </c>
      <c r="F1043" s="202" t="str">
        <f ca="1">IFERROR(__xludf.DUMMYFUNCTION("""COMPUTED_VALUE"""),"I")</f>
        <v>I</v>
      </c>
      <c r="G1043" s="202">
        <f ca="1">IFERROR(__xludf.DUMMYFUNCTION("""COMPUTED_VALUE"""),3)</f>
        <v>3</v>
      </c>
      <c r="H1043" s="208"/>
      <c r="I1043" s="208">
        <v>109.85</v>
      </c>
      <c r="J1043" s="208"/>
      <c r="K1043" s="208" t="s">
        <v>121</v>
      </c>
      <c r="L1043" s="208" t="str">
        <v xml:space="preserve"> 109.85</v>
      </c>
      <c r="M1043" s="208" t="str">
        <v/>
      </c>
    </row>
    <row r="1044" spans="1:13" ht="14.4">
      <c r="A1044" s="199" t="str">
        <f ca="1">IFERROR(__xludf.DUMMYFUNCTION("""COMPUTED_VALUE"""),"HV")</f>
        <v>HV</v>
      </c>
      <c r="B1044" s="207" t="str">
        <f ca="1">IFERROR(__xludf.DUMMYFUNCTION("""COMPUTED_VALUE"""),"Issa Owens")</f>
        <v>Issa Owens</v>
      </c>
      <c r="C1044" s="199">
        <f ca="1">IFERROR(__xludf.DUMMYFUNCTION("""COMPUTED_VALUE"""),11)</f>
        <v>11</v>
      </c>
      <c r="D1044" s="199" t="str">
        <f ca="1">IFERROR(__xludf.DUMMYFUNCTION("""COMPUTED_VALUE"""),"B")</f>
        <v>B</v>
      </c>
      <c r="E1044" s="202" t="str">
        <f ca="1">IFERROR(__xludf.DUMMYFUNCTION("""COMPUTED_VALUE"""),"J")</f>
        <v>J</v>
      </c>
      <c r="F1044" s="202" t="str">
        <f ca="1">IFERROR(__xludf.DUMMYFUNCTION("""COMPUTED_VALUE"""),"I")</f>
        <v>I</v>
      </c>
      <c r="G1044" s="202">
        <f ca="1">IFERROR(__xludf.DUMMYFUNCTION("""COMPUTED_VALUE"""),3)</f>
        <v>3</v>
      </c>
      <c r="H1044" s="208"/>
      <c r="I1044" s="208">
        <v>82.6</v>
      </c>
      <c r="J1044" s="208"/>
      <c r="K1044" s="208" t="s">
        <v>121</v>
      </c>
      <c r="L1044" s="208" t="str">
        <v xml:space="preserve"> 82.6</v>
      </c>
      <c r="M1044" s="208" t="str">
        <v/>
      </c>
    </row>
    <row r="1045" spans="1:13" ht="14.4">
      <c r="A1045" s="199" t="str">
        <f ca="1">IFERROR(__xludf.DUMMYFUNCTION("""COMPUTED_VALUE"""),"HV")</f>
        <v>HV</v>
      </c>
      <c r="B1045" s="207" t="str">
        <f ca="1">IFERROR(__xludf.DUMMYFUNCTION("""COMPUTED_VALUE"""),"Joseph Ogrodny")</f>
        <v>Joseph Ogrodny</v>
      </c>
      <c r="C1045" s="199">
        <f ca="1">IFERROR(__xludf.DUMMYFUNCTION("""COMPUTED_VALUE"""),11)</f>
        <v>11</v>
      </c>
      <c r="D1045" s="199" t="str">
        <f ca="1">IFERROR(__xludf.DUMMYFUNCTION("""COMPUTED_VALUE"""),"B")</f>
        <v>B</v>
      </c>
      <c r="E1045" s="202" t="str">
        <f ca="1">IFERROR(__xludf.DUMMYFUNCTION("""COMPUTED_VALUE"""),"J")</f>
        <v>J</v>
      </c>
      <c r="F1045" s="202" t="str">
        <f ca="1">IFERROR(__xludf.DUMMYFUNCTION("""COMPUTED_VALUE"""),"I")</f>
        <v>I</v>
      </c>
      <c r="G1045" s="202">
        <f ca="1">IFERROR(__xludf.DUMMYFUNCTION("""COMPUTED_VALUE"""),3)</f>
        <v>3</v>
      </c>
      <c r="H1045" s="206"/>
      <c r="I1045" s="206">
        <v>104.1</v>
      </c>
      <c r="J1045" s="206"/>
      <c r="K1045" s="206" t="s">
        <v>121</v>
      </c>
      <c r="L1045" s="206" t="str">
        <v xml:space="preserve"> 104.1</v>
      </c>
      <c r="M1045" s="206" t="str">
        <v/>
      </c>
    </row>
    <row r="1046" spans="1:13" ht="14.4">
      <c r="A1046" s="199" t="str">
        <f ca="1">IFERROR(__xludf.DUMMYFUNCTION("""COMPUTED_VALUE"""),"HV")</f>
        <v>HV</v>
      </c>
      <c r="B1046" s="207" t="str">
        <f ca="1">IFERROR(__xludf.DUMMYFUNCTION("""COMPUTED_VALUE"""),"Josph Hall")</f>
        <v>Josph Hall</v>
      </c>
      <c r="C1046" s="199">
        <f ca="1">IFERROR(__xludf.DUMMYFUNCTION("""COMPUTED_VALUE"""),11)</f>
        <v>11</v>
      </c>
      <c r="D1046" s="199" t="str">
        <f ca="1">IFERROR(__xludf.DUMMYFUNCTION("""COMPUTED_VALUE"""),"B")</f>
        <v>B</v>
      </c>
      <c r="E1046" s="202" t="str">
        <f ca="1">IFERROR(__xludf.DUMMYFUNCTION("""COMPUTED_VALUE"""),"J")</f>
        <v>J</v>
      </c>
      <c r="F1046" s="202" t="str">
        <f ca="1">IFERROR(__xludf.DUMMYFUNCTION("""COMPUTED_VALUE"""),"I")</f>
        <v>I</v>
      </c>
      <c r="G1046" s="202">
        <f ca="1">IFERROR(__xludf.DUMMYFUNCTION("""COMPUTED_VALUE"""),3)</f>
        <v>3</v>
      </c>
      <c r="H1046" s="208"/>
      <c r="I1046" s="208"/>
      <c r="J1046" s="208"/>
      <c r="K1046" s="208"/>
      <c r="L1046" s="208" t="str">
        <v/>
      </c>
      <c r="M1046" s="208" t="str">
        <v/>
      </c>
    </row>
    <row r="1047" spans="1:13" ht="14.4">
      <c r="A1047" s="199" t="str">
        <f ca="1">IFERROR(__xludf.DUMMYFUNCTION("""COMPUTED_VALUE"""),"HV")</f>
        <v>HV</v>
      </c>
      <c r="B1047" s="207" t="str">
        <f ca="1">IFERROR(__xludf.DUMMYFUNCTION("""COMPUTED_VALUE"""),"Kaleb Wisner")</f>
        <v>Kaleb Wisner</v>
      </c>
      <c r="C1047" s="199">
        <f ca="1">IFERROR(__xludf.DUMMYFUNCTION("""COMPUTED_VALUE"""),11)</f>
        <v>11</v>
      </c>
      <c r="D1047" s="199" t="str">
        <f ca="1">IFERROR(__xludf.DUMMYFUNCTION("""COMPUTED_VALUE"""),"B")</f>
        <v>B</v>
      </c>
      <c r="E1047" s="202" t="str">
        <f ca="1">IFERROR(__xludf.DUMMYFUNCTION("""COMPUTED_VALUE"""),"J")</f>
        <v>J</v>
      </c>
      <c r="F1047" s="202" t="str">
        <f ca="1">IFERROR(__xludf.DUMMYFUNCTION("""COMPUTED_VALUE"""),"I")</f>
        <v>I</v>
      </c>
      <c r="G1047" s="202">
        <f ca="1">IFERROR(__xludf.DUMMYFUNCTION("""COMPUTED_VALUE"""),3)</f>
        <v>3</v>
      </c>
      <c r="H1047" s="206"/>
      <c r="I1047" s="206">
        <v>76.95</v>
      </c>
      <c r="J1047" s="206"/>
      <c r="K1047" s="206" t="s">
        <v>121</v>
      </c>
      <c r="L1047" s="206" t="str">
        <v xml:space="preserve"> 76.95</v>
      </c>
      <c r="M1047" s="206" t="str">
        <v/>
      </c>
    </row>
    <row r="1048" spans="1:13" ht="14.4">
      <c r="A1048" s="199" t="str">
        <f ca="1">IFERROR(__xludf.DUMMYFUNCTION("""COMPUTED_VALUE"""),"HV")</f>
        <v>HV</v>
      </c>
      <c r="B1048" s="207" t="str">
        <f ca="1">IFERROR(__xludf.DUMMYFUNCTION("""COMPUTED_VALUE"""),"Sheen Lee")</f>
        <v>Sheen Lee</v>
      </c>
      <c r="C1048" s="199">
        <f ca="1">IFERROR(__xludf.DUMMYFUNCTION("""COMPUTED_VALUE"""),12)</f>
        <v>12</v>
      </c>
      <c r="D1048" s="199" t="str">
        <f ca="1">IFERROR(__xludf.DUMMYFUNCTION("""COMPUTED_VALUE"""),"B")</f>
        <v>B</v>
      </c>
      <c r="E1048" s="202" t="str">
        <f ca="1">IFERROR(__xludf.DUMMYFUNCTION("""COMPUTED_VALUE"""),"J")</f>
        <v>J</v>
      </c>
      <c r="F1048" s="202" t="str">
        <f ca="1">IFERROR(__xludf.DUMMYFUNCTION("""COMPUTED_VALUE"""),"I")</f>
        <v>I</v>
      </c>
      <c r="G1048" s="202">
        <f ca="1">IFERROR(__xludf.DUMMYFUNCTION("""COMPUTED_VALUE"""),3)</f>
        <v>3</v>
      </c>
      <c r="H1048" s="208"/>
      <c r="I1048" s="208">
        <v>101.75</v>
      </c>
      <c r="J1048" s="208"/>
      <c r="K1048" s="208" t="s">
        <v>123</v>
      </c>
      <c r="L1048" s="208" t="str">
        <v xml:space="preserve"> -101.75</v>
      </c>
      <c r="M1048" s="208" t="str">
        <v>^</v>
      </c>
    </row>
    <row r="1049" spans="1:13" ht="14.4">
      <c r="A1049" s="199" t="str">
        <f ca="1">IFERROR(__xludf.DUMMYFUNCTION("""COMPUTED_VALUE"""),"HV")</f>
        <v>HV</v>
      </c>
      <c r="B1049" s="207" t="str">
        <f ca="1">IFERROR(__xludf.DUMMYFUNCTION("""COMPUTED_VALUE"""),"Cassandra Hawthorne")</f>
        <v>Cassandra Hawthorne</v>
      </c>
      <c r="C1049" s="199">
        <f ca="1">IFERROR(__xludf.DUMMYFUNCTION("""COMPUTED_VALUE"""),12)</f>
        <v>12</v>
      </c>
      <c r="D1049" s="199" t="str">
        <f ca="1">IFERROR(__xludf.DUMMYFUNCTION("""COMPUTED_VALUE"""),"G")</f>
        <v>G</v>
      </c>
      <c r="E1049" s="202" t="str">
        <f ca="1">IFERROR(__xludf.DUMMYFUNCTION("""COMPUTED_VALUE"""),"J")</f>
        <v>J</v>
      </c>
      <c r="F1049" s="202" t="str">
        <f ca="1">IFERROR(__xludf.DUMMYFUNCTION("""COMPUTED_VALUE"""),"I")</f>
        <v>I</v>
      </c>
      <c r="G1049" s="202">
        <f ca="1">IFERROR(__xludf.DUMMYFUNCTION("""COMPUTED_VALUE"""),3)</f>
        <v>3</v>
      </c>
      <c r="H1049" s="206">
        <v>114.95</v>
      </c>
      <c r="I1049" s="206"/>
      <c r="J1049" s="206" t="s">
        <v>121</v>
      </c>
      <c r="K1049" s="206"/>
      <c r="L1049" s="206" t="str">
        <v xml:space="preserve"> 114.95</v>
      </c>
      <c r="M1049" s="206" t="str">
        <v/>
      </c>
    </row>
    <row r="1050" spans="1:13" ht="14.4">
      <c r="A1050" s="199" t="str">
        <f ca="1">IFERROR(__xludf.DUMMYFUNCTION("""COMPUTED_VALUE"""),"HV")</f>
        <v>HV</v>
      </c>
      <c r="B1050" s="207" t="str">
        <f ca="1">IFERROR(__xludf.DUMMYFUNCTION("""COMPUTED_VALUE"""),"Isadora Gebert")</f>
        <v>Isadora Gebert</v>
      </c>
      <c r="C1050" s="199">
        <f ca="1">IFERROR(__xludf.DUMMYFUNCTION("""COMPUTED_VALUE"""),11)</f>
        <v>11</v>
      </c>
      <c r="D1050" s="199" t="str">
        <f ca="1">IFERROR(__xludf.DUMMYFUNCTION("""COMPUTED_VALUE"""),"G")</f>
        <v>G</v>
      </c>
      <c r="E1050" s="202" t="str">
        <f ca="1">IFERROR(__xludf.DUMMYFUNCTION("""COMPUTED_VALUE"""),"J")</f>
        <v>J</v>
      </c>
      <c r="F1050" s="202" t="str">
        <f ca="1">IFERROR(__xludf.DUMMYFUNCTION("""COMPUTED_VALUE"""),"I")</f>
        <v>I</v>
      </c>
      <c r="G1050" s="202">
        <f ca="1">IFERROR(__xludf.DUMMYFUNCTION("""COMPUTED_VALUE"""),3)</f>
        <v>3</v>
      </c>
      <c r="H1050" s="206">
        <v>63.25</v>
      </c>
      <c r="I1050" s="206"/>
      <c r="J1050" s="206" t="s">
        <v>121</v>
      </c>
      <c r="K1050" s="206"/>
      <c r="L1050" s="206" t="str">
        <v xml:space="preserve"> 63.25</v>
      </c>
      <c r="M1050" s="206" t="str">
        <v/>
      </c>
    </row>
    <row r="1051" spans="1:13" ht="14.4">
      <c r="A1051" s="199" t="str">
        <f ca="1">IFERROR(__xludf.DUMMYFUNCTION("""COMPUTED_VALUE"""),"HV")</f>
        <v>HV</v>
      </c>
      <c r="B1051" s="207" t="str">
        <f ca="1">IFERROR(__xludf.DUMMYFUNCTION("""COMPUTED_VALUE"""),"Olivia Root")</f>
        <v>Olivia Root</v>
      </c>
      <c r="C1051" s="199">
        <f ca="1">IFERROR(__xludf.DUMMYFUNCTION("""COMPUTED_VALUE"""),12)</f>
        <v>12</v>
      </c>
      <c r="D1051" s="199" t="str">
        <f ca="1">IFERROR(__xludf.DUMMYFUNCTION("""COMPUTED_VALUE"""),"G")</f>
        <v>G</v>
      </c>
      <c r="E1051" s="202" t="str">
        <f ca="1">IFERROR(__xludf.DUMMYFUNCTION("""COMPUTED_VALUE"""),"J")</f>
        <v>J</v>
      </c>
      <c r="F1051" s="202" t="str">
        <f ca="1">IFERROR(__xludf.DUMMYFUNCTION("""COMPUTED_VALUE"""),"I")</f>
        <v>I</v>
      </c>
      <c r="G1051" s="202">
        <f ca="1">IFERROR(__xludf.DUMMYFUNCTION("""COMPUTED_VALUE"""),3)</f>
        <v>3</v>
      </c>
      <c r="H1051" s="206"/>
      <c r="I1051" s="206"/>
      <c r="J1051" s="206"/>
      <c r="K1051" s="206"/>
      <c r="L1051" s="206" t="str">
        <v/>
      </c>
      <c r="M1051" s="206" t="str">
        <v/>
      </c>
    </row>
    <row r="1052" spans="1:13" ht="14.4">
      <c r="A1052" s="199" t="str">
        <f ca="1">IFERROR(__xludf.DUMMYFUNCTION("""COMPUTED_VALUE"""),"HV")</f>
        <v>HV</v>
      </c>
      <c r="B1052" s="207" t="str">
        <f ca="1">IFERROR(__xludf.DUMMYFUNCTION("""COMPUTED_VALUE"""),"Finnian Gelbach")</f>
        <v>Finnian Gelbach</v>
      </c>
      <c r="C1052" s="199">
        <f ca="1">IFERROR(__xludf.DUMMYFUNCTION("""COMPUTED_VALUE"""),16)</f>
        <v>16</v>
      </c>
      <c r="D1052" s="199" t="str">
        <f ca="1">IFERROR(__xludf.DUMMYFUNCTION("""COMPUTED_VALUE"""),"B")</f>
        <v>B</v>
      </c>
      <c r="E1052" s="202" t="str">
        <f ca="1">IFERROR(__xludf.DUMMYFUNCTION("""COMPUTED_VALUE"""),"S")</f>
        <v>S</v>
      </c>
      <c r="F1052" s="202" t="str">
        <f ca="1">IFERROR(__xludf.DUMMYFUNCTION("""COMPUTED_VALUE"""),"S")</f>
        <v>S</v>
      </c>
      <c r="G1052" s="202">
        <f ca="1">IFERROR(__xludf.DUMMYFUNCTION("""COMPUTED_VALUE"""),3)</f>
        <v>3</v>
      </c>
      <c r="H1052" s="208"/>
      <c r="I1052" s="208">
        <v>278.60000000000002</v>
      </c>
      <c r="J1052" s="208"/>
      <c r="K1052" s="208" t="s">
        <v>121</v>
      </c>
      <c r="L1052" s="208" t="str">
        <v xml:space="preserve"> 278.6</v>
      </c>
      <c r="M1052" s="208" t="str">
        <v/>
      </c>
    </row>
    <row r="1053" spans="1:13" ht="14.4">
      <c r="A1053" s="199" t="str">
        <f ca="1">IFERROR(__xludf.DUMMYFUNCTION("""COMPUTED_VALUE"""),"HV")</f>
        <v>HV</v>
      </c>
      <c r="B1053" s="207" t="str">
        <f ca="1">IFERROR(__xludf.DUMMYFUNCTION("""COMPUTED_VALUE"""),"Ainsley Buckner")</f>
        <v>Ainsley Buckner</v>
      </c>
      <c r="C1053" s="199">
        <f ca="1">IFERROR(__xludf.DUMMYFUNCTION("""COMPUTED_VALUE"""),19)</f>
        <v>19</v>
      </c>
      <c r="D1053" s="199" t="str">
        <f ca="1">IFERROR(__xludf.DUMMYFUNCTION("""COMPUTED_VALUE"""),"G")</f>
        <v>G</v>
      </c>
      <c r="E1053" s="202" t="str">
        <f ca="1">IFERROR(__xludf.DUMMYFUNCTION("""COMPUTED_VALUE"""),"S")</f>
        <v>S</v>
      </c>
      <c r="F1053" s="202" t="str">
        <f ca="1">IFERROR(__xludf.DUMMYFUNCTION("""COMPUTED_VALUE"""),"S")</f>
        <v>S</v>
      </c>
      <c r="G1053" s="202">
        <f ca="1">IFERROR(__xludf.DUMMYFUNCTION("""COMPUTED_VALUE"""),3)</f>
        <v>3</v>
      </c>
      <c r="H1053" s="208">
        <v>186.5</v>
      </c>
      <c r="I1053" s="208"/>
      <c r="J1053" s="208" t="s">
        <v>121</v>
      </c>
      <c r="K1053" s="208"/>
      <c r="L1053" s="208" t="str">
        <v xml:space="preserve"> 186.5</v>
      </c>
      <c r="M1053" s="208" t="str">
        <v/>
      </c>
    </row>
    <row r="1054" spans="1:13" ht="14.4">
      <c r="A1054" s="199" t="str">
        <f ca="1">IFERROR(__xludf.DUMMYFUNCTION("""COMPUTED_VALUE"""),"HV")</f>
        <v>HV</v>
      </c>
      <c r="B1054" s="207" t="str">
        <f ca="1">IFERROR(__xludf.DUMMYFUNCTION("""COMPUTED_VALUE"""),"Madeline Orchard")</f>
        <v>Madeline Orchard</v>
      </c>
      <c r="C1054" s="199">
        <f ca="1">IFERROR(__xludf.DUMMYFUNCTION("""COMPUTED_VALUE"""),16)</f>
        <v>16</v>
      </c>
      <c r="D1054" s="199" t="str">
        <f ca="1">IFERROR(__xludf.DUMMYFUNCTION("""COMPUTED_VALUE"""),"G")</f>
        <v>G</v>
      </c>
      <c r="E1054" s="202" t="str">
        <f ca="1">IFERROR(__xludf.DUMMYFUNCTION("""COMPUTED_VALUE"""),"S")</f>
        <v>S</v>
      </c>
      <c r="F1054" s="202" t="str">
        <f ca="1">IFERROR(__xludf.DUMMYFUNCTION("""COMPUTED_VALUE"""),"S")</f>
        <v>S</v>
      </c>
      <c r="G1054" s="202">
        <f ca="1">IFERROR(__xludf.DUMMYFUNCTION("""COMPUTED_VALUE"""),3)</f>
        <v>3</v>
      </c>
      <c r="H1054" s="208">
        <v>175.7</v>
      </c>
      <c r="I1054" s="208"/>
      <c r="J1054" s="208" t="s">
        <v>121</v>
      </c>
      <c r="K1054" s="208"/>
      <c r="L1054" s="208" t="str">
        <v xml:space="preserve"> 175.7</v>
      </c>
      <c r="M1054" s="208" t="str">
        <v/>
      </c>
    </row>
    <row r="1055" spans="1:13" ht="14.4">
      <c r="A1055" s="199" t="str">
        <f ca="1">IFERROR(__xludf.DUMMYFUNCTION("""COMPUTED_VALUE"""),"HV")</f>
        <v>HV</v>
      </c>
      <c r="B1055" s="207" t="str">
        <f ca="1">IFERROR(__xludf.DUMMYFUNCTION("""COMPUTED_VALUE"""),"Nora Blasch")</f>
        <v>Nora Blasch</v>
      </c>
      <c r="C1055" s="199">
        <f ca="1">IFERROR(__xludf.DUMMYFUNCTION("""COMPUTED_VALUE"""),16)</f>
        <v>16</v>
      </c>
      <c r="D1055" s="199" t="str">
        <f ca="1">IFERROR(__xludf.DUMMYFUNCTION("""COMPUTED_VALUE"""),"G")</f>
        <v>G</v>
      </c>
      <c r="E1055" s="202" t="str">
        <f ca="1">IFERROR(__xludf.DUMMYFUNCTION("""COMPUTED_VALUE"""),"S")</f>
        <v>S</v>
      </c>
      <c r="F1055" s="202" t="str">
        <f ca="1">IFERROR(__xludf.DUMMYFUNCTION("""COMPUTED_VALUE"""),"S")</f>
        <v>S</v>
      </c>
      <c r="G1055" s="202">
        <f ca="1">IFERROR(__xludf.DUMMYFUNCTION("""COMPUTED_VALUE"""),3)</f>
        <v>3</v>
      </c>
      <c r="H1055" s="208">
        <v>163.69999999999999</v>
      </c>
      <c r="I1055" s="208"/>
      <c r="J1055" s="208" t="s">
        <v>121</v>
      </c>
      <c r="K1055" s="208"/>
      <c r="L1055" s="208" t="str">
        <v xml:space="preserve"> 163.7</v>
      </c>
      <c r="M1055" s="208" t="str">
        <v/>
      </c>
    </row>
    <row r="1056" spans="1:13" ht="14.4">
      <c r="A1056" s="199" t="str">
        <f ca="1">IFERROR(__xludf.DUMMYFUNCTION("""COMPUTED_VALUE"""),"IC")</f>
        <v>IC</v>
      </c>
      <c r="B1056" s="207" t="str">
        <f ca="1">IFERROR(__xludf.DUMMYFUNCTION("""COMPUTED_VALUE"""),"Emmett Kropf")</f>
        <v>Emmett Kropf</v>
      </c>
      <c r="C1056" s="199">
        <f ca="1">IFERROR(__xludf.DUMMYFUNCTION("""COMPUTED_VALUE"""),9)</f>
        <v>9</v>
      </c>
      <c r="D1056" s="199" t="str">
        <f ca="1">IFERROR(__xludf.DUMMYFUNCTION("""COMPUTED_VALUE"""),"B")</f>
        <v>B</v>
      </c>
      <c r="E1056" s="202" t="str">
        <f ca="1">IFERROR(__xludf.DUMMYFUNCTION("""COMPUTED_VALUE"""),"F")</f>
        <v>F</v>
      </c>
      <c r="F1056" s="202" t="str">
        <f ca="1">IFERROR(__xludf.DUMMYFUNCTION("""COMPUTED_VALUE"""),"J")</f>
        <v>J</v>
      </c>
      <c r="G1056" s="202">
        <f ca="1">IFERROR(__xludf.DUMMYFUNCTION("""COMPUTED_VALUE"""),8)</f>
        <v>8</v>
      </c>
      <c r="H1056" s="206"/>
      <c r="I1056" s="206">
        <v>27.2</v>
      </c>
      <c r="J1056" s="206"/>
      <c r="K1056" s="206" t="s">
        <v>121</v>
      </c>
      <c r="L1056" s="206" t="str">
        <v xml:space="preserve"> 27.2</v>
      </c>
      <c r="M1056" s="206" t="str">
        <v/>
      </c>
    </row>
    <row r="1057" spans="1:13" ht="14.4">
      <c r="A1057" s="199" t="str">
        <f ca="1">IFERROR(__xludf.DUMMYFUNCTION("""COMPUTED_VALUE"""),"IC")</f>
        <v>IC</v>
      </c>
      <c r="B1057" s="207" t="str">
        <f ca="1">IFERROR(__xludf.DUMMYFUNCTION("""COMPUTED_VALUE"""),"Henry Kropf")</f>
        <v>Henry Kropf</v>
      </c>
      <c r="C1057" s="199">
        <f ca="1">IFERROR(__xludf.DUMMYFUNCTION("""COMPUTED_VALUE"""),7)</f>
        <v>7</v>
      </c>
      <c r="D1057" s="199" t="str">
        <f ca="1">IFERROR(__xludf.DUMMYFUNCTION("""COMPUTED_VALUE"""),"B")</f>
        <v>B</v>
      </c>
      <c r="E1057" s="202" t="str">
        <f ca="1">IFERROR(__xludf.DUMMYFUNCTION("""COMPUTED_VALUE"""),"F")</f>
        <v>F</v>
      </c>
      <c r="F1057" s="202" t="str">
        <f ca="1">IFERROR(__xludf.DUMMYFUNCTION("""COMPUTED_VALUE"""),"J")</f>
        <v>J</v>
      </c>
      <c r="G1057" s="202">
        <f ca="1">IFERROR(__xludf.DUMMYFUNCTION("""COMPUTED_VALUE"""),8)</f>
        <v>8</v>
      </c>
      <c r="H1057" s="208"/>
      <c r="I1057" s="208"/>
      <c r="J1057" s="208"/>
      <c r="K1057" s="208"/>
      <c r="L1057" s="208" t="str">
        <v/>
      </c>
      <c r="M1057" s="208" t="str">
        <v/>
      </c>
    </row>
    <row r="1058" spans="1:13" ht="14.4">
      <c r="A1058" s="199" t="str">
        <f ca="1">IFERROR(__xludf.DUMMYFUNCTION("""COMPUTED_VALUE"""),"IC")</f>
        <v>IC</v>
      </c>
      <c r="B1058" s="207" t="str">
        <f ca="1">IFERROR(__xludf.DUMMYFUNCTION("""COMPUTED_VALUE"""),"Luke Kropf")</f>
        <v>Luke Kropf</v>
      </c>
      <c r="C1058" s="199">
        <f ca="1">IFERROR(__xludf.DUMMYFUNCTION("""COMPUTED_VALUE"""),10)</f>
        <v>10</v>
      </c>
      <c r="D1058" s="199" t="str">
        <f ca="1">IFERROR(__xludf.DUMMYFUNCTION("""COMPUTED_VALUE"""),"B")</f>
        <v>B</v>
      </c>
      <c r="E1058" s="202" t="str">
        <f ca="1">IFERROR(__xludf.DUMMYFUNCTION("""COMPUTED_VALUE"""),"F")</f>
        <v>F</v>
      </c>
      <c r="F1058" s="202" t="str">
        <f ca="1">IFERROR(__xludf.DUMMYFUNCTION("""COMPUTED_VALUE"""),"J")</f>
        <v>J</v>
      </c>
      <c r="G1058" s="202">
        <f ca="1">IFERROR(__xludf.DUMMYFUNCTION("""COMPUTED_VALUE"""),8)</f>
        <v>8</v>
      </c>
      <c r="H1058" s="206"/>
      <c r="I1058" s="206">
        <v>46</v>
      </c>
      <c r="J1058" s="206"/>
      <c r="K1058" s="206" t="s">
        <v>121</v>
      </c>
      <c r="L1058" s="206" t="str">
        <v xml:space="preserve"> 46</v>
      </c>
      <c r="M1058" s="206" t="str">
        <v/>
      </c>
    </row>
    <row r="1059" spans="1:13" ht="14.4">
      <c r="A1059" s="199" t="str">
        <f ca="1">IFERROR(__xludf.DUMMYFUNCTION("""COMPUTED_VALUE"""),"IC")</f>
        <v>IC</v>
      </c>
      <c r="B1059" s="207" t="str">
        <f ca="1">IFERROR(__xludf.DUMMYFUNCTION("""COMPUTED_VALUE"""),"Adeline Mininger")</f>
        <v>Adeline Mininger</v>
      </c>
      <c r="C1059" s="199">
        <f ca="1">IFERROR(__xludf.DUMMYFUNCTION("""COMPUTED_VALUE"""),9)</f>
        <v>9</v>
      </c>
      <c r="D1059" s="199" t="str">
        <f ca="1">IFERROR(__xludf.DUMMYFUNCTION("""COMPUTED_VALUE"""),"G")</f>
        <v>G</v>
      </c>
      <c r="E1059" s="202" t="str">
        <f ca="1">IFERROR(__xludf.DUMMYFUNCTION("""COMPUTED_VALUE"""),"F")</f>
        <v>F</v>
      </c>
      <c r="F1059" s="202" t="str">
        <f ca="1">IFERROR(__xludf.DUMMYFUNCTION("""COMPUTED_VALUE"""),"J")</f>
        <v>J</v>
      </c>
      <c r="G1059" s="202">
        <f ca="1">IFERROR(__xludf.DUMMYFUNCTION("""COMPUTED_VALUE"""),8)</f>
        <v>8</v>
      </c>
      <c r="H1059" s="206"/>
      <c r="I1059" s="206"/>
      <c r="J1059" s="206"/>
      <c r="K1059" s="206"/>
      <c r="L1059" s="206" t="str">
        <v/>
      </c>
      <c r="M1059" s="206" t="str">
        <v/>
      </c>
    </row>
    <row r="1060" spans="1:13" ht="14.4">
      <c r="A1060" s="199" t="str">
        <f ca="1">IFERROR(__xludf.DUMMYFUNCTION("""COMPUTED_VALUE"""),"IC")</f>
        <v>IC</v>
      </c>
      <c r="B1060" s="207" t="str">
        <f ca="1">IFERROR(__xludf.DUMMYFUNCTION("""COMPUTED_VALUE"""),"Adriana Erb")</f>
        <v>Adriana Erb</v>
      </c>
      <c r="C1060" s="199">
        <f ca="1">IFERROR(__xludf.DUMMYFUNCTION("""COMPUTED_VALUE"""),8)</f>
        <v>8</v>
      </c>
      <c r="D1060" s="199" t="str">
        <f ca="1">IFERROR(__xludf.DUMMYFUNCTION("""COMPUTED_VALUE"""),"G")</f>
        <v>G</v>
      </c>
      <c r="E1060" s="202" t="str">
        <f ca="1">IFERROR(__xludf.DUMMYFUNCTION("""COMPUTED_VALUE"""),"F")</f>
        <v>F</v>
      </c>
      <c r="F1060" s="202" t="str">
        <f ca="1">IFERROR(__xludf.DUMMYFUNCTION("""COMPUTED_VALUE"""),"J")</f>
        <v>J</v>
      </c>
      <c r="G1060" s="202">
        <f ca="1">IFERROR(__xludf.DUMMYFUNCTION("""COMPUTED_VALUE"""),8)</f>
        <v>8</v>
      </c>
      <c r="H1060" s="208"/>
      <c r="I1060" s="208"/>
      <c r="J1060" s="208"/>
      <c r="K1060" s="208"/>
      <c r="L1060" s="208" t="str">
        <v/>
      </c>
      <c r="M1060" s="208" t="str">
        <v/>
      </c>
    </row>
    <row r="1061" spans="1:13" ht="14.4">
      <c r="A1061" s="199" t="str">
        <f ca="1">IFERROR(__xludf.DUMMYFUNCTION("""COMPUTED_VALUE"""),"IC")</f>
        <v>IC</v>
      </c>
      <c r="B1061" s="207" t="str">
        <f ca="1">IFERROR(__xludf.DUMMYFUNCTION("""COMPUTED_VALUE"""),"Amaya Erb")</f>
        <v>Amaya Erb</v>
      </c>
      <c r="C1061" s="199">
        <f ca="1">IFERROR(__xludf.DUMMYFUNCTION("""COMPUTED_VALUE"""),10)</f>
        <v>10</v>
      </c>
      <c r="D1061" s="199" t="str">
        <f ca="1">IFERROR(__xludf.DUMMYFUNCTION("""COMPUTED_VALUE"""),"G")</f>
        <v>G</v>
      </c>
      <c r="E1061" s="202" t="str">
        <f ca="1">IFERROR(__xludf.DUMMYFUNCTION("""COMPUTED_VALUE"""),"F")</f>
        <v>F</v>
      </c>
      <c r="F1061" s="202" t="str">
        <f ca="1">IFERROR(__xludf.DUMMYFUNCTION("""COMPUTED_VALUE"""),"J")</f>
        <v>J</v>
      </c>
      <c r="G1061" s="202">
        <f ca="1">IFERROR(__xludf.DUMMYFUNCTION("""COMPUTED_VALUE"""),8)</f>
        <v>8</v>
      </c>
      <c r="H1061" s="206">
        <v>67.650000000000006</v>
      </c>
      <c r="I1061" s="206"/>
      <c r="J1061" s="206" t="s">
        <v>121</v>
      </c>
      <c r="K1061" s="206"/>
      <c r="L1061" s="206" t="str">
        <v xml:space="preserve"> 67.65</v>
      </c>
      <c r="M1061" s="206" t="str">
        <v/>
      </c>
    </row>
    <row r="1062" spans="1:13" ht="14.4">
      <c r="A1062" s="199" t="str">
        <f ca="1">IFERROR(__xludf.DUMMYFUNCTION("""COMPUTED_VALUE"""),"IC")</f>
        <v>IC</v>
      </c>
      <c r="B1062" s="207" t="str">
        <f ca="1">IFERROR(__xludf.DUMMYFUNCTION("""COMPUTED_VALUE"""),"Katie Nolan")</f>
        <v>Katie Nolan</v>
      </c>
      <c r="C1062" s="199">
        <f ca="1">IFERROR(__xludf.DUMMYFUNCTION("""COMPUTED_VALUE"""),9)</f>
        <v>9</v>
      </c>
      <c r="D1062" s="199" t="str">
        <f ca="1">IFERROR(__xludf.DUMMYFUNCTION("""COMPUTED_VALUE"""),"G")</f>
        <v>G</v>
      </c>
      <c r="E1062" s="202" t="str">
        <f ca="1">IFERROR(__xludf.DUMMYFUNCTION("""COMPUTED_VALUE"""),"F")</f>
        <v>F</v>
      </c>
      <c r="F1062" s="202" t="str">
        <f ca="1">IFERROR(__xludf.DUMMYFUNCTION("""COMPUTED_VALUE"""),"J")</f>
        <v>J</v>
      </c>
      <c r="G1062" s="202">
        <f ca="1">IFERROR(__xludf.DUMMYFUNCTION("""COMPUTED_VALUE"""),8)</f>
        <v>8</v>
      </c>
      <c r="H1062" s="208"/>
      <c r="I1062" s="208"/>
      <c r="J1062" s="208"/>
      <c r="K1062" s="208"/>
      <c r="L1062" s="208" t="str">
        <v/>
      </c>
      <c r="M1062" s="208" t="str">
        <v/>
      </c>
    </row>
    <row r="1063" spans="1:13" ht="14.4">
      <c r="A1063" s="199" t="str">
        <f ca="1">IFERROR(__xludf.DUMMYFUNCTION("""COMPUTED_VALUE"""),"IC")</f>
        <v>IC</v>
      </c>
      <c r="B1063" s="207" t="str">
        <f ca="1">IFERROR(__xludf.DUMMYFUNCTION("""COMPUTED_VALUE"""),"Quincy Cluff")</f>
        <v>Quincy Cluff</v>
      </c>
      <c r="C1063" s="199">
        <f ca="1">IFERROR(__xludf.DUMMYFUNCTION("""COMPUTED_VALUE"""),6)</f>
        <v>6</v>
      </c>
      <c r="D1063" s="199" t="str">
        <f ca="1">IFERROR(__xludf.DUMMYFUNCTION("""COMPUTED_VALUE"""),"G")</f>
        <v>G</v>
      </c>
      <c r="E1063" s="202" t="str">
        <f ca="1">IFERROR(__xludf.DUMMYFUNCTION("""COMPUTED_VALUE"""),"F")</f>
        <v>F</v>
      </c>
      <c r="F1063" s="202" t="str">
        <f ca="1">IFERROR(__xludf.DUMMYFUNCTION("""COMPUTED_VALUE"""),"J")</f>
        <v>J</v>
      </c>
      <c r="G1063" s="202">
        <f ca="1">IFERROR(__xludf.DUMMYFUNCTION("""COMPUTED_VALUE"""),8)</f>
        <v>8</v>
      </c>
      <c r="H1063" s="206"/>
      <c r="I1063" s="206"/>
      <c r="J1063" s="206"/>
      <c r="K1063" s="206"/>
      <c r="L1063" s="206" t="str">
        <v/>
      </c>
      <c r="M1063" s="206" t="str">
        <v/>
      </c>
    </row>
    <row r="1064" spans="1:13" ht="14.4">
      <c r="A1064" s="199" t="str">
        <f ca="1">IFERROR(__xludf.DUMMYFUNCTION("""COMPUTED_VALUE"""),"IC")</f>
        <v>IC</v>
      </c>
      <c r="B1064" s="207" t="str">
        <f ca="1">IFERROR(__xludf.DUMMYFUNCTION("""COMPUTED_VALUE"""),"Rosalie Thornton")</f>
        <v>Rosalie Thornton</v>
      </c>
      <c r="C1064" s="199">
        <f ca="1">IFERROR(__xludf.DUMMYFUNCTION("""COMPUTED_VALUE"""),8)</f>
        <v>8</v>
      </c>
      <c r="D1064" s="199" t="str">
        <f ca="1">IFERROR(__xludf.DUMMYFUNCTION("""COMPUTED_VALUE"""),"G")</f>
        <v>G</v>
      </c>
      <c r="E1064" s="202" t="str">
        <f ca="1">IFERROR(__xludf.DUMMYFUNCTION("""COMPUTED_VALUE"""),"F")</f>
        <v>F</v>
      </c>
      <c r="F1064" s="202" t="str">
        <f ca="1">IFERROR(__xludf.DUMMYFUNCTION("""COMPUTED_VALUE"""),"J")</f>
        <v>J</v>
      </c>
      <c r="G1064" s="202">
        <f ca="1">IFERROR(__xludf.DUMMYFUNCTION("""COMPUTED_VALUE"""),8)</f>
        <v>8</v>
      </c>
      <c r="H1064" s="206">
        <v>46.2</v>
      </c>
      <c r="I1064" s="206"/>
      <c r="J1064" s="206" t="s">
        <v>121</v>
      </c>
      <c r="K1064" s="206"/>
      <c r="L1064" s="206" t="str">
        <v xml:space="preserve"> 46.2</v>
      </c>
      <c r="M1064" s="206" t="str">
        <v/>
      </c>
    </row>
    <row r="1065" spans="1:13" ht="14.4">
      <c r="A1065" s="199" t="str">
        <f ca="1">IFERROR(__xludf.DUMMYFUNCTION("""COMPUTED_VALUE"""),"IC")</f>
        <v>IC</v>
      </c>
      <c r="B1065" s="207" t="str">
        <f ca="1">IFERROR(__xludf.DUMMYFUNCTION("""COMPUTED_VALUE"""),"Grant Thornton")</f>
        <v>Grant Thornton</v>
      </c>
      <c r="C1065" s="199">
        <f ca="1">IFERROR(__xludf.DUMMYFUNCTION("""COMPUTED_VALUE"""),14)</f>
        <v>14</v>
      </c>
      <c r="D1065" s="199" t="str">
        <f ca="1">IFERROR(__xludf.DUMMYFUNCTION("""COMPUTED_VALUE"""),"B")</f>
        <v>B</v>
      </c>
      <c r="E1065" s="202" t="str">
        <f ca="1">IFERROR(__xludf.DUMMYFUNCTION("""COMPUTED_VALUE"""),"I")</f>
        <v>I</v>
      </c>
      <c r="F1065" s="202" t="str">
        <f ca="1">IFERROR(__xludf.DUMMYFUNCTION("""COMPUTED_VALUE"""),"S")</f>
        <v>S</v>
      </c>
      <c r="G1065" s="202">
        <f ca="1">IFERROR(__xludf.DUMMYFUNCTION("""COMPUTED_VALUE"""),8)</f>
        <v>8</v>
      </c>
      <c r="H1065" s="206"/>
      <c r="I1065" s="206">
        <v>101.5</v>
      </c>
      <c r="J1065" s="206"/>
      <c r="K1065" s="206" t="s">
        <v>121</v>
      </c>
      <c r="L1065" s="206" t="str">
        <v xml:space="preserve"> 101.5</v>
      </c>
      <c r="M1065" s="206" t="str">
        <v/>
      </c>
    </row>
    <row r="1066" spans="1:13" ht="14.4">
      <c r="A1066" s="199" t="str">
        <f ca="1">IFERROR(__xludf.DUMMYFUNCTION("""COMPUTED_VALUE"""),"IC")</f>
        <v>IC</v>
      </c>
      <c r="B1066" s="207" t="str">
        <f ca="1">IFERROR(__xludf.DUMMYFUNCTION("""COMPUTED_VALUE"""),"Sam Nolan")</f>
        <v>Sam Nolan</v>
      </c>
      <c r="C1066" s="199">
        <f ca="1">IFERROR(__xludf.DUMMYFUNCTION("""COMPUTED_VALUE"""),14)</f>
        <v>14</v>
      </c>
      <c r="D1066" s="199" t="str">
        <f ca="1">IFERROR(__xludf.DUMMYFUNCTION("""COMPUTED_VALUE"""),"B")</f>
        <v>B</v>
      </c>
      <c r="E1066" s="202" t="str">
        <f ca="1">IFERROR(__xludf.DUMMYFUNCTION("""COMPUTED_VALUE"""),"I")</f>
        <v>I</v>
      </c>
      <c r="F1066" s="202" t="str">
        <f ca="1">IFERROR(__xludf.DUMMYFUNCTION("""COMPUTED_VALUE"""),"S")</f>
        <v>S</v>
      </c>
      <c r="G1066" s="202">
        <f ca="1">IFERROR(__xludf.DUMMYFUNCTION("""COMPUTED_VALUE"""),8)</f>
        <v>8</v>
      </c>
      <c r="H1066" s="206"/>
      <c r="I1066" s="206"/>
      <c r="J1066" s="206"/>
      <c r="K1066" s="206"/>
      <c r="L1066" s="206" t="str">
        <v/>
      </c>
      <c r="M1066" s="206" t="str">
        <v/>
      </c>
    </row>
    <row r="1067" spans="1:13" ht="14.4">
      <c r="A1067" s="199" t="str">
        <f ca="1">IFERROR(__xludf.DUMMYFUNCTION("""COMPUTED_VALUE"""),"IC")</f>
        <v>IC</v>
      </c>
      <c r="B1067" s="207" t="str">
        <f ca="1">IFERROR(__xludf.DUMMYFUNCTION("""COMPUTED_VALUE"""),"Emily Bush")</f>
        <v>Emily Bush</v>
      </c>
      <c r="C1067" s="199">
        <f ca="1">IFERROR(__xludf.DUMMYFUNCTION("""COMPUTED_VALUE"""),14)</f>
        <v>14</v>
      </c>
      <c r="D1067" s="199" t="str">
        <f ca="1">IFERROR(__xludf.DUMMYFUNCTION("""COMPUTED_VALUE"""),"G")</f>
        <v>G</v>
      </c>
      <c r="E1067" s="202" t="str">
        <f ca="1">IFERROR(__xludf.DUMMYFUNCTION("""COMPUTED_VALUE"""),"I")</f>
        <v>I</v>
      </c>
      <c r="F1067" s="202" t="str">
        <f ca="1">IFERROR(__xludf.DUMMYFUNCTION("""COMPUTED_VALUE"""),"S")</f>
        <v>S</v>
      </c>
      <c r="G1067" s="202">
        <f ca="1">IFERROR(__xludf.DUMMYFUNCTION("""COMPUTED_VALUE"""),8)</f>
        <v>8</v>
      </c>
      <c r="H1067" s="208">
        <v>128.5</v>
      </c>
      <c r="I1067" s="208"/>
      <c r="J1067" s="208" t="s">
        <v>121</v>
      </c>
      <c r="K1067" s="208"/>
      <c r="L1067" s="208" t="str">
        <v xml:space="preserve"> 128.5</v>
      </c>
      <c r="M1067" s="208" t="str">
        <v/>
      </c>
    </row>
    <row r="1068" spans="1:13" ht="14.4">
      <c r="A1068" s="199" t="str">
        <f ca="1">IFERROR(__xludf.DUMMYFUNCTION("""COMPUTED_VALUE"""),"IC")</f>
        <v>IC</v>
      </c>
      <c r="B1068" s="207" t="str">
        <f ca="1">IFERROR(__xludf.DUMMYFUNCTION("""COMPUTED_VALUE"""),"Everett Thornton")</f>
        <v>Everett Thornton</v>
      </c>
      <c r="C1068" s="199">
        <f ca="1">IFERROR(__xludf.DUMMYFUNCTION("""COMPUTED_VALUE"""),12)</f>
        <v>12</v>
      </c>
      <c r="D1068" s="199" t="str">
        <f ca="1">IFERROR(__xludf.DUMMYFUNCTION("""COMPUTED_VALUE"""),"B")</f>
        <v>B</v>
      </c>
      <c r="E1068" s="202" t="str">
        <f ca="1">IFERROR(__xludf.DUMMYFUNCTION("""COMPUTED_VALUE"""),"J")</f>
        <v>J</v>
      </c>
      <c r="F1068" s="202" t="str">
        <f ca="1">IFERROR(__xludf.DUMMYFUNCTION("""COMPUTED_VALUE"""),"I")</f>
        <v>I</v>
      </c>
      <c r="G1068" s="202">
        <f ca="1">IFERROR(__xludf.DUMMYFUNCTION("""COMPUTED_VALUE"""),8)</f>
        <v>8</v>
      </c>
      <c r="H1068" s="208"/>
      <c r="I1068" s="208">
        <v>87.55</v>
      </c>
      <c r="J1068" s="208"/>
      <c r="K1068" s="208" t="s">
        <v>121</v>
      </c>
      <c r="L1068" s="208" t="str">
        <v xml:space="preserve"> 87.55</v>
      </c>
      <c r="M1068" s="208" t="str">
        <v/>
      </c>
    </row>
    <row r="1069" spans="1:13" ht="14.4">
      <c r="A1069" s="199" t="str">
        <f ca="1">IFERROR(__xludf.DUMMYFUNCTION("""COMPUTED_VALUE"""),"IC")</f>
        <v>IC</v>
      </c>
      <c r="B1069" s="207" t="str">
        <f ca="1">IFERROR(__xludf.DUMMYFUNCTION("""COMPUTED_VALUE"""),"Madeline Fay")</f>
        <v>Madeline Fay</v>
      </c>
      <c r="C1069" s="199">
        <f ca="1">IFERROR(__xludf.DUMMYFUNCTION("""COMPUTED_VALUE"""),12)</f>
        <v>12</v>
      </c>
      <c r="D1069" s="199" t="str">
        <f ca="1">IFERROR(__xludf.DUMMYFUNCTION("""COMPUTED_VALUE"""),"G")</f>
        <v>G</v>
      </c>
      <c r="E1069" s="202" t="str">
        <f ca="1">IFERROR(__xludf.DUMMYFUNCTION("""COMPUTED_VALUE"""),"J")</f>
        <v>J</v>
      </c>
      <c r="F1069" s="202" t="str">
        <f ca="1">IFERROR(__xludf.DUMMYFUNCTION("""COMPUTED_VALUE"""),"I")</f>
        <v>I</v>
      </c>
      <c r="G1069" s="202">
        <f ca="1">IFERROR(__xludf.DUMMYFUNCTION("""COMPUTED_VALUE"""),8)</f>
        <v>8</v>
      </c>
      <c r="H1069" s="206">
        <v>104.95</v>
      </c>
      <c r="I1069" s="206"/>
      <c r="J1069" s="206" t="s">
        <v>121</v>
      </c>
      <c r="K1069" s="206"/>
      <c r="L1069" s="206" t="str">
        <v xml:space="preserve"> 104.95</v>
      </c>
      <c r="M1069" s="206" t="str">
        <v/>
      </c>
    </row>
    <row r="1070" spans="1:13" ht="14.4">
      <c r="A1070" s="199" t="str">
        <f ca="1">IFERROR(__xludf.DUMMYFUNCTION("""COMPUTED_VALUE"""),"IC")</f>
        <v>IC</v>
      </c>
      <c r="B1070" s="207" t="str">
        <f ca="1">IFERROR(__xludf.DUMMYFUNCTION("""COMPUTED_VALUE"""),"Maura Fay")</f>
        <v>Maura Fay</v>
      </c>
      <c r="C1070" s="199">
        <f ca="1">IFERROR(__xludf.DUMMYFUNCTION("""COMPUTED_VALUE"""),15)</f>
        <v>15</v>
      </c>
      <c r="D1070" s="199" t="str">
        <f ca="1">IFERROR(__xludf.DUMMYFUNCTION("""COMPUTED_VALUE"""),"G")</f>
        <v>G</v>
      </c>
      <c r="E1070" s="202" t="str">
        <f ca="1">IFERROR(__xludf.DUMMYFUNCTION("""COMPUTED_VALUE"""),"S")</f>
        <v>S</v>
      </c>
      <c r="F1070" s="202" t="str">
        <f ca="1">IFERROR(__xludf.DUMMYFUNCTION("""COMPUTED_VALUE"""),"S")</f>
        <v>S</v>
      </c>
      <c r="G1070" s="202">
        <f ca="1">IFERROR(__xludf.DUMMYFUNCTION("""COMPUTED_VALUE"""),8)</f>
        <v>8</v>
      </c>
      <c r="H1070" s="208">
        <v>166.25</v>
      </c>
      <c r="I1070" s="208"/>
      <c r="J1070" s="208" t="s">
        <v>121</v>
      </c>
      <c r="K1070" s="208"/>
      <c r="L1070" s="208" t="str">
        <v xml:space="preserve"> 166.25</v>
      </c>
      <c r="M1070" s="208" t="str">
        <v/>
      </c>
    </row>
    <row r="1071" spans="1:13" ht="14.4">
      <c r="A1071" s="199" t="str">
        <f ca="1">IFERROR(__xludf.DUMMYFUNCTION("""COMPUTED_VALUE"""),"IC")</f>
        <v>IC</v>
      </c>
      <c r="B1071" s="207" t="str">
        <f ca="1">IFERROR(__xludf.DUMMYFUNCTION("""COMPUTED_VALUE"""),"Nina Gillette")</f>
        <v>Nina Gillette</v>
      </c>
      <c r="C1071" s="199">
        <f ca="1">IFERROR(__xludf.DUMMYFUNCTION("""COMPUTED_VALUE"""),15)</f>
        <v>15</v>
      </c>
      <c r="D1071" s="199" t="str">
        <f ca="1">IFERROR(__xludf.DUMMYFUNCTION("""COMPUTED_VALUE"""),"G")</f>
        <v>G</v>
      </c>
      <c r="E1071" s="202" t="str">
        <f ca="1">IFERROR(__xludf.DUMMYFUNCTION("""COMPUTED_VALUE"""),"S")</f>
        <v>S</v>
      </c>
      <c r="F1071" s="202" t="str">
        <f ca="1">IFERROR(__xludf.DUMMYFUNCTION("""COMPUTED_VALUE"""),"S")</f>
        <v>S</v>
      </c>
      <c r="G1071" s="202">
        <f ca="1">IFERROR(__xludf.DUMMYFUNCTION("""COMPUTED_VALUE"""),8)</f>
        <v>8</v>
      </c>
      <c r="H1071" s="206">
        <v>129.85</v>
      </c>
      <c r="I1071" s="206"/>
      <c r="J1071" s="206" t="s">
        <v>121</v>
      </c>
      <c r="K1071" s="206"/>
      <c r="L1071" s="206" t="str">
        <v xml:space="preserve"> 129.85</v>
      </c>
      <c r="M1071" s="206" t="str">
        <v/>
      </c>
    </row>
    <row r="1072" spans="1:13" ht="14.4">
      <c r="A1072" s="199" t="str">
        <f ca="1">IFERROR(__xludf.DUMMYFUNCTION("""COMPUTED_VALUE"""),"KG")</f>
        <v>KG</v>
      </c>
      <c r="B1072" s="207" t="str">
        <f ca="1">IFERROR(__xludf.DUMMYFUNCTION("""COMPUTED_VALUE"""),"Alejandro Pereira")</f>
        <v>Alejandro Pereira</v>
      </c>
      <c r="C1072" s="199">
        <f ca="1">IFERROR(__xludf.DUMMYFUNCTION("""COMPUTED_VALUE"""),7)</f>
        <v>7</v>
      </c>
      <c r="D1072" s="199" t="str">
        <f ca="1">IFERROR(__xludf.DUMMYFUNCTION("""COMPUTED_VALUE"""),"B")</f>
        <v>B</v>
      </c>
      <c r="E1072" s="202" t="str">
        <f ca="1">IFERROR(__xludf.DUMMYFUNCTION("""COMPUTED_VALUE"""),"F")</f>
        <v>F</v>
      </c>
      <c r="F1072" s="202" t="str">
        <f ca="1">IFERROR(__xludf.DUMMYFUNCTION("""COMPUTED_VALUE"""),"J")</f>
        <v>J</v>
      </c>
      <c r="G1072" s="202">
        <f ca="1">IFERROR(__xludf.DUMMYFUNCTION("""COMPUTED_VALUE"""),2)</f>
        <v>2</v>
      </c>
      <c r="H1072" s="206"/>
      <c r="I1072" s="206"/>
      <c r="J1072" s="206"/>
      <c r="K1072" s="206"/>
      <c r="L1072" s="206" t="str">
        <v/>
      </c>
      <c r="M1072" s="206" t="str">
        <v/>
      </c>
    </row>
    <row r="1073" spans="1:13" ht="14.4">
      <c r="A1073" s="199" t="str">
        <f ca="1">IFERROR(__xludf.DUMMYFUNCTION("""COMPUTED_VALUE"""),"KG")</f>
        <v>KG</v>
      </c>
      <c r="B1073" s="207" t="str">
        <f ca="1">IFERROR(__xludf.DUMMYFUNCTION("""COMPUTED_VALUE"""),"Alexander Wu")</f>
        <v>Alexander Wu</v>
      </c>
      <c r="C1073" s="199">
        <f ca="1">IFERROR(__xludf.DUMMYFUNCTION("""COMPUTED_VALUE"""),8)</f>
        <v>8</v>
      </c>
      <c r="D1073" s="199" t="str">
        <f ca="1">IFERROR(__xludf.DUMMYFUNCTION("""COMPUTED_VALUE"""),"B")</f>
        <v>B</v>
      </c>
      <c r="E1073" s="202" t="str">
        <f ca="1">IFERROR(__xludf.DUMMYFUNCTION("""COMPUTED_VALUE"""),"F")</f>
        <v>F</v>
      </c>
      <c r="F1073" s="202" t="str">
        <f ca="1">IFERROR(__xludf.DUMMYFUNCTION("""COMPUTED_VALUE"""),"J")</f>
        <v>J</v>
      </c>
      <c r="G1073" s="202">
        <f ca="1">IFERROR(__xludf.DUMMYFUNCTION("""COMPUTED_VALUE"""),2)</f>
        <v>2</v>
      </c>
      <c r="H1073" s="206"/>
      <c r="I1073" s="206"/>
      <c r="J1073" s="206"/>
      <c r="K1073" s="206"/>
      <c r="L1073" s="206" t="str">
        <v/>
      </c>
      <c r="M1073" s="206" t="str">
        <v/>
      </c>
    </row>
    <row r="1074" spans="1:13" ht="14.4">
      <c r="A1074" s="199" t="str">
        <f ca="1">IFERROR(__xludf.DUMMYFUNCTION("""COMPUTED_VALUE"""),"KG")</f>
        <v>KG</v>
      </c>
      <c r="B1074" s="207" t="str">
        <f ca="1">IFERROR(__xludf.DUMMYFUNCTION("""COMPUTED_VALUE"""),"Declan Nguyen")</f>
        <v>Declan Nguyen</v>
      </c>
      <c r="C1074" s="199">
        <f ca="1">IFERROR(__xludf.DUMMYFUNCTION("""COMPUTED_VALUE"""),9)</f>
        <v>9</v>
      </c>
      <c r="D1074" s="199" t="str">
        <f ca="1">IFERROR(__xludf.DUMMYFUNCTION("""COMPUTED_VALUE"""),"B")</f>
        <v>B</v>
      </c>
      <c r="E1074" s="202" t="str">
        <f ca="1">IFERROR(__xludf.DUMMYFUNCTION("""COMPUTED_VALUE"""),"F")</f>
        <v>F</v>
      </c>
      <c r="F1074" s="202" t="str">
        <f ca="1">IFERROR(__xludf.DUMMYFUNCTION("""COMPUTED_VALUE"""),"J")</f>
        <v>J</v>
      </c>
      <c r="G1074" s="202">
        <f ca="1">IFERROR(__xludf.DUMMYFUNCTION("""COMPUTED_VALUE"""),2)</f>
        <v>2</v>
      </c>
      <c r="H1074" s="208"/>
      <c r="I1074" s="208">
        <v>48.9</v>
      </c>
      <c r="J1074" s="208"/>
      <c r="K1074" s="208" t="s">
        <v>121</v>
      </c>
      <c r="L1074" s="208" t="str">
        <v xml:space="preserve"> 48.9</v>
      </c>
      <c r="M1074" s="208" t="str">
        <v/>
      </c>
    </row>
    <row r="1075" spans="1:13" ht="14.4">
      <c r="A1075" s="199" t="str">
        <f ca="1">IFERROR(__xludf.DUMMYFUNCTION("""COMPUTED_VALUE"""),"KG")</f>
        <v>KG</v>
      </c>
      <c r="B1075" s="207" t="str">
        <f ca="1">IFERROR(__xludf.DUMMYFUNCTION("""COMPUTED_VALUE"""),"Gavan Nasr")</f>
        <v>Gavan Nasr</v>
      </c>
      <c r="C1075" s="199">
        <f ca="1">IFERROR(__xludf.DUMMYFUNCTION("""COMPUTED_VALUE"""),10)</f>
        <v>10</v>
      </c>
      <c r="D1075" s="199" t="str">
        <f ca="1">IFERROR(__xludf.DUMMYFUNCTION("""COMPUTED_VALUE"""),"B")</f>
        <v>B</v>
      </c>
      <c r="E1075" s="202" t="str">
        <f ca="1">IFERROR(__xludf.DUMMYFUNCTION("""COMPUTED_VALUE"""),"F")</f>
        <v>F</v>
      </c>
      <c r="F1075" s="202" t="str">
        <f ca="1">IFERROR(__xludf.DUMMYFUNCTION("""COMPUTED_VALUE"""),"J")</f>
        <v>J</v>
      </c>
      <c r="G1075" s="202">
        <f ca="1">IFERROR(__xludf.DUMMYFUNCTION("""COMPUTED_VALUE"""),2)</f>
        <v>2</v>
      </c>
      <c r="H1075" s="206"/>
      <c r="I1075" s="206">
        <v>66.3</v>
      </c>
      <c r="J1075" s="206"/>
      <c r="K1075" s="206" t="s">
        <v>121</v>
      </c>
      <c r="L1075" s="206" t="str">
        <v xml:space="preserve"> 66.3</v>
      </c>
      <c r="M1075" s="206" t="str">
        <v/>
      </c>
    </row>
    <row r="1076" spans="1:13" ht="14.4">
      <c r="A1076" s="199" t="str">
        <f ca="1">IFERROR(__xludf.DUMMYFUNCTION("""COMPUTED_VALUE"""),"KG")</f>
        <v>KG</v>
      </c>
      <c r="B1076" s="207" t="str">
        <f ca="1">IFERROR(__xludf.DUMMYFUNCTION("""COMPUTED_VALUE"""),"Henry Gregory")</f>
        <v>Henry Gregory</v>
      </c>
      <c r="C1076" s="199">
        <f ca="1">IFERROR(__xludf.DUMMYFUNCTION("""COMPUTED_VALUE"""),7)</f>
        <v>7</v>
      </c>
      <c r="D1076" s="199" t="str">
        <f ca="1">IFERROR(__xludf.DUMMYFUNCTION("""COMPUTED_VALUE"""),"B")</f>
        <v>B</v>
      </c>
      <c r="E1076" s="202" t="str">
        <f ca="1">IFERROR(__xludf.DUMMYFUNCTION("""COMPUTED_VALUE"""),"F")</f>
        <v>F</v>
      </c>
      <c r="F1076" s="202" t="str">
        <f ca="1">IFERROR(__xludf.DUMMYFUNCTION("""COMPUTED_VALUE"""),"J")</f>
        <v>J</v>
      </c>
      <c r="G1076" s="202">
        <f ca="1">IFERROR(__xludf.DUMMYFUNCTION("""COMPUTED_VALUE"""),2)</f>
        <v>2</v>
      </c>
      <c r="H1076" s="208"/>
      <c r="I1076" s="208"/>
      <c r="J1076" s="208"/>
      <c r="K1076" s="208"/>
      <c r="L1076" s="208" t="str">
        <v/>
      </c>
      <c r="M1076" s="208" t="str">
        <v/>
      </c>
    </row>
    <row r="1077" spans="1:13" ht="14.4">
      <c r="A1077" s="199" t="str">
        <f ca="1">IFERROR(__xludf.DUMMYFUNCTION("""COMPUTED_VALUE"""),"KG")</f>
        <v>KG</v>
      </c>
      <c r="B1077" s="207" t="str">
        <f ca="1">IFERROR(__xludf.DUMMYFUNCTION("""COMPUTED_VALUE"""),"James Wittman")</f>
        <v>James Wittman</v>
      </c>
      <c r="C1077" s="199">
        <f ca="1">IFERROR(__xludf.DUMMYFUNCTION("""COMPUTED_VALUE"""),5)</f>
        <v>5</v>
      </c>
      <c r="D1077" s="199" t="str">
        <f ca="1">IFERROR(__xludf.DUMMYFUNCTION("""COMPUTED_VALUE"""),"B")</f>
        <v>B</v>
      </c>
      <c r="E1077" s="202" t="str">
        <f ca="1">IFERROR(__xludf.DUMMYFUNCTION("""COMPUTED_VALUE"""),"F")</f>
        <v>F</v>
      </c>
      <c r="F1077" s="202" t="str">
        <f ca="1">IFERROR(__xludf.DUMMYFUNCTION("""COMPUTED_VALUE"""),"J")</f>
        <v>J</v>
      </c>
      <c r="G1077" s="202">
        <f ca="1">IFERROR(__xludf.DUMMYFUNCTION("""COMPUTED_VALUE"""),2)</f>
        <v>2</v>
      </c>
      <c r="H1077" s="206"/>
      <c r="I1077" s="206"/>
      <c r="J1077" s="206"/>
      <c r="K1077" s="206"/>
      <c r="L1077" s="206" t="str">
        <v/>
      </c>
      <c r="M1077" s="206" t="str">
        <v/>
      </c>
    </row>
    <row r="1078" spans="1:13" ht="14.4">
      <c r="A1078" s="199" t="str">
        <f ca="1">IFERROR(__xludf.DUMMYFUNCTION("""COMPUTED_VALUE"""),"KG")</f>
        <v>KG</v>
      </c>
      <c r="B1078" s="207" t="str">
        <f ca="1">IFERROR(__xludf.DUMMYFUNCTION("""COMPUTED_VALUE"""),"Kieran Salerno")</f>
        <v>Kieran Salerno</v>
      </c>
      <c r="C1078" s="199">
        <f ca="1">IFERROR(__xludf.DUMMYFUNCTION("""COMPUTED_VALUE"""),8)</f>
        <v>8</v>
      </c>
      <c r="D1078" s="199" t="str">
        <f ca="1">IFERROR(__xludf.DUMMYFUNCTION("""COMPUTED_VALUE"""),"B")</f>
        <v>B</v>
      </c>
      <c r="E1078" s="202" t="str">
        <f ca="1">IFERROR(__xludf.DUMMYFUNCTION("""COMPUTED_VALUE"""),"F")</f>
        <v>F</v>
      </c>
      <c r="F1078" s="202" t="str">
        <f ca="1">IFERROR(__xludf.DUMMYFUNCTION("""COMPUTED_VALUE"""),"J")</f>
        <v>J</v>
      </c>
      <c r="G1078" s="202">
        <f ca="1">IFERROR(__xludf.DUMMYFUNCTION("""COMPUTED_VALUE"""),2)</f>
        <v>2</v>
      </c>
      <c r="H1078" s="208"/>
      <c r="I1078" s="208"/>
      <c r="J1078" s="208"/>
      <c r="K1078" s="208"/>
      <c r="L1078" s="208" t="str">
        <v/>
      </c>
      <c r="M1078" s="208" t="str">
        <v/>
      </c>
    </row>
    <row r="1079" spans="1:13" ht="14.4">
      <c r="A1079" s="199" t="str">
        <f ca="1">IFERROR(__xludf.DUMMYFUNCTION("""COMPUTED_VALUE"""),"KG")</f>
        <v>KG</v>
      </c>
      <c r="B1079" s="207" t="str">
        <f ca="1">IFERROR(__xludf.DUMMYFUNCTION("""COMPUTED_VALUE"""),"Leandro Cantua")</f>
        <v>Leandro Cantua</v>
      </c>
      <c r="C1079" s="199">
        <f ca="1">IFERROR(__xludf.DUMMYFUNCTION("""COMPUTED_VALUE"""),9)</f>
        <v>9</v>
      </c>
      <c r="D1079" s="199" t="str">
        <f ca="1">IFERROR(__xludf.DUMMYFUNCTION("""COMPUTED_VALUE"""),"B")</f>
        <v>B</v>
      </c>
      <c r="E1079" s="202" t="str">
        <f ca="1">IFERROR(__xludf.DUMMYFUNCTION("""COMPUTED_VALUE"""),"F")</f>
        <v>F</v>
      </c>
      <c r="F1079" s="202" t="str">
        <f ca="1">IFERROR(__xludf.DUMMYFUNCTION("""COMPUTED_VALUE"""),"J")</f>
        <v>J</v>
      </c>
      <c r="G1079" s="202">
        <f ca="1">IFERROR(__xludf.DUMMYFUNCTION("""COMPUTED_VALUE"""),2)</f>
        <v>2</v>
      </c>
      <c r="H1079" s="208"/>
      <c r="I1079" s="208"/>
      <c r="J1079" s="208"/>
      <c r="K1079" s="208"/>
      <c r="L1079" s="208" t="str">
        <v/>
      </c>
      <c r="M1079" s="208" t="str">
        <v/>
      </c>
    </row>
    <row r="1080" spans="1:13" ht="14.4">
      <c r="A1080" s="199" t="str">
        <f ca="1">IFERROR(__xludf.DUMMYFUNCTION("""COMPUTED_VALUE"""),"KG")</f>
        <v>KG</v>
      </c>
      <c r="B1080" s="207" t="str">
        <f ca="1">IFERROR(__xludf.DUMMYFUNCTION("""COMPUTED_VALUE"""),"Lorenzo Moreno")</f>
        <v>Lorenzo Moreno</v>
      </c>
      <c r="C1080" s="199">
        <f ca="1">IFERROR(__xludf.DUMMYFUNCTION("""COMPUTED_VALUE"""),6)</f>
        <v>6</v>
      </c>
      <c r="D1080" s="199" t="str">
        <f ca="1">IFERROR(__xludf.DUMMYFUNCTION("""COMPUTED_VALUE"""),"B")</f>
        <v>B</v>
      </c>
      <c r="E1080" s="202" t="str">
        <f ca="1">IFERROR(__xludf.DUMMYFUNCTION("""COMPUTED_VALUE"""),"F")</f>
        <v>F</v>
      </c>
      <c r="F1080" s="202" t="str">
        <f ca="1">IFERROR(__xludf.DUMMYFUNCTION("""COMPUTED_VALUE"""),"J")</f>
        <v>J</v>
      </c>
      <c r="G1080" s="202">
        <f ca="1">IFERROR(__xludf.DUMMYFUNCTION("""COMPUTED_VALUE"""),2)</f>
        <v>2</v>
      </c>
      <c r="H1080" s="206"/>
      <c r="I1080" s="206"/>
      <c r="J1080" s="206"/>
      <c r="K1080" s="206"/>
      <c r="L1080" s="206" t="str">
        <v/>
      </c>
      <c r="M1080" s="206" t="str">
        <v/>
      </c>
    </row>
    <row r="1081" spans="1:13" ht="14.4">
      <c r="A1081" s="199" t="str">
        <f ca="1">IFERROR(__xludf.DUMMYFUNCTION("""COMPUTED_VALUE"""),"KG")</f>
        <v>KG</v>
      </c>
      <c r="B1081" s="207" t="str">
        <f ca="1">IFERROR(__xludf.DUMMYFUNCTION("""COMPUTED_VALUE"""),"Lucas Moreno")</f>
        <v>Lucas Moreno</v>
      </c>
      <c r="C1081" s="199">
        <f ca="1">IFERROR(__xludf.DUMMYFUNCTION("""COMPUTED_VALUE"""),9)</f>
        <v>9</v>
      </c>
      <c r="D1081" s="199" t="str">
        <f ca="1">IFERROR(__xludf.DUMMYFUNCTION("""COMPUTED_VALUE"""),"B")</f>
        <v>B</v>
      </c>
      <c r="E1081" s="202" t="str">
        <f ca="1">IFERROR(__xludf.DUMMYFUNCTION("""COMPUTED_VALUE"""),"F")</f>
        <v>F</v>
      </c>
      <c r="F1081" s="202" t="str">
        <f ca="1">IFERROR(__xludf.DUMMYFUNCTION("""COMPUTED_VALUE"""),"J")</f>
        <v>J</v>
      </c>
      <c r="G1081" s="202">
        <f ca="1">IFERROR(__xludf.DUMMYFUNCTION("""COMPUTED_VALUE"""),2)</f>
        <v>2</v>
      </c>
      <c r="H1081" s="206"/>
      <c r="I1081" s="206">
        <v>50.9</v>
      </c>
      <c r="J1081" s="206"/>
      <c r="K1081" s="206" t="s">
        <v>121</v>
      </c>
      <c r="L1081" s="206" t="str">
        <v xml:space="preserve"> 50.9</v>
      </c>
      <c r="M1081" s="206" t="str">
        <v/>
      </c>
    </row>
    <row r="1082" spans="1:13" ht="14.4">
      <c r="A1082" s="199" t="str">
        <f ca="1">IFERROR(__xludf.DUMMYFUNCTION("""COMPUTED_VALUE"""),"KG")</f>
        <v>KG</v>
      </c>
      <c r="B1082" s="207" t="str">
        <f ca="1">IFERROR(__xludf.DUMMYFUNCTION("""COMPUTED_VALUE"""),"Nicholas Scannapieco")</f>
        <v>Nicholas Scannapieco</v>
      </c>
      <c r="C1082" s="199">
        <f ca="1">IFERROR(__xludf.DUMMYFUNCTION("""COMPUTED_VALUE"""),9)</f>
        <v>9</v>
      </c>
      <c r="D1082" s="199" t="str">
        <f ca="1">IFERROR(__xludf.DUMMYFUNCTION("""COMPUTED_VALUE"""),"B")</f>
        <v>B</v>
      </c>
      <c r="E1082" s="202" t="str">
        <f ca="1">IFERROR(__xludf.DUMMYFUNCTION("""COMPUTED_VALUE"""),"F")</f>
        <v>F</v>
      </c>
      <c r="F1082" s="202" t="str">
        <f ca="1">IFERROR(__xludf.DUMMYFUNCTION("""COMPUTED_VALUE"""),"J")</f>
        <v>J</v>
      </c>
      <c r="G1082" s="202">
        <f ca="1">IFERROR(__xludf.DUMMYFUNCTION("""COMPUTED_VALUE"""),2)</f>
        <v>2</v>
      </c>
      <c r="H1082" s="208"/>
      <c r="I1082" s="208"/>
      <c r="J1082" s="208"/>
      <c r="K1082" s="208"/>
      <c r="L1082" s="208" t="str">
        <v/>
      </c>
      <c r="M1082" s="208" t="str">
        <v/>
      </c>
    </row>
    <row r="1083" spans="1:13" ht="14.4">
      <c r="A1083" s="199" t="str">
        <f ca="1">IFERROR(__xludf.DUMMYFUNCTION("""COMPUTED_VALUE"""),"KG")</f>
        <v>KG</v>
      </c>
      <c r="B1083" s="207" t="str">
        <f ca="1">IFERROR(__xludf.DUMMYFUNCTION("""COMPUTED_VALUE"""),"Reagan Diaz")</f>
        <v>Reagan Diaz</v>
      </c>
      <c r="C1083" s="199">
        <f ca="1">IFERROR(__xludf.DUMMYFUNCTION("""COMPUTED_VALUE"""),10)</f>
        <v>10</v>
      </c>
      <c r="D1083" s="199" t="str">
        <f ca="1">IFERROR(__xludf.DUMMYFUNCTION("""COMPUTED_VALUE"""),"B")</f>
        <v>B</v>
      </c>
      <c r="E1083" s="202" t="str">
        <f ca="1">IFERROR(__xludf.DUMMYFUNCTION("""COMPUTED_VALUE"""),"F")</f>
        <v>F</v>
      </c>
      <c r="F1083" s="202" t="str">
        <f ca="1">IFERROR(__xludf.DUMMYFUNCTION("""COMPUTED_VALUE"""),"J")</f>
        <v>J</v>
      </c>
      <c r="G1083" s="202">
        <f ca="1">IFERROR(__xludf.DUMMYFUNCTION("""COMPUTED_VALUE"""),2)</f>
        <v>2</v>
      </c>
      <c r="H1083" s="208"/>
      <c r="I1083" s="208">
        <v>71.2</v>
      </c>
      <c r="J1083" s="208"/>
      <c r="K1083" s="208" t="s">
        <v>123</v>
      </c>
      <c r="L1083" s="208" t="str">
        <v xml:space="preserve"> -71.2</v>
      </c>
      <c r="M1083" s="208" t="str">
        <v>^</v>
      </c>
    </row>
    <row r="1084" spans="1:13" ht="14.4">
      <c r="A1084" s="199" t="str">
        <f ca="1">IFERROR(__xludf.DUMMYFUNCTION("""COMPUTED_VALUE"""),"KG")</f>
        <v>KG</v>
      </c>
      <c r="B1084" s="207" t="str">
        <f ca="1">IFERROR(__xludf.DUMMYFUNCTION("""COMPUTED_VALUE"""),"Turner Nguyen")</f>
        <v>Turner Nguyen</v>
      </c>
      <c r="C1084" s="199">
        <f ca="1">IFERROR(__xludf.DUMMYFUNCTION("""COMPUTED_VALUE"""),7)</f>
        <v>7</v>
      </c>
      <c r="D1084" s="199" t="str">
        <f ca="1">IFERROR(__xludf.DUMMYFUNCTION("""COMPUTED_VALUE"""),"B")</f>
        <v>B</v>
      </c>
      <c r="E1084" s="202" t="str">
        <f ca="1">IFERROR(__xludf.DUMMYFUNCTION("""COMPUTED_VALUE"""),"F")</f>
        <v>F</v>
      </c>
      <c r="F1084" s="202" t="str">
        <f ca="1">IFERROR(__xludf.DUMMYFUNCTION("""COMPUTED_VALUE"""),"J")</f>
        <v>J</v>
      </c>
      <c r="G1084" s="202">
        <f ca="1">IFERROR(__xludf.DUMMYFUNCTION("""COMPUTED_VALUE"""),2)</f>
        <v>2</v>
      </c>
      <c r="H1084" s="206"/>
      <c r="I1084" s="206"/>
      <c r="J1084" s="206"/>
      <c r="K1084" s="206"/>
      <c r="L1084" s="206" t="str">
        <v/>
      </c>
      <c r="M1084" s="206" t="str">
        <v/>
      </c>
    </row>
    <row r="1085" spans="1:13" ht="14.4">
      <c r="A1085" s="199" t="str">
        <f ca="1">IFERROR(__xludf.DUMMYFUNCTION("""COMPUTED_VALUE"""),"KG")</f>
        <v>KG</v>
      </c>
      <c r="B1085" s="207" t="str">
        <f ca="1">IFERROR(__xludf.DUMMYFUNCTION("""COMPUTED_VALUE"""),"William Gregory")</f>
        <v>William Gregory</v>
      </c>
      <c r="C1085" s="199">
        <f ca="1">IFERROR(__xludf.DUMMYFUNCTION("""COMPUTED_VALUE"""),6)</f>
        <v>6</v>
      </c>
      <c r="D1085" s="199" t="str">
        <f ca="1">IFERROR(__xludf.DUMMYFUNCTION("""COMPUTED_VALUE"""),"B")</f>
        <v>B</v>
      </c>
      <c r="E1085" s="202" t="str">
        <f ca="1">IFERROR(__xludf.DUMMYFUNCTION("""COMPUTED_VALUE"""),"F")</f>
        <v>F</v>
      </c>
      <c r="F1085" s="202" t="str">
        <f ca="1">IFERROR(__xludf.DUMMYFUNCTION("""COMPUTED_VALUE"""),"J")</f>
        <v>J</v>
      </c>
      <c r="G1085" s="202">
        <f ca="1">IFERROR(__xludf.DUMMYFUNCTION("""COMPUTED_VALUE"""),2)</f>
        <v>2</v>
      </c>
      <c r="H1085" s="208"/>
      <c r="I1085" s="208"/>
      <c r="J1085" s="208"/>
      <c r="K1085" s="208"/>
      <c r="L1085" s="208" t="str">
        <v/>
      </c>
      <c r="M1085" s="208" t="str">
        <v/>
      </c>
    </row>
    <row r="1086" spans="1:13" ht="14.4">
      <c r="A1086" s="199" t="str">
        <f ca="1">IFERROR(__xludf.DUMMYFUNCTION("""COMPUTED_VALUE"""),"KG")</f>
        <v>KG</v>
      </c>
      <c r="B1086" s="207" t="str">
        <f ca="1">IFERROR(__xludf.DUMMYFUNCTION("""COMPUTED_VALUE"""),"Amelia Cafer")</f>
        <v>Amelia Cafer</v>
      </c>
      <c r="C1086" s="199">
        <f ca="1">IFERROR(__xludf.DUMMYFUNCTION("""COMPUTED_VALUE"""),9)</f>
        <v>9</v>
      </c>
      <c r="D1086" s="199" t="str">
        <f ca="1">IFERROR(__xludf.DUMMYFUNCTION("""COMPUTED_VALUE"""),"G")</f>
        <v>G</v>
      </c>
      <c r="E1086" s="202" t="str">
        <f ca="1">IFERROR(__xludf.DUMMYFUNCTION("""COMPUTED_VALUE"""),"F")</f>
        <v>F</v>
      </c>
      <c r="F1086" s="202" t="str">
        <f ca="1">IFERROR(__xludf.DUMMYFUNCTION("""COMPUTED_VALUE"""),"J")</f>
        <v>J</v>
      </c>
      <c r="G1086" s="202">
        <f ca="1">IFERROR(__xludf.DUMMYFUNCTION("""COMPUTED_VALUE"""),2)</f>
        <v>2</v>
      </c>
      <c r="H1086" s="208">
        <v>42.2</v>
      </c>
      <c r="I1086" s="208"/>
      <c r="J1086" s="208" t="s">
        <v>121</v>
      </c>
      <c r="K1086" s="208"/>
      <c r="L1086" s="208" t="str">
        <v xml:space="preserve"> 42.2</v>
      </c>
      <c r="M1086" s="208" t="str">
        <v/>
      </c>
    </row>
    <row r="1087" spans="1:13" ht="14.4">
      <c r="A1087" s="199" t="str">
        <f ca="1">IFERROR(__xludf.DUMMYFUNCTION("""COMPUTED_VALUE"""),"KG")</f>
        <v>KG</v>
      </c>
      <c r="B1087" s="207" t="str">
        <f ca="1">IFERROR(__xludf.DUMMYFUNCTION("""COMPUTED_VALUE"""),"Caroline Van Order")</f>
        <v>Caroline Van Order</v>
      </c>
      <c r="C1087" s="199">
        <f ca="1">IFERROR(__xludf.DUMMYFUNCTION("""COMPUTED_VALUE"""),8)</f>
        <v>8</v>
      </c>
      <c r="D1087" s="199" t="str">
        <f ca="1">IFERROR(__xludf.DUMMYFUNCTION("""COMPUTED_VALUE"""),"G")</f>
        <v>G</v>
      </c>
      <c r="E1087" s="202" t="str">
        <f ca="1">IFERROR(__xludf.DUMMYFUNCTION("""COMPUTED_VALUE"""),"F")</f>
        <v>F</v>
      </c>
      <c r="F1087" s="202" t="str">
        <f ca="1">IFERROR(__xludf.DUMMYFUNCTION("""COMPUTED_VALUE"""),"J")</f>
        <v>J</v>
      </c>
      <c r="G1087" s="202">
        <f ca="1">IFERROR(__xludf.DUMMYFUNCTION("""COMPUTED_VALUE"""),2)</f>
        <v>2</v>
      </c>
      <c r="H1087" s="206">
        <v>46.65</v>
      </c>
      <c r="I1087" s="206"/>
      <c r="J1087" s="206" t="s">
        <v>121</v>
      </c>
      <c r="K1087" s="206"/>
      <c r="L1087" s="206" t="str">
        <v xml:space="preserve"> 46.65</v>
      </c>
      <c r="M1087" s="206" t="str">
        <v/>
      </c>
    </row>
    <row r="1088" spans="1:13" ht="14.4">
      <c r="A1088" s="199" t="str">
        <f ca="1">IFERROR(__xludf.DUMMYFUNCTION("""COMPUTED_VALUE"""),"KG")</f>
        <v>KG</v>
      </c>
      <c r="B1088" s="207" t="str">
        <f ca="1">IFERROR(__xludf.DUMMYFUNCTION("""COMPUTED_VALUE"""),"Elizabeth Gulotta")</f>
        <v>Elizabeth Gulotta</v>
      </c>
      <c r="C1088" s="199">
        <f ca="1">IFERROR(__xludf.DUMMYFUNCTION("""COMPUTED_VALUE"""),8)</f>
        <v>8</v>
      </c>
      <c r="D1088" s="199" t="str">
        <f ca="1">IFERROR(__xludf.DUMMYFUNCTION("""COMPUTED_VALUE"""),"G")</f>
        <v>G</v>
      </c>
      <c r="E1088" s="202" t="str">
        <f ca="1">IFERROR(__xludf.DUMMYFUNCTION("""COMPUTED_VALUE"""),"F")</f>
        <v>F</v>
      </c>
      <c r="F1088" s="202" t="str">
        <f ca="1">IFERROR(__xludf.DUMMYFUNCTION("""COMPUTED_VALUE"""),"J")</f>
        <v>J</v>
      </c>
      <c r="G1088" s="202">
        <f ca="1">IFERROR(__xludf.DUMMYFUNCTION("""COMPUTED_VALUE"""),2)</f>
        <v>2</v>
      </c>
      <c r="H1088" s="208"/>
      <c r="I1088" s="208"/>
      <c r="J1088" s="208"/>
      <c r="K1088" s="208"/>
      <c r="L1088" s="208" t="str">
        <v/>
      </c>
      <c r="M1088" s="208" t="str">
        <v/>
      </c>
    </row>
    <row r="1089" spans="1:13" ht="14.4">
      <c r="A1089" s="199" t="str">
        <f ca="1">IFERROR(__xludf.DUMMYFUNCTION("""COMPUTED_VALUE"""),"KG")</f>
        <v>KG</v>
      </c>
      <c r="B1089" s="207" t="str">
        <f ca="1">IFERROR(__xludf.DUMMYFUNCTION("""COMPUTED_VALUE"""),"Hadley Nguyen")</f>
        <v>Hadley Nguyen</v>
      </c>
      <c r="C1089" s="199">
        <f ca="1">IFERROR(__xludf.DUMMYFUNCTION("""COMPUTED_VALUE"""),5)</f>
        <v>5</v>
      </c>
      <c r="D1089" s="199" t="str">
        <f ca="1">IFERROR(__xludf.DUMMYFUNCTION("""COMPUTED_VALUE"""),"G")</f>
        <v>G</v>
      </c>
      <c r="E1089" s="202" t="str">
        <f ca="1">IFERROR(__xludf.DUMMYFUNCTION("""COMPUTED_VALUE"""),"F")</f>
        <v>F</v>
      </c>
      <c r="F1089" s="202" t="str">
        <f ca="1">IFERROR(__xludf.DUMMYFUNCTION("""COMPUTED_VALUE"""),"J")</f>
        <v>J</v>
      </c>
      <c r="G1089" s="202">
        <f ca="1">IFERROR(__xludf.DUMMYFUNCTION("""COMPUTED_VALUE"""),2)</f>
        <v>2</v>
      </c>
      <c r="H1089" s="208"/>
      <c r="I1089" s="208"/>
      <c r="J1089" s="208"/>
      <c r="K1089" s="208"/>
      <c r="L1089" s="208" t="str">
        <v/>
      </c>
      <c r="M1089" s="208" t="str">
        <v/>
      </c>
    </row>
    <row r="1090" spans="1:13" ht="14.4">
      <c r="A1090" s="199" t="str">
        <f ca="1">IFERROR(__xludf.DUMMYFUNCTION("""COMPUTED_VALUE"""),"KG")</f>
        <v>KG</v>
      </c>
      <c r="B1090" s="207" t="str">
        <f ca="1">IFERROR(__xludf.DUMMYFUNCTION("""COMPUTED_VALUE"""),"Holly Denniston")</f>
        <v>Holly Denniston</v>
      </c>
      <c r="C1090" s="199">
        <f ca="1">IFERROR(__xludf.DUMMYFUNCTION("""COMPUTED_VALUE"""),7)</f>
        <v>7</v>
      </c>
      <c r="D1090" s="199" t="str">
        <f ca="1">IFERROR(__xludf.DUMMYFUNCTION("""COMPUTED_VALUE"""),"G")</f>
        <v>G</v>
      </c>
      <c r="E1090" s="202" t="str">
        <f ca="1">IFERROR(__xludf.DUMMYFUNCTION("""COMPUTED_VALUE"""),"F")</f>
        <v>F</v>
      </c>
      <c r="F1090" s="202" t="str">
        <f ca="1">IFERROR(__xludf.DUMMYFUNCTION("""COMPUTED_VALUE"""),"J")</f>
        <v>J</v>
      </c>
      <c r="G1090" s="202">
        <f ca="1">IFERROR(__xludf.DUMMYFUNCTION("""COMPUTED_VALUE"""),2)</f>
        <v>2</v>
      </c>
      <c r="H1090" s="206"/>
      <c r="I1090" s="206"/>
      <c r="J1090" s="206"/>
      <c r="K1090" s="206"/>
      <c r="L1090" s="206" t="str">
        <v/>
      </c>
      <c r="M1090" s="206" t="str">
        <v/>
      </c>
    </row>
    <row r="1091" spans="1:13" ht="14.4">
      <c r="A1091" s="199" t="str">
        <f ca="1">IFERROR(__xludf.DUMMYFUNCTION("""COMPUTED_VALUE"""),"KG")</f>
        <v>KG</v>
      </c>
      <c r="B1091" s="207" t="str">
        <f ca="1">IFERROR(__xludf.DUMMYFUNCTION("""COMPUTED_VALUE"""),"Julia Denniston")</f>
        <v>Julia Denniston</v>
      </c>
      <c r="C1091" s="199">
        <f ca="1">IFERROR(__xludf.DUMMYFUNCTION("""COMPUTED_VALUE"""),8)</f>
        <v>8</v>
      </c>
      <c r="D1091" s="199" t="str">
        <f ca="1">IFERROR(__xludf.DUMMYFUNCTION("""COMPUTED_VALUE"""),"G")</f>
        <v>G</v>
      </c>
      <c r="E1091" s="202" t="str">
        <f ca="1">IFERROR(__xludf.DUMMYFUNCTION("""COMPUTED_VALUE"""),"F")</f>
        <v>F</v>
      </c>
      <c r="F1091" s="202" t="str">
        <f ca="1">IFERROR(__xludf.DUMMYFUNCTION("""COMPUTED_VALUE"""),"J")</f>
        <v>J</v>
      </c>
      <c r="G1091" s="202">
        <f ca="1">IFERROR(__xludf.DUMMYFUNCTION("""COMPUTED_VALUE"""),2)</f>
        <v>2</v>
      </c>
      <c r="H1091" s="206"/>
      <c r="I1091" s="206"/>
      <c r="J1091" s="206"/>
      <c r="K1091" s="206"/>
      <c r="L1091" s="206" t="str">
        <v/>
      </c>
      <c r="M1091" s="206" t="str">
        <v/>
      </c>
    </row>
    <row r="1092" spans="1:13" ht="14.4">
      <c r="A1092" s="199" t="str">
        <f ca="1">IFERROR(__xludf.DUMMYFUNCTION("""COMPUTED_VALUE"""),"KG")</f>
        <v>KG</v>
      </c>
      <c r="B1092" s="207" t="str">
        <f ca="1">IFERROR(__xludf.DUMMYFUNCTION("""COMPUTED_VALUE"""),"Kenly Badlam")</f>
        <v>Kenly Badlam</v>
      </c>
      <c r="C1092" s="199">
        <f ca="1">IFERROR(__xludf.DUMMYFUNCTION("""COMPUTED_VALUE"""),7)</f>
        <v>7</v>
      </c>
      <c r="D1092" s="199" t="str">
        <f ca="1">IFERROR(__xludf.DUMMYFUNCTION("""COMPUTED_VALUE"""),"G")</f>
        <v>G</v>
      </c>
      <c r="E1092" s="202" t="str">
        <f ca="1">IFERROR(__xludf.DUMMYFUNCTION("""COMPUTED_VALUE"""),"F")</f>
        <v>F</v>
      </c>
      <c r="F1092" s="202" t="str">
        <f ca="1">IFERROR(__xludf.DUMMYFUNCTION("""COMPUTED_VALUE"""),"J")</f>
        <v>J</v>
      </c>
      <c r="G1092" s="202">
        <f ca="1">IFERROR(__xludf.DUMMYFUNCTION("""COMPUTED_VALUE"""),2)</f>
        <v>2</v>
      </c>
      <c r="H1092" s="206"/>
      <c r="I1092" s="206"/>
      <c r="J1092" s="206"/>
      <c r="K1092" s="206"/>
      <c r="L1092" s="206" t="str">
        <v/>
      </c>
      <c r="M1092" s="206" t="str">
        <v/>
      </c>
    </row>
    <row r="1093" spans="1:13" ht="14.4">
      <c r="A1093" s="199" t="str">
        <f ca="1">IFERROR(__xludf.DUMMYFUNCTION("""COMPUTED_VALUE"""),"KG")</f>
        <v>KG</v>
      </c>
      <c r="B1093" s="207" t="str">
        <f ca="1">IFERROR(__xludf.DUMMYFUNCTION("""COMPUTED_VALUE"""),"Kira Bhasin")</f>
        <v>Kira Bhasin</v>
      </c>
      <c r="C1093" s="199">
        <f ca="1">IFERROR(__xludf.DUMMYFUNCTION("""COMPUTED_VALUE"""),8)</f>
        <v>8</v>
      </c>
      <c r="D1093" s="199" t="str">
        <f ca="1">IFERROR(__xludf.DUMMYFUNCTION("""COMPUTED_VALUE"""),"G")</f>
        <v>G</v>
      </c>
      <c r="E1093" s="202" t="str">
        <f ca="1">IFERROR(__xludf.DUMMYFUNCTION("""COMPUTED_VALUE"""),"F")</f>
        <v>F</v>
      </c>
      <c r="F1093" s="202" t="str">
        <f ca="1">IFERROR(__xludf.DUMMYFUNCTION("""COMPUTED_VALUE"""),"J")</f>
        <v>J</v>
      </c>
      <c r="G1093" s="202">
        <f ca="1">IFERROR(__xludf.DUMMYFUNCTION("""COMPUTED_VALUE"""),2)</f>
        <v>2</v>
      </c>
      <c r="H1093" s="208"/>
      <c r="I1093" s="208"/>
      <c r="J1093" s="208"/>
      <c r="K1093" s="208"/>
      <c r="L1093" s="208" t="str">
        <v/>
      </c>
      <c r="M1093" s="208" t="str">
        <v/>
      </c>
    </row>
    <row r="1094" spans="1:13" ht="14.4">
      <c r="A1094" s="199" t="str">
        <f ca="1">IFERROR(__xludf.DUMMYFUNCTION("""COMPUTED_VALUE"""),"KG")</f>
        <v>KG</v>
      </c>
      <c r="B1094" s="207" t="str">
        <f ca="1">IFERROR(__xludf.DUMMYFUNCTION("""COMPUTED_VALUE"""),"Morgan Gelfond")</f>
        <v>Morgan Gelfond</v>
      </c>
      <c r="C1094" s="199">
        <f ca="1">IFERROR(__xludf.DUMMYFUNCTION("""COMPUTED_VALUE"""),6)</f>
        <v>6</v>
      </c>
      <c r="D1094" s="199" t="str">
        <f ca="1">IFERROR(__xludf.DUMMYFUNCTION("""COMPUTED_VALUE"""),"G")</f>
        <v>G</v>
      </c>
      <c r="E1094" s="202" t="str">
        <f ca="1">IFERROR(__xludf.DUMMYFUNCTION("""COMPUTED_VALUE"""),"F")</f>
        <v>F</v>
      </c>
      <c r="F1094" s="202" t="str">
        <f ca="1">IFERROR(__xludf.DUMMYFUNCTION("""COMPUTED_VALUE"""),"J")</f>
        <v>J</v>
      </c>
      <c r="G1094" s="202">
        <f ca="1">IFERROR(__xludf.DUMMYFUNCTION("""COMPUTED_VALUE"""),2)</f>
        <v>2</v>
      </c>
      <c r="H1094" s="208"/>
      <c r="I1094" s="208"/>
      <c r="J1094" s="208"/>
      <c r="K1094" s="208"/>
      <c r="L1094" s="208" t="str">
        <v/>
      </c>
      <c r="M1094" s="208" t="str">
        <v/>
      </c>
    </row>
    <row r="1095" spans="1:13" ht="14.4">
      <c r="A1095" s="199" t="str">
        <f ca="1">IFERROR(__xludf.DUMMYFUNCTION("""COMPUTED_VALUE"""),"KG")</f>
        <v>KG</v>
      </c>
      <c r="B1095" s="207" t="str">
        <f ca="1">IFERROR(__xludf.DUMMYFUNCTION("""COMPUTED_VALUE"""),"Norah Wittman")</f>
        <v>Norah Wittman</v>
      </c>
      <c r="C1095" s="199">
        <f ca="1">IFERROR(__xludf.DUMMYFUNCTION("""COMPUTED_VALUE"""),7)</f>
        <v>7</v>
      </c>
      <c r="D1095" s="199" t="str">
        <f ca="1">IFERROR(__xludf.DUMMYFUNCTION("""COMPUTED_VALUE"""),"G")</f>
        <v>G</v>
      </c>
      <c r="E1095" s="202" t="str">
        <f ca="1">IFERROR(__xludf.DUMMYFUNCTION("""COMPUTED_VALUE"""),"F")</f>
        <v>F</v>
      </c>
      <c r="F1095" s="202" t="str">
        <f ca="1">IFERROR(__xludf.DUMMYFUNCTION("""COMPUTED_VALUE"""),"J")</f>
        <v>J</v>
      </c>
      <c r="G1095" s="202">
        <f ca="1">IFERROR(__xludf.DUMMYFUNCTION("""COMPUTED_VALUE"""),2)</f>
        <v>2</v>
      </c>
      <c r="H1095" s="208">
        <v>38.200000000000003</v>
      </c>
      <c r="I1095" s="208"/>
      <c r="J1095" s="208" t="s">
        <v>121</v>
      </c>
      <c r="K1095" s="208"/>
      <c r="L1095" s="208" t="str">
        <v xml:space="preserve"> 38.2</v>
      </c>
      <c r="M1095" s="208" t="str">
        <v/>
      </c>
    </row>
    <row r="1096" spans="1:13" ht="14.4">
      <c r="A1096" s="199" t="str">
        <f ca="1">IFERROR(__xludf.DUMMYFUNCTION("""COMPUTED_VALUE"""),"KG")</f>
        <v>KG</v>
      </c>
      <c r="B1096" s="207" t="str">
        <f ca="1">IFERROR(__xludf.DUMMYFUNCTION("""COMPUTED_VALUE"""),"Sloane Nguyen")</f>
        <v>Sloane Nguyen</v>
      </c>
      <c r="C1096" s="199">
        <f ca="1">IFERROR(__xludf.DUMMYFUNCTION("""COMPUTED_VALUE"""),7)</f>
        <v>7</v>
      </c>
      <c r="D1096" s="199" t="str">
        <f ca="1">IFERROR(__xludf.DUMMYFUNCTION("""COMPUTED_VALUE"""),"G")</f>
        <v>G</v>
      </c>
      <c r="E1096" s="202" t="str">
        <f ca="1">IFERROR(__xludf.DUMMYFUNCTION("""COMPUTED_VALUE"""),"F")</f>
        <v>F</v>
      </c>
      <c r="F1096" s="202" t="str">
        <f ca="1">IFERROR(__xludf.DUMMYFUNCTION("""COMPUTED_VALUE"""),"J")</f>
        <v>J</v>
      </c>
      <c r="G1096" s="202">
        <f ca="1">IFERROR(__xludf.DUMMYFUNCTION("""COMPUTED_VALUE"""),2)</f>
        <v>2</v>
      </c>
      <c r="H1096" s="208">
        <v>40</v>
      </c>
      <c r="I1096" s="208"/>
      <c r="J1096" s="208" t="s">
        <v>121</v>
      </c>
      <c r="K1096" s="208"/>
      <c r="L1096" s="208" t="str">
        <v xml:space="preserve"> 40</v>
      </c>
      <c r="M1096" s="208" t="str">
        <v/>
      </c>
    </row>
    <row r="1097" spans="1:13" ht="14.4">
      <c r="A1097" s="199" t="str">
        <f ca="1">IFERROR(__xludf.DUMMYFUNCTION("""COMPUTED_VALUE"""),"KG")</f>
        <v>KG</v>
      </c>
      <c r="B1097" s="207" t="str">
        <f ca="1">IFERROR(__xludf.DUMMYFUNCTION("""COMPUTED_VALUE"""),"Adam Nasr")</f>
        <v>Adam Nasr</v>
      </c>
      <c r="C1097" s="199">
        <f ca="1">IFERROR(__xludf.DUMMYFUNCTION("""COMPUTED_VALUE"""),13)</f>
        <v>13</v>
      </c>
      <c r="D1097" s="199" t="str">
        <f ca="1">IFERROR(__xludf.DUMMYFUNCTION("""COMPUTED_VALUE"""),"B")</f>
        <v>B</v>
      </c>
      <c r="E1097" s="202" t="str">
        <f ca="1">IFERROR(__xludf.DUMMYFUNCTION("""COMPUTED_VALUE"""),"I")</f>
        <v>I</v>
      </c>
      <c r="F1097" s="202" t="str">
        <f ca="1">IFERROR(__xludf.DUMMYFUNCTION("""COMPUTED_VALUE"""),"S")</f>
        <v>S</v>
      </c>
      <c r="G1097" s="202">
        <f ca="1">IFERROR(__xludf.DUMMYFUNCTION("""COMPUTED_VALUE"""),2)</f>
        <v>2</v>
      </c>
      <c r="H1097" s="206"/>
      <c r="I1097" s="206">
        <v>85.4</v>
      </c>
      <c r="J1097" s="206"/>
      <c r="K1097" s="206" t="s">
        <v>121</v>
      </c>
      <c r="L1097" s="206" t="str">
        <v xml:space="preserve"> 85.4</v>
      </c>
      <c r="M1097" s="206" t="str">
        <v/>
      </c>
    </row>
    <row r="1098" spans="1:13" ht="14.4">
      <c r="A1098" s="199" t="str">
        <f ca="1">IFERROR(__xludf.DUMMYFUNCTION("""COMPUTED_VALUE"""),"KG")</f>
        <v>KG</v>
      </c>
      <c r="B1098" s="207" t="str">
        <f ca="1">IFERROR(__xludf.DUMMYFUNCTION("""COMPUTED_VALUE"""),"Adan Maradiaga")</f>
        <v>Adan Maradiaga</v>
      </c>
      <c r="C1098" s="199">
        <f ca="1">IFERROR(__xludf.DUMMYFUNCTION("""COMPUTED_VALUE"""),13)</f>
        <v>13</v>
      </c>
      <c r="D1098" s="199" t="str">
        <f ca="1">IFERROR(__xludf.DUMMYFUNCTION("""COMPUTED_VALUE"""),"B")</f>
        <v>B</v>
      </c>
      <c r="E1098" s="202" t="str">
        <f ca="1">IFERROR(__xludf.DUMMYFUNCTION("""COMPUTED_VALUE"""),"I")</f>
        <v>I</v>
      </c>
      <c r="F1098" s="202" t="str">
        <f ca="1">IFERROR(__xludf.DUMMYFUNCTION("""COMPUTED_VALUE"""),"S")</f>
        <v>S</v>
      </c>
      <c r="G1098" s="202">
        <f ca="1">IFERROR(__xludf.DUMMYFUNCTION("""COMPUTED_VALUE"""),2)</f>
        <v>2</v>
      </c>
      <c r="H1098" s="208"/>
      <c r="I1098" s="208"/>
      <c r="J1098" s="208"/>
      <c r="K1098" s="208"/>
      <c r="L1098" s="208" t="str">
        <v/>
      </c>
      <c r="M1098" s="208" t="str">
        <v/>
      </c>
    </row>
    <row r="1099" spans="1:13" ht="14.4">
      <c r="A1099" s="199" t="str">
        <f ca="1">IFERROR(__xludf.DUMMYFUNCTION("""COMPUTED_VALUE"""),"KG")</f>
        <v>KG</v>
      </c>
      <c r="B1099" s="207" t="str">
        <f ca="1">IFERROR(__xludf.DUMMYFUNCTION("""COMPUTED_VALUE"""),"Grady Smith")</f>
        <v>Grady Smith</v>
      </c>
      <c r="C1099" s="199">
        <f ca="1">IFERROR(__xludf.DUMMYFUNCTION("""COMPUTED_VALUE"""),14)</f>
        <v>14</v>
      </c>
      <c r="D1099" s="199" t="str">
        <f ca="1">IFERROR(__xludf.DUMMYFUNCTION("""COMPUTED_VALUE"""),"B")</f>
        <v>B</v>
      </c>
      <c r="E1099" s="202" t="str">
        <f ca="1">IFERROR(__xludf.DUMMYFUNCTION("""COMPUTED_VALUE"""),"I")</f>
        <v>I</v>
      </c>
      <c r="F1099" s="202" t="str">
        <f ca="1">IFERROR(__xludf.DUMMYFUNCTION("""COMPUTED_VALUE"""),"S")</f>
        <v>S</v>
      </c>
      <c r="G1099" s="202">
        <f ca="1">IFERROR(__xludf.DUMMYFUNCTION("""COMPUTED_VALUE"""),2)</f>
        <v>2</v>
      </c>
      <c r="H1099" s="206"/>
      <c r="I1099" s="206">
        <v>77.75</v>
      </c>
      <c r="J1099" s="206"/>
      <c r="K1099" s="206" t="s">
        <v>121</v>
      </c>
      <c r="L1099" s="206" t="str">
        <v xml:space="preserve"> 77.75</v>
      </c>
      <c r="M1099" s="206" t="str">
        <v/>
      </c>
    </row>
    <row r="1100" spans="1:13" ht="14.4">
      <c r="A1100" s="199" t="str">
        <f ca="1">IFERROR(__xludf.DUMMYFUNCTION("""COMPUTED_VALUE"""),"KG")</f>
        <v>KG</v>
      </c>
      <c r="B1100" s="207" t="str">
        <f ca="1">IFERROR(__xludf.DUMMYFUNCTION("""COMPUTED_VALUE"""),"Harrison Weinstock")</f>
        <v>Harrison Weinstock</v>
      </c>
      <c r="C1100" s="199">
        <f ca="1">IFERROR(__xludf.DUMMYFUNCTION("""COMPUTED_VALUE"""),14)</f>
        <v>14</v>
      </c>
      <c r="D1100" s="199" t="str">
        <f ca="1">IFERROR(__xludf.DUMMYFUNCTION("""COMPUTED_VALUE"""),"B")</f>
        <v>B</v>
      </c>
      <c r="E1100" s="202" t="str">
        <f ca="1">IFERROR(__xludf.DUMMYFUNCTION("""COMPUTED_VALUE"""),"I")</f>
        <v>I</v>
      </c>
      <c r="F1100" s="202" t="str">
        <f ca="1">IFERROR(__xludf.DUMMYFUNCTION("""COMPUTED_VALUE"""),"S")</f>
        <v>S</v>
      </c>
      <c r="G1100" s="202">
        <f ca="1">IFERROR(__xludf.DUMMYFUNCTION("""COMPUTED_VALUE"""),2)</f>
        <v>2</v>
      </c>
      <c r="H1100" s="208"/>
      <c r="I1100" s="208">
        <v>68.849999999999994</v>
      </c>
      <c r="J1100" s="208"/>
      <c r="K1100" s="208" t="s">
        <v>121</v>
      </c>
      <c r="L1100" s="208" t="str">
        <v xml:space="preserve"> 68.85</v>
      </c>
      <c r="M1100" s="208" t="str">
        <v/>
      </c>
    </row>
    <row r="1101" spans="1:13" ht="14.4">
      <c r="A1101" s="199" t="str">
        <f ca="1">IFERROR(__xludf.DUMMYFUNCTION("""COMPUTED_VALUE"""),"KG")</f>
        <v>KG</v>
      </c>
      <c r="B1101" s="207" t="str">
        <f ca="1">IFERROR(__xludf.DUMMYFUNCTION("""COMPUTED_VALUE"""),"Sean Memon")</f>
        <v>Sean Memon</v>
      </c>
      <c r="C1101" s="199">
        <f ca="1">IFERROR(__xludf.DUMMYFUNCTION("""COMPUTED_VALUE"""),14)</f>
        <v>14</v>
      </c>
      <c r="D1101" s="199" t="str">
        <f ca="1">IFERROR(__xludf.DUMMYFUNCTION("""COMPUTED_VALUE"""),"B")</f>
        <v>B</v>
      </c>
      <c r="E1101" s="202" t="str">
        <f ca="1">IFERROR(__xludf.DUMMYFUNCTION("""COMPUTED_VALUE"""),"I")</f>
        <v>I</v>
      </c>
      <c r="F1101" s="202" t="str">
        <f ca="1">IFERROR(__xludf.DUMMYFUNCTION("""COMPUTED_VALUE"""),"S")</f>
        <v>S</v>
      </c>
      <c r="G1101" s="202">
        <f ca="1">IFERROR(__xludf.DUMMYFUNCTION("""COMPUTED_VALUE"""),2)</f>
        <v>2</v>
      </c>
      <c r="H1101" s="208"/>
      <c r="I1101" s="208">
        <v>147.44999999999999</v>
      </c>
      <c r="J1101" s="208"/>
      <c r="K1101" s="208" t="s">
        <v>121</v>
      </c>
      <c r="L1101" s="208" t="str">
        <v xml:space="preserve"> 147.45</v>
      </c>
      <c r="M1101" s="208" t="str">
        <v/>
      </c>
    </row>
    <row r="1102" spans="1:13" ht="14.4">
      <c r="A1102" s="199" t="str">
        <f ca="1">IFERROR(__xludf.DUMMYFUNCTION("""COMPUTED_VALUE"""),"KG")</f>
        <v>KG</v>
      </c>
      <c r="B1102" s="207" t="str">
        <f ca="1">IFERROR(__xludf.DUMMYFUNCTION("""COMPUTED_VALUE"""),"Zach Maradiaga")</f>
        <v>Zach Maradiaga</v>
      </c>
      <c r="C1102" s="199">
        <f ca="1">IFERROR(__xludf.DUMMYFUNCTION("""COMPUTED_VALUE"""),13)</f>
        <v>13</v>
      </c>
      <c r="D1102" s="199" t="str">
        <f ca="1">IFERROR(__xludf.DUMMYFUNCTION("""COMPUTED_VALUE"""),"B")</f>
        <v>B</v>
      </c>
      <c r="E1102" s="202" t="str">
        <f ca="1">IFERROR(__xludf.DUMMYFUNCTION("""COMPUTED_VALUE"""),"I")</f>
        <v>I</v>
      </c>
      <c r="F1102" s="202" t="str">
        <f ca="1">IFERROR(__xludf.DUMMYFUNCTION("""COMPUTED_VALUE"""),"S")</f>
        <v>S</v>
      </c>
      <c r="G1102" s="202">
        <f ca="1">IFERROR(__xludf.DUMMYFUNCTION("""COMPUTED_VALUE"""),2)</f>
        <v>2</v>
      </c>
      <c r="H1102" s="208"/>
      <c r="I1102" s="208"/>
      <c r="J1102" s="208"/>
      <c r="K1102" s="208"/>
      <c r="L1102" s="208" t="str">
        <v/>
      </c>
      <c r="M1102" s="208" t="str">
        <v/>
      </c>
    </row>
    <row r="1103" spans="1:13" ht="14.4">
      <c r="A1103" s="199" t="str">
        <f ca="1">IFERROR(__xludf.DUMMYFUNCTION("""COMPUTED_VALUE"""),"KG")</f>
        <v>KG</v>
      </c>
      <c r="B1103" s="207" t="str">
        <f ca="1">IFERROR(__xludf.DUMMYFUNCTION("""COMPUTED_VALUE"""),"Francesca Pereira")</f>
        <v>Francesca Pereira</v>
      </c>
      <c r="C1103" s="199">
        <f ca="1">IFERROR(__xludf.DUMMYFUNCTION("""COMPUTED_VALUE"""),13)</f>
        <v>13</v>
      </c>
      <c r="D1103" s="199" t="str">
        <f ca="1">IFERROR(__xludf.DUMMYFUNCTION("""COMPUTED_VALUE"""),"G")</f>
        <v>G</v>
      </c>
      <c r="E1103" s="202" t="str">
        <f ca="1">IFERROR(__xludf.DUMMYFUNCTION("""COMPUTED_VALUE"""),"I")</f>
        <v>I</v>
      </c>
      <c r="F1103" s="202" t="str">
        <f ca="1">IFERROR(__xludf.DUMMYFUNCTION("""COMPUTED_VALUE"""),"S")</f>
        <v>S</v>
      </c>
      <c r="G1103" s="202">
        <f ca="1">IFERROR(__xludf.DUMMYFUNCTION("""COMPUTED_VALUE"""),2)</f>
        <v>2</v>
      </c>
      <c r="H1103" s="208"/>
      <c r="I1103" s="208"/>
      <c r="J1103" s="208"/>
      <c r="K1103" s="208"/>
      <c r="L1103" s="208" t="str">
        <v/>
      </c>
      <c r="M1103" s="208" t="str">
        <v/>
      </c>
    </row>
    <row r="1104" spans="1:13" ht="14.4">
      <c r="A1104" s="199" t="str">
        <f ca="1">IFERROR(__xludf.DUMMYFUNCTION("""COMPUTED_VALUE"""),"KG")</f>
        <v>KG</v>
      </c>
      <c r="B1104" s="207" t="str">
        <f ca="1">IFERROR(__xludf.DUMMYFUNCTION("""COMPUTED_VALUE"""),"Kate Li")</f>
        <v>Kate Li</v>
      </c>
      <c r="C1104" s="199">
        <f ca="1">IFERROR(__xludf.DUMMYFUNCTION("""COMPUTED_VALUE"""),14)</f>
        <v>14</v>
      </c>
      <c r="D1104" s="199" t="str">
        <f ca="1">IFERROR(__xludf.DUMMYFUNCTION("""COMPUTED_VALUE"""),"G")</f>
        <v>G</v>
      </c>
      <c r="E1104" s="202" t="str">
        <f ca="1">IFERROR(__xludf.DUMMYFUNCTION("""COMPUTED_VALUE"""),"I")</f>
        <v>I</v>
      </c>
      <c r="F1104" s="202" t="str">
        <f ca="1">IFERROR(__xludf.DUMMYFUNCTION("""COMPUTED_VALUE"""),"S")</f>
        <v>S</v>
      </c>
      <c r="G1104" s="202">
        <f ca="1">IFERROR(__xludf.DUMMYFUNCTION("""COMPUTED_VALUE"""),2)</f>
        <v>2</v>
      </c>
      <c r="H1104" s="208">
        <v>144.44999999999999</v>
      </c>
      <c r="I1104" s="208"/>
      <c r="J1104" s="208" t="s">
        <v>121</v>
      </c>
      <c r="K1104" s="208"/>
      <c r="L1104" s="208" t="str">
        <v xml:space="preserve"> 144.45</v>
      </c>
      <c r="M1104" s="208" t="str">
        <v/>
      </c>
    </row>
    <row r="1105" spans="1:13" ht="14.4">
      <c r="A1105" s="199" t="str">
        <f ca="1">IFERROR(__xludf.DUMMYFUNCTION("""COMPUTED_VALUE"""),"KG")</f>
        <v>KG</v>
      </c>
      <c r="B1105" s="207" t="str">
        <f ca="1">IFERROR(__xludf.DUMMYFUNCTION("""COMPUTED_VALUE"""),"Lauren Abba")</f>
        <v>Lauren Abba</v>
      </c>
      <c r="C1105" s="199">
        <f ca="1">IFERROR(__xludf.DUMMYFUNCTION("""COMPUTED_VALUE"""),13)</f>
        <v>13</v>
      </c>
      <c r="D1105" s="199" t="str">
        <f ca="1">IFERROR(__xludf.DUMMYFUNCTION("""COMPUTED_VALUE"""),"G")</f>
        <v>G</v>
      </c>
      <c r="E1105" s="202" t="str">
        <f ca="1">IFERROR(__xludf.DUMMYFUNCTION("""COMPUTED_VALUE"""),"I")</f>
        <v>I</v>
      </c>
      <c r="F1105" s="202" t="str">
        <f ca="1">IFERROR(__xludf.DUMMYFUNCTION("""COMPUTED_VALUE"""),"S")</f>
        <v>S</v>
      </c>
      <c r="G1105" s="202">
        <f ca="1">IFERROR(__xludf.DUMMYFUNCTION("""COMPUTED_VALUE"""),2)</f>
        <v>2</v>
      </c>
      <c r="H1105" s="208">
        <v>109.1</v>
      </c>
      <c r="I1105" s="208"/>
      <c r="J1105" s="208" t="s">
        <v>121</v>
      </c>
      <c r="K1105" s="208"/>
      <c r="L1105" s="208" t="str">
        <v xml:space="preserve"> 109.1</v>
      </c>
      <c r="M1105" s="208" t="str">
        <v/>
      </c>
    </row>
    <row r="1106" spans="1:13" ht="14.4">
      <c r="A1106" s="199" t="str">
        <f ca="1">IFERROR(__xludf.DUMMYFUNCTION("""COMPUTED_VALUE"""),"KG")</f>
        <v>KG</v>
      </c>
      <c r="B1106" s="207" t="str">
        <f ca="1">IFERROR(__xludf.DUMMYFUNCTION("""COMPUTED_VALUE"""),"Liyat Amman")</f>
        <v>Liyat Amman</v>
      </c>
      <c r="C1106" s="199">
        <f ca="1">IFERROR(__xludf.DUMMYFUNCTION("""COMPUTED_VALUE"""),13)</f>
        <v>13</v>
      </c>
      <c r="D1106" s="199" t="str">
        <f ca="1">IFERROR(__xludf.DUMMYFUNCTION("""COMPUTED_VALUE"""),"G")</f>
        <v>G</v>
      </c>
      <c r="E1106" s="202" t="str">
        <f ca="1">IFERROR(__xludf.DUMMYFUNCTION("""COMPUTED_VALUE"""),"I")</f>
        <v>I</v>
      </c>
      <c r="F1106" s="202" t="str">
        <f ca="1">IFERROR(__xludf.DUMMYFUNCTION("""COMPUTED_VALUE"""),"S")</f>
        <v>S</v>
      </c>
      <c r="G1106" s="202">
        <f ca="1">IFERROR(__xludf.DUMMYFUNCTION("""COMPUTED_VALUE"""),2)</f>
        <v>2</v>
      </c>
      <c r="H1106" s="208"/>
      <c r="I1106" s="208"/>
      <c r="J1106" s="208"/>
      <c r="K1106" s="208"/>
      <c r="L1106" s="208" t="str">
        <v/>
      </c>
      <c r="M1106" s="208" t="str">
        <v/>
      </c>
    </row>
    <row r="1107" spans="1:13" ht="14.4">
      <c r="A1107" s="199" t="str">
        <f ca="1">IFERROR(__xludf.DUMMYFUNCTION("""COMPUTED_VALUE"""),"KG")</f>
        <v>KG</v>
      </c>
      <c r="B1107" s="207" t="str">
        <f ca="1">IFERROR(__xludf.DUMMYFUNCTION("""COMPUTED_VALUE"""),"Meredith Lawler")</f>
        <v>Meredith Lawler</v>
      </c>
      <c r="C1107" s="199">
        <f ca="1">IFERROR(__xludf.DUMMYFUNCTION("""COMPUTED_VALUE"""),14)</f>
        <v>14</v>
      </c>
      <c r="D1107" s="199" t="str">
        <f ca="1">IFERROR(__xludf.DUMMYFUNCTION("""COMPUTED_VALUE"""),"G")</f>
        <v>G</v>
      </c>
      <c r="E1107" s="202" t="str">
        <f ca="1">IFERROR(__xludf.DUMMYFUNCTION("""COMPUTED_VALUE"""),"I")</f>
        <v>I</v>
      </c>
      <c r="F1107" s="202" t="str">
        <f ca="1">IFERROR(__xludf.DUMMYFUNCTION("""COMPUTED_VALUE"""),"S")</f>
        <v>S</v>
      </c>
      <c r="G1107" s="202">
        <f ca="1">IFERROR(__xludf.DUMMYFUNCTION("""COMPUTED_VALUE"""),2)</f>
        <v>2</v>
      </c>
      <c r="H1107" s="208">
        <v>89.55</v>
      </c>
      <c r="I1107" s="208"/>
      <c r="J1107" s="208" t="s">
        <v>121</v>
      </c>
      <c r="K1107" s="208"/>
      <c r="L1107" s="208" t="str">
        <v xml:space="preserve"> 89.55</v>
      </c>
      <c r="M1107" s="208" t="str">
        <v/>
      </c>
    </row>
    <row r="1108" spans="1:13" ht="14.4">
      <c r="A1108" s="199" t="str">
        <f ca="1">IFERROR(__xludf.DUMMYFUNCTION("""COMPUTED_VALUE"""),"KG")</f>
        <v>KG</v>
      </c>
      <c r="B1108" s="207" t="str">
        <f ca="1">IFERROR(__xludf.DUMMYFUNCTION("""COMPUTED_VALUE"""),"Sofia Cantua")</f>
        <v>Sofia Cantua</v>
      </c>
      <c r="C1108" s="199">
        <f ca="1">IFERROR(__xludf.DUMMYFUNCTION("""COMPUTED_VALUE"""),13)</f>
        <v>13</v>
      </c>
      <c r="D1108" s="199" t="str">
        <f ca="1">IFERROR(__xludf.DUMMYFUNCTION("""COMPUTED_VALUE"""),"G")</f>
        <v>G</v>
      </c>
      <c r="E1108" s="202" t="str">
        <f ca="1">IFERROR(__xludf.DUMMYFUNCTION("""COMPUTED_VALUE"""),"I")</f>
        <v>I</v>
      </c>
      <c r="F1108" s="202" t="str">
        <f ca="1">IFERROR(__xludf.DUMMYFUNCTION("""COMPUTED_VALUE"""),"S")</f>
        <v>S</v>
      </c>
      <c r="G1108" s="202">
        <f ca="1">IFERROR(__xludf.DUMMYFUNCTION("""COMPUTED_VALUE"""),2)</f>
        <v>2</v>
      </c>
      <c r="H1108" s="208"/>
      <c r="I1108" s="208"/>
      <c r="J1108" s="208"/>
      <c r="K1108" s="208"/>
      <c r="L1108" s="208" t="str">
        <v/>
      </c>
      <c r="M1108" s="208" t="str">
        <v/>
      </c>
    </row>
    <row r="1109" spans="1:13" ht="14.4">
      <c r="A1109" s="199" t="str">
        <f ca="1">IFERROR(__xludf.DUMMYFUNCTION("""COMPUTED_VALUE"""),"KG")</f>
        <v>KG</v>
      </c>
      <c r="B1109" s="207" t="str">
        <f ca="1">IFERROR(__xludf.DUMMYFUNCTION("""COMPUTED_VALUE"""),"Sophie Fredericks")</f>
        <v>Sophie Fredericks</v>
      </c>
      <c r="C1109" s="199">
        <f ca="1">IFERROR(__xludf.DUMMYFUNCTION("""COMPUTED_VALUE"""),13)</f>
        <v>13</v>
      </c>
      <c r="D1109" s="199" t="str">
        <f ca="1">IFERROR(__xludf.DUMMYFUNCTION("""COMPUTED_VALUE"""),"G")</f>
        <v>G</v>
      </c>
      <c r="E1109" s="202" t="str">
        <f ca="1">IFERROR(__xludf.DUMMYFUNCTION("""COMPUTED_VALUE"""),"I")</f>
        <v>I</v>
      </c>
      <c r="F1109" s="202" t="str">
        <f ca="1">IFERROR(__xludf.DUMMYFUNCTION("""COMPUTED_VALUE"""),"S")</f>
        <v>S</v>
      </c>
      <c r="G1109" s="202">
        <f ca="1">IFERROR(__xludf.DUMMYFUNCTION("""COMPUTED_VALUE"""),2)</f>
        <v>2</v>
      </c>
      <c r="H1109" s="208">
        <v>103.95</v>
      </c>
      <c r="I1109" s="208"/>
      <c r="J1109" s="208" t="s">
        <v>121</v>
      </c>
      <c r="K1109" s="208"/>
      <c r="L1109" s="208" t="str">
        <v xml:space="preserve"> 103.95</v>
      </c>
      <c r="M1109" s="208" t="str">
        <v/>
      </c>
    </row>
    <row r="1110" spans="1:13" ht="14.4">
      <c r="A1110" s="199" t="str">
        <f ca="1">IFERROR(__xludf.DUMMYFUNCTION("""COMPUTED_VALUE"""),"KG")</f>
        <v>KG</v>
      </c>
      <c r="B1110" s="207" t="str">
        <f ca="1">IFERROR(__xludf.DUMMYFUNCTION("""COMPUTED_VALUE"""),"Alejandro Trave")</f>
        <v>Alejandro Trave</v>
      </c>
      <c r="C1110" s="199">
        <f ca="1">IFERROR(__xludf.DUMMYFUNCTION("""COMPUTED_VALUE"""),12)</f>
        <v>12</v>
      </c>
      <c r="D1110" s="199" t="str">
        <f ca="1">IFERROR(__xludf.DUMMYFUNCTION("""COMPUTED_VALUE"""),"B")</f>
        <v>B</v>
      </c>
      <c r="E1110" s="202" t="str">
        <f ca="1">IFERROR(__xludf.DUMMYFUNCTION("""COMPUTED_VALUE"""),"J")</f>
        <v>J</v>
      </c>
      <c r="F1110" s="202" t="str">
        <f ca="1">IFERROR(__xludf.DUMMYFUNCTION("""COMPUTED_VALUE"""),"I")</f>
        <v>I</v>
      </c>
      <c r="G1110" s="202">
        <f ca="1">IFERROR(__xludf.DUMMYFUNCTION("""COMPUTED_VALUE"""),2)</f>
        <v>2</v>
      </c>
      <c r="H1110" s="208"/>
      <c r="I1110" s="208"/>
      <c r="J1110" s="208"/>
      <c r="K1110" s="208"/>
      <c r="L1110" s="208" t="str">
        <v/>
      </c>
      <c r="M1110" s="208" t="str">
        <v/>
      </c>
    </row>
    <row r="1111" spans="1:13" ht="14.4">
      <c r="A1111" s="199" t="str">
        <f ca="1">IFERROR(__xludf.DUMMYFUNCTION("""COMPUTED_VALUE"""),"KG")</f>
        <v>KG</v>
      </c>
      <c r="B1111" s="207" t="str">
        <f ca="1">IFERROR(__xludf.DUMMYFUNCTION("""COMPUTED_VALUE"""),"Andy Wu")</f>
        <v>Andy Wu</v>
      </c>
      <c r="C1111" s="199">
        <f ca="1">IFERROR(__xludf.DUMMYFUNCTION("""COMPUTED_VALUE"""),11)</f>
        <v>11</v>
      </c>
      <c r="D1111" s="199" t="str">
        <f ca="1">IFERROR(__xludf.DUMMYFUNCTION("""COMPUTED_VALUE"""),"B")</f>
        <v>B</v>
      </c>
      <c r="E1111" s="202" t="str">
        <f ca="1">IFERROR(__xludf.DUMMYFUNCTION("""COMPUTED_VALUE"""),"J")</f>
        <v>J</v>
      </c>
      <c r="F1111" s="202" t="str">
        <f ca="1">IFERROR(__xludf.DUMMYFUNCTION("""COMPUTED_VALUE"""),"I")</f>
        <v>I</v>
      </c>
      <c r="G1111" s="202">
        <f ca="1">IFERROR(__xludf.DUMMYFUNCTION("""COMPUTED_VALUE"""),2)</f>
        <v>2</v>
      </c>
      <c r="H1111" s="208"/>
      <c r="I1111" s="208">
        <v>67.599999999999994</v>
      </c>
      <c r="J1111" s="208"/>
      <c r="K1111" s="208" t="s">
        <v>121</v>
      </c>
      <c r="L1111" s="208" t="str">
        <v xml:space="preserve"> 67.6</v>
      </c>
      <c r="M1111" s="208" t="str">
        <v/>
      </c>
    </row>
    <row r="1112" spans="1:13" ht="14.4">
      <c r="A1112" s="199" t="str">
        <f ca="1">IFERROR(__xludf.DUMMYFUNCTION("""COMPUTED_VALUE"""),"KG")</f>
        <v>KG</v>
      </c>
      <c r="B1112" s="207" t="str">
        <f ca="1">IFERROR(__xludf.DUMMYFUNCTION("""COMPUTED_VALUE"""),"Charles Sundius")</f>
        <v>Charles Sundius</v>
      </c>
      <c r="C1112" s="199">
        <f ca="1">IFERROR(__xludf.DUMMYFUNCTION("""COMPUTED_VALUE"""),12)</f>
        <v>12</v>
      </c>
      <c r="D1112" s="199" t="str">
        <f ca="1">IFERROR(__xludf.DUMMYFUNCTION("""COMPUTED_VALUE"""),"B")</f>
        <v>B</v>
      </c>
      <c r="E1112" s="202" t="str">
        <f ca="1">IFERROR(__xludf.DUMMYFUNCTION("""COMPUTED_VALUE"""),"J")</f>
        <v>J</v>
      </c>
      <c r="F1112" s="202" t="str">
        <f ca="1">IFERROR(__xludf.DUMMYFUNCTION("""COMPUTED_VALUE"""),"I")</f>
        <v>I</v>
      </c>
      <c r="G1112" s="202">
        <f ca="1">IFERROR(__xludf.DUMMYFUNCTION("""COMPUTED_VALUE"""),2)</f>
        <v>2</v>
      </c>
      <c r="H1112" s="208"/>
      <c r="I1112" s="208"/>
      <c r="J1112" s="208"/>
      <c r="K1112" s="208"/>
      <c r="L1112" s="208" t="str">
        <v/>
      </c>
      <c r="M1112" s="208" t="str">
        <v/>
      </c>
    </row>
    <row r="1113" spans="1:13" ht="14.4">
      <c r="A1113" s="199" t="str">
        <f ca="1">IFERROR(__xludf.DUMMYFUNCTION("""COMPUTED_VALUE"""),"KG")</f>
        <v>KG</v>
      </c>
      <c r="B1113" s="207" t="str">
        <f ca="1">IFERROR(__xludf.DUMMYFUNCTION("""COMPUTED_VALUE"""),"Henry Phoel")</f>
        <v>Henry Phoel</v>
      </c>
      <c r="C1113" s="199">
        <f ca="1">IFERROR(__xludf.DUMMYFUNCTION("""COMPUTED_VALUE"""),11)</f>
        <v>11</v>
      </c>
      <c r="D1113" s="199" t="str">
        <f ca="1">IFERROR(__xludf.DUMMYFUNCTION("""COMPUTED_VALUE"""),"B")</f>
        <v>B</v>
      </c>
      <c r="E1113" s="202" t="str">
        <f ca="1">IFERROR(__xludf.DUMMYFUNCTION("""COMPUTED_VALUE"""),"J")</f>
        <v>J</v>
      </c>
      <c r="F1113" s="202" t="str">
        <f ca="1">IFERROR(__xludf.DUMMYFUNCTION("""COMPUTED_VALUE"""),"I")</f>
        <v>I</v>
      </c>
      <c r="G1113" s="202">
        <f ca="1">IFERROR(__xludf.DUMMYFUNCTION("""COMPUTED_VALUE"""),2)</f>
        <v>2</v>
      </c>
      <c r="H1113" s="208"/>
      <c r="I1113" s="208">
        <v>67.150000000000006</v>
      </c>
      <c r="J1113" s="208"/>
      <c r="K1113" s="208" t="s">
        <v>121</v>
      </c>
      <c r="L1113" s="208" t="str">
        <v xml:space="preserve"> 67.15</v>
      </c>
      <c r="M1113" s="208" t="str">
        <v/>
      </c>
    </row>
    <row r="1114" spans="1:13" ht="14.4">
      <c r="A1114" s="199" t="str">
        <f ca="1">IFERROR(__xludf.DUMMYFUNCTION("""COMPUTED_VALUE"""),"KG")</f>
        <v>KG</v>
      </c>
      <c r="B1114" s="207" t="str">
        <f ca="1">IFERROR(__xludf.DUMMYFUNCTION("""COMPUTED_VALUE"""),"Landon Manwaring")</f>
        <v>Landon Manwaring</v>
      </c>
      <c r="C1114" s="199">
        <f ca="1">IFERROR(__xludf.DUMMYFUNCTION("""COMPUTED_VALUE"""),12)</f>
        <v>12</v>
      </c>
      <c r="D1114" s="199" t="str">
        <f ca="1">IFERROR(__xludf.DUMMYFUNCTION("""COMPUTED_VALUE"""),"B")</f>
        <v>B</v>
      </c>
      <c r="E1114" s="202" t="str">
        <f ca="1">IFERROR(__xludf.DUMMYFUNCTION("""COMPUTED_VALUE"""),"J")</f>
        <v>J</v>
      </c>
      <c r="F1114" s="202" t="str">
        <f ca="1">IFERROR(__xludf.DUMMYFUNCTION("""COMPUTED_VALUE"""),"I")</f>
        <v>I</v>
      </c>
      <c r="G1114" s="202">
        <f ca="1">IFERROR(__xludf.DUMMYFUNCTION("""COMPUTED_VALUE"""),2)</f>
        <v>2</v>
      </c>
      <c r="H1114" s="208"/>
      <c r="I1114" s="208">
        <v>49.7</v>
      </c>
      <c r="J1114" s="208"/>
      <c r="K1114" s="208" t="s">
        <v>121</v>
      </c>
      <c r="L1114" s="208" t="str">
        <v xml:space="preserve"> 49.7</v>
      </c>
      <c r="M1114" s="208" t="str">
        <v/>
      </c>
    </row>
    <row r="1115" spans="1:13" ht="14.4">
      <c r="A1115" s="199" t="str">
        <f ca="1">IFERROR(__xludf.DUMMYFUNCTION("""COMPUTED_VALUE"""),"KG")</f>
        <v>KG</v>
      </c>
      <c r="B1115" s="207" t="str">
        <f ca="1">IFERROR(__xludf.DUMMYFUNCTION("""COMPUTED_VALUE"""),"Tomas Meza")</f>
        <v>Tomas Meza</v>
      </c>
      <c r="C1115" s="199">
        <f ca="1">IFERROR(__xludf.DUMMYFUNCTION("""COMPUTED_VALUE"""),12)</f>
        <v>12</v>
      </c>
      <c r="D1115" s="199" t="str">
        <f ca="1">IFERROR(__xludf.DUMMYFUNCTION("""COMPUTED_VALUE"""),"B")</f>
        <v>B</v>
      </c>
      <c r="E1115" s="202" t="str">
        <f ca="1">IFERROR(__xludf.DUMMYFUNCTION("""COMPUTED_VALUE"""),"J")</f>
        <v>J</v>
      </c>
      <c r="F1115" s="202" t="str">
        <f ca="1">IFERROR(__xludf.DUMMYFUNCTION("""COMPUTED_VALUE"""),"I")</f>
        <v>I</v>
      </c>
      <c r="G1115" s="202">
        <f ca="1">IFERROR(__xludf.DUMMYFUNCTION("""COMPUTED_VALUE"""),2)</f>
        <v>2</v>
      </c>
      <c r="H1115" s="206"/>
      <c r="I1115" s="206"/>
      <c r="J1115" s="206"/>
      <c r="K1115" s="206"/>
      <c r="L1115" s="206" t="str">
        <v/>
      </c>
      <c r="M1115" s="206" t="str">
        <v/>
      </c>
    </row>
    <row r="1116" spans="1:13" ht="14.4">
      <c r="A1116" s="199" t="str">
        <f ca="1">IFERROR(__xludf.DUMMYFUNCTION("""COMPUTED_VALUE"""),"KG")</f>
        <v>KG</v>
      </c>
      <c r="B1116" s="207" t="str">
        <f ca="1">IFERROR(__xludf.DUMMYFUNCTION("""COMPUTED_VALUE"""),"Alejandro Trave ")</f>
        <v>Alejandro Trave </v>
      </c>
      <c r="C1116" s="199">
        <f ca="1">IFERROR(__xludf.DUMMYFUNCTION("""COMPUTED_VALUE"""),12)</f>
        <v>12</v>
      </c>
      <c r="D1116" s="199" t="str">
        <f ca="1">IFERROR(__xludf.DUMMYFUNCTION("""COMPUTED_VALUE"""),"G")</f>
        <v>G</v>
      </c>
      <c r="E1116" s="202" t="str">
        <f ca="1">IFERROR(__xludf.DUMMYFUNCTION("""COMPUTED_VALUE"""),"J")</f>
        <v>J</v>
      </c>
      <c r="F1116" s="202" t="str">
        <f ca="1">IFERROR(__xludf.DUMMYFUNCTION("""COMPUTED_VALUE"""),"I")</f>
        <v>I</v>
      </c>
      <c r="G1116" s="202">
        <f ca="1">IFERROR(__xludf.DUMMYFUNCTION("""COMPUTED_VALUE"""),2)</f>
        <v>2</v>
      </c>
      <c r="H1116" s="206"/>
      <c r="I1116" s="206"/>
      <c r="J1116" s="206"/>
      <c r="K1116" s="206"/>
      <c r="L1116" s="206" t="str">
        <v/>
      </c>
      <c r="M1116" s="206" t="str">
        <v/>
      </c>
    </row>
    <row r="1117" spans="1:13" ht="14.4">
      <c r="A1117" s="199" t="str">
        <f ca="1">IFERROR(__xludf.DUMMYFUNCTION("""COMPUTED_VALUE"""),"KG")</f>
        <v>KG</v>
      </c>
      <c r="B1117" s="207" t="str">
        <f ca="1">IFERROR(__xludf.DUMMYFUNCTION("""COMPUTED_VALUE"""),"Emerson Salerno")</f>
        <v>Emerson Salerno</v>
      </c>
      <c r="C1117" s="199">
        <f ca="1">IFERROR(__xludf.DUMMYFUNCTION("""COMPUTED_VALUE"""),11)</f>
        <v>11</v>
      </c>
      <c r="D1117" s="199" t="str">
        <f ca="1">IFERROR(__xludf.DUMMYFUNCTION("""COMPUTED_VALUE"""),"G")</f>
        <v>G</v>
      </c>
      <c r="E1117" s="202" t="str">
        <f ca="1">IFERROR(__xludf.DUMMYFUNCTION("""COMPUTED_VALUE"""),"J")</f>
        <v>J</v>
      </c>
      <c r="F1117" s="202" t="str">
        <f ca="1">IFERROR(__xludf.DUMMYFUNCTION("""COMPUTED_VALUE"""),"I")</f>
        <v>I</v>
      </c>
      <c r="G1117" s="202">
        <f ca="1">IFERROR(__xludf.DUMMYFUNCTION("""COMPUTED_VALUE"""),2)</f>
        <v>2</v>
      </c>
      <c r="H1117" s="208"/>
      <c r="I1117" s="208"/>
      <c r="J1117" s="208"/>
      <c r="K1117" s="208"/>
      <c r="L1117" s="208" t="str">
        <v/>
      </c>
      <c r="M1117" s="208" t="str">
        <v/>
      </c>
    </row>
    <row r="1118" spans="1:13" ht="14.4">
      <c r="A1118" s="199" t="str">
        <f ca="1">IFERROR(__xludf.DUMMYFUNCTION("""COMPUTED_VALUE"""),"KG")</f>
        <v>KG</v>
      </c>
      <c r="B1118" s="207" t="str">
        <f ca="1">IFERROR(__xludf.DUMMYFUNCTION("""COMPUTED_VALUE"""),"Isabel Pereira")</f>
        <v>Isabel Pereira</v>
      </c>
      <c r="C1118" s="199">
        <f ca="1">IFERROR(__xludf.DUMMYFUNCTION("""COMPUTED_VALUE"""),11)</f>
        <v>11</v>
      </c>
      <c r="D1118" s="199" t="str">
        <f ca="1">IFERROR(__xludf.DUMMYFUNCTION("""COMPUTED_VALUE"""),"G")</f>
        <v>G</v>
      </c>
      <c r="E1118" s="202" t="str">
        <f ca="1">IFERROR(__xludf.DUMMYFUNCTION("""COMPUTED_VALUE"""),"J")</f>
        <v>J</v>
      </c>
      <c r="F1118" s="202" t="str">
        <f ca="1">IFERROR(__xludf.DUMMYFUNCTION("""COMPUTED_VALUE"""),"I")</f>
        <v>I</v>
      </c>
      <c r="G1118" s="202">
        <f ca="1">IFERROR(__xludf.DUMMYFUNCTION("""COMPUTED_VALUE"""),2)</f>
        <v>2</v>
      </c>
      <c r="H1118" s="208"/>
      <c r="I1118" s="208"/>
      <c r="J1118" s="208"/>
      <c r="K1118" s="208"/>
      <c r="L1118" s="208" t="str">
        <v/>
      </c>
      <c r="M1118" s="208" t="str">
        <v/>
      </c>
    </row>
    <row r="1119" spans="1:13" ht="14.4">
      <c r="A1119" s="199" t="str">
        <f ca="1">IFERROR(__xludf.DUMMYFUNCTION("""COMPUTED_VALUE"""),"KG")</f>
        <v>KG</v>
      </c>
      <c r="B1119" s="207" t="str">
        <f ca="1">IFERROR(__xludf.DUMMYFUNCTION("""COMPUTED_VALUE"""),"Isabel Pereira ")</f>
        <v>Isabel Pereira </v>
      </c>
      <c r="C1119" s="199">
        <f ca="1">IFERROR(__xludf.DUMMYFUNCTION("""COMPUTED_VALUE"""),11)</f>
        <v>11</v>
      </c>
      <c r="D1119" s="199" t="str">
        <f ca="1">IFERROR(__xludf.DUMMYFUNCTION("""COMPUTED_VALUE"""),"G")</f>
        <v>G</v>
      </c>
      <c r="E1119" s="202" t="str">
        <f ca="1">IFERROR(__xludf.DUMMYFUNCTION("""COMPUTED_VALUE"""),"J")</f>
        <v>J</v>
      </c>
      <c r="F1119" s="202" t="str">
        <f ca="1">IFERROR(__xludf.DUMMYFUNCTION("""COMPUTED_VALUE"""),"I")</f>
        <v>I</v>
      </c>
      <c r="G1119" s="202">
        <f ca="1">IFERROR(__xludf.DUMMYFUNCTION("""COMPUTED_VALUE"""),2)</f>
        <v>2</v>
      </c>
      <c r="H1119" s="208"/>
      <c r="I1119" s="208"/>
      <c r="J1119" s="208"/>
      <c r="K1119" s="208"/>
      <c r="L1119" s="208" t="str">
        <v/>
      </c>
      <c r="M1119" s="208" t="str">
        <v/>
      </c>
    </row>
    <row r="1120" spans="1:13" ht="14.4">
      <c r="A1120" s="199" t="str">
        <f ca="1">IFERROR(__xludf.DUMMYFUNCTION("""COMPUTED_VALUE"""),"KG")</f>
        <v>KG</v>
      </c>
      <c r="B1120" s="207" t="str">
        <f ca="1">IFERROR(__xludf.DUMMYFUNCTION("""COMPUTED_VALUE"""),"Isabella Hampton")</f>
        <v>Isabella Hampton</v>
      </c>
      <c r="C1120" s="199">
        <f ca="1">IFERROR(__xludf.DUMMYFUNCTION("""COMPUTED_VALUE"""),11)</f>
        <v>11</v>
      </c>
      <c r="D1120" s="199" t="str">
        <f ca="1">IFERROR(__xludf.DUMMYFUNCTION("""COMPUTED_VALUE"""),"G")</f>
        <v>G</v>
      </c>
      <c r="E1120" s="202" t="str">
        <f ca="1">IFERROR(__xludf.DUMMYFUNCTION("""COMPUTED_VALUE"""),"J")</f>
        <v>J</v>
      </c>
      <c r="F1120" s="202" t="str">
        <f ca="1">IFERROR(__xludf.DUMMYFUNCTION("""COMPUTED_VALUE"""),"I")</f>
        <v>I</v>
      </c>
      <c r="G1120" s="202">
        <f ca="1">IFERROR(__xludf.DUMMYFUNCTION("""COMPUTED_VALUE"""),2)</f>
        <v>2</v>
      </c>
      <c r="H1120" s="208">
        <v>73.95</v>
      </c>
      <c r="I1120" s="208"/>
      <c r="J1120" s="208" t="s">
        <v>121</v>
      </c>
      <c r="K1120" s="208"/>
      <c r="L1120" s="208" t="str">
        <v xml:space="preserve"> 73.95</v>
      </c>
      <c r="M1120" s="208" t="str">
        <v/>
      </c>
    </row>
    <row r="1121" spans="1:13" ht="14.4">
      <c r="A1121" s="199" t="str">
        <f ca="1">IFERROR(__xludf.DUMMYFUNCTION("""COMPUTED_VALUE"""),"KG")</f>
        <v>KG</v>
      </c>
      <c r="B1121" s="207" t="str">
        <f ca="1">IFERROR(__xludf.DUMMYFUNCTION("""COMPUTED_VALUE"""),"Jovianne Smith")</f>
        <v>Jovianne Smith</v>
      </c>
      <c r="C1121" s="199">
        <f ca="1">IFERROR(__xludf.DUMMYFUNCTION("""COMPUTED_VALUE"""),12)</f>
        <v>12</v>
      </c>
      <c r="D1121" s="199" t="str">
        <f ca="1">IFERROR(__xludf.DUMMYFUNCTION("""COMPUTED_VALUE"""),"G")</f>
        <v>G</v>
      </c>
      <c r="E1121" s="202" t="str">
        <f ca="1">IFERROR(__xludf.DUMMYFUNCTION("""COMPUTED_VALUE"""),"J")</f>
        <v>J</v>
      </c>
      <c r="F1121" s="202" t="str">
        <f ca="1">IFERROR(__xludf.DUMMYFUNCTION("""COMPUTED_VALUE"""),"I")</f>
        <v>I</v>
      </c>
      <c r="G1121" s="202">
        <f ca="1">IFERROR(__xludf.DUMMYFUNCTION("""COMPUTED_VALUE"""),2)</f>
        <v>2</v>
      </c>
      <c r="H1121" s="208"/>
      <c r="I1121" s="208"/>
      <c r="J1121" s="208"/>
      <c r="K1121" s="208"/>
      <c r="L1121" s="208" t="str">
        <v/>
      </c>
      <c r="M1121" s="208" t="str">
        <v/>
      </c>
    </row>
    <row r="1122" spans="1:13" ht="14.4">
      <c r="A1122" s="199" t="str">
        <f ca="1">IFERROR(__xludf.DUMMYFUNCTION("""COMPUTED_VALUE"""),"KG")</f>
        <v>KG</v>
      </c>
      <c r="B1122" s="207" t="str">
        <f ca="1">IFERROR(__xludf.DUMMYFUNCTION("""COMPUTED_VALUE"""),"Katie Gorsline")</f>
        <v>Katie Gorsline</v>
      </c>
      <c r="C1122" s="199">
        <f ca="1">IFERROR(__xludf.DUMMYFUNCTION("""COMPUTED_VALUE"""),11)</f>
        <v>11</v>
      </c>
      <c r="D1122" s="199" t="str">
        <f ca="1">IFERROR(__xludf.DUMMYFUNCTION("""COMPUTED_VALUE"""),"G")</f>
        <v>G</v>
      </c>
      <c r="E1122" s="202" t="str">
        <f ca="1">IFERROR(__xludf.DUMMYFUNCTION("""COMPUTED_VALUE"""),"J")</f>
        <v>J</v>
      </c>
      <c r="F1122" s="202" t="str">
        <f ca="1">IFERROR(__xludf.DUMMYFUNCTION("""COMPUTED_VALUE"""),"I")</f>
        <v>I</v>
      </c>
      <c r="G1122" s="202">
        <f ca="1">IFERROR(__xludf.DUMMYFUNCTION("""COMPUTED_VALUE"""),2)</f>
        <v>2</v>
      </c>
      <c r="H1122" s="208">
        <v>103.15</v>
      </c>
      <c r="I1122" s="208"/>
      <c r="J1122" s="208" t="s">
        <v>121</v>
      </c>
      <c r="K1122" s="208"/>
      <c r="L1122" s="208" t="str">
        <v xml:space="preserve"> 103.15</v>
      </c>
      <c r="M1122" s="208" t="str">
        <v/>
      </c>
    </row>
    <row r="1123" spans="1:13" ht="14.4">
      <c r="A1123" s="199" t="str">
        <f ca="1">IFERROR(__xludf.DUMMYFUNCTION("""COMPUTED_VALUE"""),"KG")</f>
        <v>KG</v>
      </c>
      <c r="B1123" s="207" t="str">
        <f ca="1">IFERROR(__xludf.DUMMYFUNCTION("""COMPUTED_VALUE"""),"Martina Cantua")</f>
        <v>Martina Cantua</v>
      </c>
      <c r="C1123" s="199">
        <f ca="1">IFERROR(__xludf.DUMMYFUNCTION("""COMPUTED_VALUE"""),11)</f>
        <v>11</v>
      </c>
      <c r="D1123" s="199" t="str">
        <f ca="1">IFERROR(__xludf.DUMMYFUNCTION("""COMPUTED_VALUE"""),"G")</f>
        <v>G</v>
      </c>
      <c r="E1123" s="202" t="str">
        <f ca="1">IFERROR(__xludf.DUMMYFUNCTION("""COMPUTED_VALUE"""),"J")</f>
        <v>J</v>
      </c>
      <c r="F1123" s="202" t="str">
        <f ca="1">IFERROR(__xludf.DUMMYFUNCTION("""COMPUTED_VALUE"""),"I")</f>
        <v>I</v>
      </c>
      <c r="G1123" s="202">
        <f ca="1">IFERROR(__xludf.DUMMYFUNCTION("""COMPUTED_VALUE"""),2)</f>
        <v>2</v>
      </c>
      <c r="H1123" s="208"/>
      <c r="I1123" s="208"/>
      <c r="J1123" s="208"/>
      <c r="K1123" s="208"/>
      <c r="L1123" s="208" t="str">
        <v/>
      </c>
      <c r="M1123" s="208" t="str">
        <v/>
      </c>
    </row>
    <row r="1124" spans="1:13" ht="14.4">
      <c r="A1124" s="199" t="str">
        <f ca="1">IFERROR(__xludf.DUMMYFUNCTION("""COMPUTED_VALUE"""),"KG")</f>
        <v>KG</v>
      </c>
      <c r="B1124" s="207" t="str">
        <f ca="1">IFERROR(__xludf.DUMMYFUNCTION("""COMPUTED_VALUE"""),"Riley Diaz")</f>
        <v>Riley Diaz</v>
      </c>
      <c r="C1124" s="199">
        <f ca="1">IFERROR(__xludf.DUMMYFUNCTION("""COMPUTED_VALUE"""),12)</f>
        <v>12</v>
      </c>
      <c r="D1124" s="199" t="str">
        <f ca="1">IFERROR(__xludf.DUMMYFUNCTION("""COMPUTED_VALUE"""),"G")</f>
        <v>G</v>
      </c>
      <c r="E1124" s="202" t="str">
        <f ca="1">IFERROR(__xludf.DUMMYFUNCTION("""COMPUTED_VALUE"""),"J")</f>
        <v>J</v>
      </c>
      <c r="F1124" s="202" t="str">
        <f ca="1">IFERROR(__xludf.DUMMYFUNCTION("""COMPUTED_VALUE"""),"I")</f>
        <v>I</v>
      </c>
      <c r="G1124" s="202">
        <f ca="1">IFERROR(__xludf.DUMMYFUNCTION("""COMPUTED_VALUE"""),2)</f>
        <v>2</v>
      </c>
      <c r="H1124" s="208">
        <v>60.1</v>
      </c>
      <c r="I1124" s="208"/>
      <c r="J1124" s="208" t="s">
        <v>121</v>
      </c>
      <c r="K1124" s="208"/>
      <c r="L1124" s="208" t="str">
        <v xml:space="preserve"> 60.1</v>
      </c>
      <c r="M1124" s="208" t="str">
        <v/>
      </c>
    </row>
    <row r="1125" spans="1:13" ht="14.4">
      <c r="A1125" s="199" t="str">
        <f ca="1">IFERROR(__xludf.DUMMYFUNCTION("""COMPUTED_VALUE"""),"KG")</f>
        <v>KG</v>
      </c>
      <c r="B1125" s="207" t="str">
        <f ca="1">IFERROR(__xludf.DUMMYFUNCTION("""COMPUTED_VALUE"""),"Ziya Bhasin")</f>
        <v>Ziya Bhasin</v>
      </c>
      <c r="C1125" s="199">
        <f ca="1">IFERROR(__xludf.DUMMYFUNCTION("""COMPUTED_VALUE"""),12)</f>
        <v>12</v>
      </c>
      <c r="D1125" s="199" t="str">
        <f ca="1">IFERROR(__xludf.DUMMYFUNCTION("""COMPUTED_VALUE"""),"G")</f>
        <v>G</v>
      </c>
      <c r="E1125" s="202" t="str">
        <f ca="1">IFERROR(__xludf.DUMMYFUNCTION("""COMPUTED_VALUE"""),"J")</f>
        <v>J</v>
      </c>
      <c r="F1125" s="202" t="str">
        <f ca="1">IFERROR(__xludf.DUMMYFUNCTION("""COMPUTED_VALUE"""),"I")</f>
        <v>I</v>
      </c>
      <c r="G1125" s="202">
        <f ca="1">IFERROR(__xludf.DUMMYFUNCTION("""COMPUTED_VALUE"""),2)</f>
        <v>2</v>
      </c>
      <c r="H1125" s="208"/>
      <c r="I1125" s="208"/>
      <c r="J1125" s="208"/>
      <c r="K1125" s="208"/>
      <c r="L1125" s="208" t="str">
        <v/>
      </c>
      <c r="M1125" s="208" t="str">
        <v/>
      </c>
    </row>
    <row r="1126" spans="1:13" ht="14.4">
      <c r="A1126" s="199" t="str">
        <f ca="1">IFERROR(__xludf.DUMMYFUNCTION("""COMPUTED_VALUE"""),"KG")</f>
        <v>KG</v>
      </c>
      <c r="B1126" s="207" t="str">
        <f ca="1">IFERROR(__xludf.DUMMYFUNCTION("""COMPUTED_VALUE"""),"Evan Brown")</f>
        <v>Evan Brown</v>
      </c>
      <c r="C1126" s="199">
        <f ca="1">IFERROR(__xludf.DUMMYFUNCTION("""COMPUTED_VALUE"""),17)</f>
        <v>17</v>
      </c>
      <c r="D1126" s="199" t="str">
        <f ca="1">IFERROR(__xludf.DUMMYFUNCTION("""COMPUTED_VALUE"""),"B")</f>
        <v>B</v>
      </c>
      <c r="E1126" s="202" t="str">
        <f ca="1">IFERROR(__xludf.DUMMYFUNCTION("""COMPUTED_VALUE"""),"S")</f>
        <v>S</v>
      </c>
      <c r="F1126" s="202" t="str">
        <f ca="1">IFERROR(__xludf.DUMMYFUNCTION("""COMPUTED_VALUE"""),"S")</f>
        <v>S</v>
      </c>
      <c r="G1126" s="202">
        <f ca="1">IFERROR(__xludf.DUMMYFUNCTION("""COMPUTED_VALUE"""),2)</f>
        <v>2</v>
      </c>
      <c r="H1126" s="208"/>
      <c r="I1126" s="208">
        <v>230.05</v>
      </c>
      <c r="J1126" s="208"/>
      <c r="K1126" s="208" t="s">
        <v>121</v>
      </c>
      <c r="L1126" s="208" t="str">
        <v xml:space="preserve"> 230.05</v>
      </c>
      <c r="M1126" s="208" t="str">
        <v/>
      </c>
    </row>
    <row r="1127" spans="1:13" ht="14.4">
      <c r="A1127" s="199" t="str">
        <f ca="1">IFERROR(__xludf.DUMMYFUNCTION("""COMPUTED_VALUE"""),"KG")</f>
        <v>KG</v>
      </c>
      <c r="B1127" s="207" t="str">
        <f ca="1">IFERROR(__xludf.DUMMYFUNCTION("""COMPUTED_VALUE"""),"Jad Brubaker")</f>
        <v>Jad Brubaker</v>
      </c>
      <c r="C1127" s="199">
        <f ca="1">IFERROR(__xludf.DUMMYFUNCTION("""COMPUTED_VALUE"""),15)</f>
        <v>15</v>
      </c>
      <c r="D1127" s="199" t="str">
        <f ca="1">IFERROR(__xludf.DUMMYFUNCTION("""COMPUTED_VALUE"""),"B")</f>
        <v>B</v>
      </c>
      <c r="E1127" s="202" t="str">
        <f ca="1">IFERROR(__xludf.DUMMYFUNCTION("""COMPUTED_VALUE"""),"S")</f>
        <v>S</v>
      </c>
      <c r="F1127" s="202" t="str">
        <f ca="1">IFERROR(__xludf.DUMMYFUNCTION("""COMPUTED_VALUE"""),"S")</f>
        <v>S</v>
      </c>
      <c r="G1127" s="202">
        <f ca="1">IFERROR(__xludf.DUMMYFUNCTION("""COMPUTED_VALUE"""),2)</f>
        <v>2</v>
      </c>
      <c r="H1127" s="208"/>
      <c r="I1127" s="208">
        <v>195.65</v>
      </c>
      <c r="J1127" s="208"/>
      <c r="K1127" s="208" t="s">
        <v>121</v>
      </c>
      <c r="L1127" s="208" t="str">
        <v xml:space="preserve"> 195.65</v>
      </c>
      <c r="M1127" s="208" t="str">
        <v/>
      </c>
    </row>
    <row r="1128" spans="1:13" ht="14.4">
      <c r="A1128" s="199" t="str">
        <f ca="1">IFERROR(__xludf.DUMMYFUNCTION("""COMPUTED_VALUE"""),"KG")</f>
        <v>KG</v>
      </c>
      <c r="B1128" s="207" t="str">
        <f ca="1">IFERROR(__xludf.DUMMYFUNCTION("""COMPUTED_VALUE"""),"Kylian Genetti")</f>
        <v>Kylian Genetti</v>
      </c>
      <c r="C1128" s="199">
        <f ca="1">IFERROR(__xludf.DUMMYFUNCTION("""COMPUTED_VALUE"""),17)</f>
        <v>17</v>
      </c>
      <c r="D1128" s="199" t="str">
        <f ca="1">IFERROR(__xludf.DUMMYFUNCTION("""COMPUTED_VALUE"""),"B")</f>
        <v>B</v>
      </c>
      <c r="E1128" s="202" t="str">
        <f ca="1">IFERROR(__xludf.DUMMYFUNCTION("""COMPUTED_VALUE"""),"S")</f>
        <v>S</v>
      </c>
      <c r="F1128" s="202" t="str">
        <f ca="1">IFERROR(__xludf.DUMMYFUNCTION("""COMPUTED_VALUE"""),"S")</f>
        <v>S</v>
      </c>
      <c r="G1128" s="202">
        <f ca="1">IFERROR(__xludf.DUMMYFUNCTION("""COMPUTED_VALUE"""),2)</f>
        <v>2</v>
      </c>
      <c r="H1128" s="208"/>
      <c r="I1128" s="208">
        <v>171.7</v>
      </c>
      <c r="J1128" s="208"/>
      <c r="K1128" s="208" t="s">
        <v>121</v>
      </c>
      <c r="L1128" s="208" t="str">
        <v xml:space="preserve"> 171.7</v>
      </c>
      <c r="M1128" s="208" t="str">
        <v/>
      </c>
    </row>
    <row r="1129" spans="1:13" ht="14.4">
      <c r="A1129" s="199" t="str">
        <f ca="1">IFERROR(__xludf.DUMMYFUNCTION("""COMPUTED_VALUE"""),"KG")</f>
        <v>KG</v>
      </c>
      <c r="B1129" s="207" t="str">
        <f ca="1">IFERROR(__xludf.DUMMYFUNCTION("""COMPUTED_VALUE"""),"Cadi Xie")</f>
        <v>Cadi Xie</v>
      </c>
      <c r="C1129" s="199">
        <f ca="1">IFERROR(__xludf.DUMMYFUNCTION("""COMPUTED_VALUE"""),17)</f>
        <v>17</v>
      </c>
      <c r="D1129" s="199" t="str">
        <f ca="1">IFERROR(__xludf.DUMMYFUNCTION("""COMPUTED_VALUE"""),"G")</f>
        <v>G</v>
      </c>
      <c r="E1129" s="202" t="str">
        <f ca="1">IFERROR(__xludf.DUMMYFUNCTION("""COMPUTED_VALUE"""),"S")</f>
        <v>S</v>
      </c>
      <c r="F1129" s="202" t="str">
        <f ca="1">IFERROR(__xludf.DUMMYFUNCTION("""COMPUTED_VALUE"""),"S")</f>
        <v>S</v>
      </c>
      <c r="G1129" s="202">
        <f ca="1">IFERROR(__xludf.DUMMYFUNCTION("""COMPUTED_VALUE"""),2)</f>
        <v>2</v>
      </c>
      <c r="H1129" s="208">
        <v>150.75</v>
      </c>
      <c r="I1129" s="208"/>
      <c r="J1129" s="208" t="s">
        <v>121</v>
      </c>
      <c r="K1129" s="208"/>
      <c r="L1129" s="208" t="str">
        <v xml:space="preserve"> 150.75</v>
      </c>
      <c r="M1129" s="208" t="str">
        <v/>
      </c>
    </row>
    <row r="1130" spans="1:13" ht="14.4">
      <c r="A1130" s="199" t="str">
        <f ca="1">IFERROR(__xludf.DUMMYFUNCTION("""COMPUTED_VALUE"""),"KG")</f>
        <v>KG</v>
      </c>
      <c r="B1130" s="207" t="str">
        <f ca="1">IFERROR(__xludf.DUMMYFUNCTION("""COMPUTED_VALUE"""),"Ingrid Olsen")</f>
        <v>Ingrid Olsen</v>
      </c>
      <c r="C1130" s="199">
        <f ca="1">IFERROR(__xludf.DUMMYFUNCTION("""COMPUTED_VALUE"""),15)</f>
        <v>15</v>
      </c>
      <c r="D1130" s="199" t="str">
        <f ca="1">IFERROR(__xludf.DUMMYFUNCTION("""COMPUTED_VALUE"""),"G")</f>
        <v>G</v>
      </c>
      <c r="E1130" s="202" t="str">
        <f ca="1">IFERROR(__xludf.DUMMYFUNCTION("""COMPUTED_VALUE"""),"S")</f>
        <v>S</v>
      </c>
      <c r="F1130" s="202" t="str">
        <f ca="1">IFERROR(__xludf.DUMMYFUNCTION("""COMPUTED_VALUE"""),"S")</f>
        <v>S</v>
      </c>
      <c r="G1130" s="202">
        <f ca="1">IFERROR(__xludf.DUMMYFUNCTION("""COMPUTED_VALUE"""),2)</f>
        <v>2</v>
      </c>
      <c r="H1130" s="206">
        <v>112.65</v>
      </c>
      <c r="I1130" s="206"/>
      <c r="J1130" s="206" t="s">
        <v>121</v>
      </c>
      <c r="K1130" s="206"/>
      <c r="L1130" s="206" t="str">
        <v xml:space="preserve"> 112.65</v>
      </c>
      <c r="M1130" s="206" t="str">
        <v/>
      </c>
    </row>
    <row r="1131" spans="1:13" ht="14.4">
      <c r="A1131" s="199" t="str">
        <f ca="1">IFERROR(__xludf.DUMMYFUNCTION("""COMPUTED_VALUE"""),"KG")</f>
        <v>KG</v>
      </c>
      <c r="B1131" s="207" t="str">
        <f ca="1">IFERROR(__xludf.DUMMYFUNCTION("""COMPUTED_VALUE"""),"Irene Sundius")</f>
        <v>Irene Sundius</v>
      </c>
      <c r="C1131" s="199">
        <f ca="1">IFERROR(__xludf.DUMMYFUNCTION("""COMPUTED_VALUE"""),16)</f>
        <v>16</v>
      </c>
      <c r="D1131" s="199" t="str">
        <f ca="1">IFERROR(__xludf.DUMMYFUNCTION("""COMPUTED_VALUE"""),"G")</f>
        <v>G</v>
      </c>
      <c r="E1131" s="202" t="str">
        <f ca="1">IFERROR(__xludf.DUMMYFUNCTION("""COMPUTED_VALUE"""),"S")</f>
        <v>S</v>
      </c>
      <c r="F1131" s="202" t="str">
        <f ca="1">IFERROR(__xludf.DUMMYFUNCTION("""COMPUTED_VALUE"""),"S")</f>
        <v>S</v>
      </c>
      <c r="G1131" s="202">
        <f ca="1">IFERROR(__xludf.DUMMYFUNCTION("""COMPUTED_VALUE"""),2)</f>
        <v>2</v>
      </c>
      <c r="H1131" s="208"/>
      <c r="I1131" s="208"/>
      <c r="J1131" s="208"/>
      <c r="K1131" s="208"/>
      <c r="L1131" s="208" t="str">
        <v/>
      </c>
      <c r="M1131" s="208" t="str">
        <v/>
      </c>
    </row>
    <row r="1132" spans="1:13" ht="14.4">
      <c r="A1132" s="199" t="str">
        <f ca="1">IFERROR(__xludf.DUMMYFUNCTION("""COMPUTED_VALUE"""),"KG")</f>
        <v>KG</v>
      </c>
      <c r="B1132" s="207" t="str">
        <f ca="1">IFERROR(__xludf.DUMMYFUNCTION("""COMPUTED_VALUE"""),"Jocelyn Brooks")</f>
        <v>Jocelyn Brooks</v>
      </c>
      <c r="C1132" s="199">
        <f ca="1">IFERROR(__xludf.DUMMYFUNCTION("""COMPUTED_VALUE"""),15)</f>
        <v>15</v>
      </c>
      <c r="D1132" s="199" t="str">
        <f ca="1">IFERROR(__xludf.DUMMYFUNCTION("""COMPUTED_VALUE"""),"G")</f>
        <v>G</v>
      </c>
      <c r="E1132" s="202" t="str">
        <f ca="1">IFERROR(__xludf.DUMMYFUNCTION("""COMPUTED_VALUE"""),"S")</f>
        <v>S</v>
      </c>
      <c r="F1132" s="202" t="str">
        <f ca="1">IFERROR(__xludf.DUMMYFUNCTION("""COMPUTED_VALUE"""),"S")</f>
        <v>S</v>
      </c>
      <c r="G1132" s="202">
        <f ca="1">IFERROR(__xludf.DUMMYFUNCTION("""COMPUTED_VALUE"""),2)</f>
        <v>2</v>
      </c>
      <c r="H1132" s="208">
        <v>177.8</v>
      </c>
      <c r="I1132" s="208"/>
      <c r="J1132" s="208" t="s">
        <v>121</v>
      </c>
      <c r="K1132" s="208"/>
      <c r="L1132" s="208" t="str">
        <v xml:space="preserve"> 177.8</v>
      </c>
      <c r="M1132" s="208" t="str">
        <v/>
      </c>
    </row>
    <row r="1133" spans="1:13" ht="14.4">
      <c r="A1133" s="199" t="str">
        <f ca="1">IFERROR(__xludf.DUMMYFUNCTION("""COMPUTED_VALUE"""),"KG")</f>
        <v>KG</v>
      </c>
      <c r="B1133" s="207" t="str">
        <f ca="1">IFERROR(__xludf.DUMMYFUNCTION("""COMPUTED_VALUE"""),"Madeleine Hersh")</f>
        <v>Madeleine Hersh</v>
      </c>
      <c r="C1133" s="199">
        <f ca="1">IFERROR(__xludf.DUMMYFUNCTION("""COMPUTED_VALUE"""),17)</f>
        <v>17</v>
      </c>
      <c r="D1133" s="199" t="str">
        <f ca="1">IFERROR(__xludf.DUMMYFUNCTION("""COMPUTED_VALUE"""),"G")</f>
        <v>G</v>
      </c>
      <c r="E1133" s="202" t="str">
        <f ca="1">IFERROR(__xludf.DUMMYFUNCTION("""COMPUTED_VALUE"""),"S")</f>
        <v>S</v>
      </c>
      <c r="F1133" s="202" t="str">
        <f ca="1">IFERROR(__xludf.DUMMYFUNCTION("""COMPUTED_VALUE"""),"S")</f>
        <v>S</v>
      </c>
      <c r="G1133" s="202">
        <f ca="1">IFERROR(__xludf.DUMMYFUNCTION("""COMPUTED_VALUE"""),2)</f>
        <v>2</v>
      </c>
      <c r="H1133" s="208">
        <v>174.1</v>
      </c>
      <c r="I1133" s="208"/>
      <c r="J1133" s="208" t="s">
        <v>121</v>
      </c>
      <c r="K1133" s="208"/>
      <c r="L1133" s="208" t="str">
        <v xml:space="preserve"> 174.1</v>
      </c>
      <c r="M1133" s="208" t="str">
        <v/>
      </c>
    </row>
    <row r="1134" spans="1:13" ht="14.4">
      <c r="A1134" s="199" t="str">
        <f ca="1">IFERROR(__xludf.DUMMYFUNCTION("""COMPUTED_VALUE"""),"KG")</f>
        <v>KG</v>
      </c>
      <c r="B1134" s="207" t="str">
        <f ca="1">IFERROR(__xludf.DUMMYFUNCTION("""COMPUTED_VALUE"""),"Rachel Tielking")</f>
        <v>Rachel Tielking</v>
      </c>
      <c r="C1134" s="199">
        <f ca="1">IFERROR(__xludf.DUMMYFUNCTION("""COMPUTED_VALUE"""),16)</f>
        <v>16</v>
      </c>
      <c r="D1134" s="199" t="str">
        <f ca="1">IFERROR(__xludf.DUMMYFUNCTION("""COMPUTED_VALUE"""),"G")</f>
        <v>G</v>
      </c>
      <c r="E1134" s="202" t="str">
        <f ca="1">IFERROR(__xludf.DUMMYFUNCTION("""COMPUTED_VALUE"""),"S")</f>
        <v>S</v>
      </c>
      <c r="F1134" s="202" t="str">
        <f ca="1">IFERROR(__xludf.DUMMYFUNCTION("""COMPUTED_VALUE"""),"S")</f>
        <v>S</v>
      </c>
      <c r="G1134" s="202">
        <f ca="1">IFERROR(__xludf.DUMMYFUNCTION("""COMPUTED_VALUE"""),2)</f>
        <v>2</v>
      </c>
      <c r="H1134" s="206">
        <v>124.95</v>
      </c>
      <c r="I1134" s="206"/>
      <c r="J1134" s="206" t="s">
        <v>121</v>
      </c>
      <c r="K1134" s="206"/>
      <c r="L1134" s="206" t="str">
        <v xml:space="preserve"> 124.95</v>
      </c>
      <c r="M1134" s="206" t="str">
        <v/>
      </c>
    </row>
    <row r="1135" spans="1:13" ht="14.4">
      <c r="A1135" s="199" t="str">
        <f ca="1">IFERROR(__xludf.DUMMYFUNCTION("""COMPUTED_VALUE"""),"KG")</f>
        <v>KG</v>
      </c>
      <c r="B1135" s="207" t="str">
        <f ca="1">IFERROR(__xludf.DUMMYFUNCTION("""COMPUTED_VALUE"""),"Sarah Wood")</f>
        <v>Sarah Wood</v>
      </c>
      <c r="C1135" s="199">
        <f ca="1">IFERROR(__xludf.DUMMYFUNCTION("""COMPUTED_VALUE"""),18)</f>
        <v>18</v>
      </c>
      <c r="D1135" s="199" t="str">
        <f ca="1">IFERROR(__xludf.DUMMYFUNCTION("""COMPUTED_VALUE"""),"G")</f>
        <v>G</v>
      </c>
      <c r="E1135" s="202" t="str">
        <f ca="1">IFERROR(__xludf.DUMMYFUNCTION("""COMPUTED_VALUE"""),"S")</f>
        <v>S</v>
      </c>
      <c r="F1135" s="202" t="str">
        <f ca="1">IFERROR(__xludf.DUMMYFUNCTION("""COMPUTED_VALUE"""),"S")</f>
        <v>S</v>
      </c>
      <c r="G1135" s="202">
        <f ca="1">IFERROR(__xludf.DUMMYFUNCTION("""COMPUTED_VALUE"""),2)</f>
        <v>2</v>
      </c>
      <c r="H1135" s="208">
        <v>185.4</v>
      </c>
      <c r="I1135" s="208"/>
      <c r="J1135" s="208" t="s">
        <v>121</v>
      </c>
      <c r="K1135" s="208"/>
      <c r="L1135" s="208" t="str">
        <v xml:space="preserve"> 185.4</v>
      </c>
      <c r="M1135" s="208" t="str">
        <v/>
      </c>
    </row>
    <row r="1136" spans="1:13" ht="14.4">
      <c r="A1136" s="199" t="str">
        <f ca="1">IFERROR(__xludf.DUMMYFUNCTION("""COMPUTED_VALUE"""),"KG")</f>
        <v>KG</v>
      </c>
      <c r="B1136" s="207" t="str">
        <f ca="1">IFERROR(__xludf.DUMMYFUNCTION("""COMPUTED_VALUE"""),"Sherry Yu")</f>
        <v>Sherry Yu</v>
      </c>
      <c r="C1136" s="199">
        <f ca="1">IFERROR(__xludf.DUMMYFUNCTION("""COMPUTED_VALUE"""),15)</f>
        <v>15</v>
      </c>
      <c r="D1136" s="199" t="str">
        <f ca="1">IFERROR(__xludf.DUMMYFUNCTION("""COMPUTED_VALUE"""),"G")</f>
        <v>G</v>
      </c>
      <c r="E1136" s="202" t="str">
        <f ca="1">IFERROR(__xludf.DUMMYFUNCTION("""COMPUTED_VALUE"""),"S")</f>
        <v>S</v>
      </c>
      <c r="F1136" s="202" t="str">
        <f ca="1">IFERROR(__xludf.DUMMYFUNCTION("""COMPUTED_VALUE"""),"S")</f>
        <v>S</v>
      </c>
      <c r="G1136" s="202">
        <f ca="1">IFERROR(__xludf.DUMMYFUNCTION("""COMPUTED_VALUE"""),2)</f>
        <v>2</v>
      </c>
      <c r="H1136" s="206"/>
      <c r="I1136" s="206"/>
      <c r="J1136" s="206"/>
      <c r="K1136" s="206"/>
      <c r="L1136" s="206" t="str">
        <v/>
      </c>
      <c r="M1136" s="206" t="str">
        <v/>
      </c>
    </row>
    <row r="1137" spans="1:13" ht="14.4">
      <c r="A1137" s="199" t="str">
        <f ca="1">IFERROR(__xludf.DUMMYFUNCTION("""COMPUTED_VALUE"""),"LG")</f>
        <v>LG</v>
      </c>
      <c r="B1137" s="207" t="str">
        <f ca="1">IFERROR(__xludf.DUMMYFUNCTION("""COMPUTED_VALUE"""),"Benjamin Bolin")</f>
        <v>Benjamin Bolin</v>
      </c>
      <c r="C1137" s="199">
        <f ca="1">IFERROR(__xludf.DUMMYFUNCTION("""COMPUTED_VALUE"""),10)</f>
        <v>10</v>
      </c>
      <c r="D1137" s="199" t="str">
        <f ca="1">IFERROR(__xludf.DUMMYFUNCTION("""COMPUTED_VALUE"""),"B")</f>
        <v>B</v>
      </c>
      <c r="E1137" s="202" t="str">
        <f ca="1">IFERROR(__xludf.DUMMYFUNCTION("""COMPUTED_VALUE"""),"F")</f>
        <v>F</v>
      </c>
      <c r="F1137" s="202" t="str">
        <f ca="1">IFERROR(__xludf.DUMMYFUNCTION("""COMPUTED_VALUE"""),"J")</f>
        <v>J</v>
      </c>
      <c r="G1137" s="202">
        <f ca="1">IFERROR(__xludf.DUMMYFUNCTION("""COMPUTED_VALUE"""),3)</f>
        <v>3</v>
      </c>
      <c r="H1137" s="208"/>
      <c r="I1137" s="208"/>
      <c r="J1137" s="208"/>
      <c r="K1137" s="208"/>
      <c r="L1137" s="208" t="str">
        <v/>
      </c>
      <c r="M1137" s="208" t="str">
        <v/>
      </c>
    </row>
    <row r="1138" spans="1:13" ht="14.4">
      <c r="A1138" s="199" t="str">
        <f ca="1">IFERROR(__xludf.DUMMYFUNCTION("""COMPUTED_VALUE"""),"LG")</f>
        <v>LG</v>
      </c>
      <c r="B1138" s="207" t="str">
        <f ca="1">IFERROR(__xludf.DUMMYFUNCTION("""COMPUTED_VALUE"""),"Chance Hegenbart")</f>
        <v>Chance Hegenbart</v>
      </c>
      <c r="C1138" s="199">
        <f ca="1">IFERROR(__xludf.DUMMYFUNCTION("""COMPUTED_VALUE"""),9)</f>
        <v>9</v>
      </c>
      <c r="D1138" s="199" t="str">
        <f ca="1">IFERROR(__xludf.DUMMYFUNCTION("""COMPUTED_VALUE"""),"B")</f>
        <v>B</v>
      </c>
      <c r="E1138" s="202" t="str">
        <f ca="1">IFERROR(__xludf.DUMMYFUNCTION("""COMPUTED_VALUE"""),"F")</f>
        <v>F</v>
      </c>
      <c r="F1138" s="202" t="str">
        <f ca="1">IFERROR(__xludf.DUMMYFUNCTION("""COMPUTED_VALUE"""),"J")</f>
        <v>J</v>
      </c>
      <c r="G1138" s="202">
        <f ca="1">IFERROR(__xludf.DUMMYFUNCTION("""COMPUTED_VALUE"""),3)</f>
        <v>3</v>
      </c>
      <c r="H1138" s="208"/>
      <c r="I1138" s="208"/>
      <c r="J1138" s="208"/>
      <c r="K1138" s="208"/>
      <c r="L1138" s="208" t="str">
        <v/>
      </c>
      <c r="M1138" s="208" t="str">
        <v/>
      </c>
    </row>
    <row r="1139" spans="1:13" ht="14.4">
      <c r="A1139" s="199" t="str">
        <f ca="1">IFERROR(__xludf.DUMMYFUNCTION("""COMPUTED_VALUE"""),"LG")</f>
        <v>LG</v>
      </c>
      <c r="B1139" s="207" t="str">
        <f ca="1">IFERROR(__xludf.DUMMYFUNCTION("""COMPUTED_VALUE"""),"Eli Bolin")</f>
        <v>Eli Bolin</v>
      </c>
      <c r="C1139" s="199">
        <f ca="1">IFERROR(__xludf.DUMMYFUNCTION("""COMPUTED_VALUE"""),7)</f>
        <v>7</v>
      </c>
      <c r="D1139" s="199" t="str">
        <f ca="1">IFERROR(__xludf.DUMMYFUNCTION("""COMPUTED_VALUE"""),"B")</f>
        <v>B</v>
      </c>
      <c r="E1139" s="202" t="str">
        <f ca="1">IFERROR(__xludf.DUMMYFUNCTION("""COMPUTED_VALUE"""),"F")</f>
        <v>F</v>
      </c>
      <c r="F1139" s="202" t="str">
        <f ca="1">IFERROR(__xludf.DUMMYFUNCTION("""COMPUTED_VALUE"""),"J")</f>
        <v>J</v>
      </c>
      <c r="G1139" s="202">
        <f ca="1">IFERROR(__xludf.DUMMYFUNCTION("""COMPUTED_VALUE"""),3)</f>
        <v>3</v>
      </c>
      <c r="H1139" s="208"/>
      <c r="I1139" s="208"/>
      <c r="J1139" s="208"/>
      <c r="K1139" s="208"/>
      <c r="L1139" s="208" t="str">
        <v/>
      </c>
      <c r="M1139" s="208" t="str">
        <v/>
      </c>
    </row>
    <row r="1140" spans="1:13" ht="14.4">
      <c r="A1140" s="199" t="str">
        <f ca="1">IFERROR(__xludf.DUMMYFUNCTION("""COMPUTED_VALUE"""),"LG")</f>
        <v>LG</v>
      </c>
      <c r="B1140" s="207" t="str">
        <f ca="1">IFERROR(__xludf.DUMMYFUNCTION("""COMPUTED_VALUE"""),"Ethan Page")</f>
        <v>Ethan Page</v>
      </c>
      <c r="C1140" s="199">
        <f ca="1">IFERROR(__xludf.DUMMYFUNCTION("""COMPUTED_VALUE"""),8)</f>
        <v>8</v>
      </c>
      <c r="D1140" s="199" t="str">
        <f ca="1">IFERROR(__xludf.DUMMYFUNCTION("""COMPUTED_VALUE"""),"B")</f>
        <v>B</v>
      </c>
      <c r="E1140" s="202" t="str">
        <f ca="1">IFERROR(__xludf.DUMMYFUNCTION("""COMPUTED_VALUE"""),"F")</f>
        <v>F</v>
      </c>
      <c r="F1140" s="202" t="str">
        <f ca="1">IFERROR(__xludf.DUMMYFUNCTION("""COMPUTED_VALUE"""),"J")</f>
        <v>J</v>
      </c>
      <c r="G1140" s="202">
        <f ca="1">IFERROR(__xludf.DUMMYFUNCTION("""COMPUTED_VALUE"""),3)</f>
        <v>3</v>
      </c>
      <c r="H1140" s="208"/>
      <c r="I1140" s="208">
        <v>44.55</v>
      </c>
      <c r="J1140" s="208"/>
      <c r="K1140" s="208" t="s">
        <v>121</v>
      </c>
      <c r="L1140" s="208" t="str">
        <v xml:space="preserve"> 44.55</v>
      </c>
      <c r="M1140" s="208" t="str">
        <v/>
      </c>
    </row>
    <row r="1141" spans="1:13" ht="14.4">
      <c r="A1141" s="199" t="str">
        <f ca="1">IFERROR(__xludf.DUMMYFUNCTION("""COMPUTED_VALUE"""),"LG")</f>
        <v>LG</v>
      </c>
      <c r="B1141" s="207" t="str">
        <f ca="1">IFERROR(__xludf.DUMMYFUNCTION("""COMPUTED_VALUE"""),"Jackson Beach")</f>
        <v>Jackson Beach</v>
      </c>
      <c r="C1141" s="199">
        <f ca="1">IFERROR(__xludf.DUMMYFUNCTION("""COMPUTED_VALUE"""),9)</f>
        <v>9</v>
      </c>
      <c r="D1141" s="199" t="str">
        <f ca="1">IFERROR(__xludf.DUMMYFUNCTION("""COMPUTED_VALUE"""),"B")</f>
        <v>B</v>
      </c>
      <c r="E1141" s="202" t="str">
        <f ca="1">IFERROR(__xludf.DUMMYFUNCTION("""COMPUTED_VALUE"""),"F")</f>
        <v>F</v>
      </c>
      <c r="F1141" s="202" t="str">
        <f ca="1">IFERROR(__xludf.DUMMYFUNCTION("""COMPUTED_VALUE"""),"J")</f>
        <v>J</v>
      </c>
      <c r="G1141" s="202">
        <f ca="1">IFERROR(__xludf.DUMMYFUNCTION("""COMPUTED_VALUE"""),3)</f>
        <v>3</v>
      </c>
      <c r="H1141" s="208"/>
      <c r="I1141" s="208"/>
      <c r="J1141" s="208"/>
      <c r="K1141" s="208"/>
      <c r="L1141" s="208" t="str">
        <v/>
      </c>
      <c r="M1141" s="208" t="str">
        <v/>
      </c>
    </row>
    <row r="1142" spans="1:13" ht="14.4">
      <c r="A1142" s="199" t="str">
        <f ca="1">IFERROR(__xludf.DUMMYFUNCTION("""COMPUTED_VALUE"""),"LG")</f>
        <v>LG</v>
      </c>
      <c r="B1142" s="207" t="str">
        <f ca="1">IFERROR(__xludf.DUMMYFUNCTION("""COMPUTED_VALUE"""),"John Egge")</f>
        <v>John Egge</v>
      </c>
      <c r="C1142" s="199">
        <f ca="1">IFERROR(__xludf.DUMMYFUNCTION("""COMPUTED_VALUE"""),9)</f>
        <v>9</v>
      </c>
      <c r="D1142" s="199" t="str">
        <f ca="1">IFERROR(__xludf.DUMMYFUNCTION("""COMPUTED_VALUE"""),"B")</f>
        <v>B</v>
      </c>
      <c r="E1142" s="202" t="str">
        <f ca="1">IFERROR(__xludf.DUMMYFUNCTION("""COMPUTED_VALUE"""),"F")</f>
        <v>F</v>
      </c>
      <c r="F1142" s="202" t="str">
        <f ca="1">IFERROR(__xludf.DUMMYFUNCTION("""COMPUTED_VALUE"""),"J")</f>
        <v>J</v>
      </c>
      <c r="G1142" s="202">
        <f ca="1">IFERROR(__xludf.DUMMYFUNCTION("""COMPUTED_VALUE"""),3)</f>
        <v>3</v>
      </c>
      <c r="H1142" s="208"/>
      <c r="I1142" s="208"/>
      <c r="J1142" s="208"/>
      <c r="K1142" s="208"/>
      <c r="L1142" s="208" t="str">
        <v/>
      </c>
      <c r="M1142" s="208" t="str">
        <v/>
      </c>
    </row>
    <row r="1143" spans="1:13" ht="14.4">
      <c r="A1143" s="199" t="str">
        <f ca="1">IFERROR(__xludf.DUMMYFUNCTION("""COMPUTED_VALUE"""),"LG")</f>
        <v>LG</v>
      </c>
      <c r="B1143" s="207" t="str">
        <f ca="1">IFERROR(__xludf.DUMMYFUNCTION("""COMPUTED_VALUE"""),"Keaton Allard")</f>
        <v>Keaton Allard</v>
      </c>
      <c r="C1143" s="199">
        <f ca="1">IFERROR(__xludf.DUMMYFUNCTION("""COMPUTED_VALUE"""),8)</f>
        <v>8</v>
      </c>
      <c r="D1143" s="199" t="str">
        <f ca="1">IFERROR(__xludf.DUMMYFUNCTION("""COMPUTED_VALUE"""),"B")</f>
        <v>B</v>
      </c>
      <c r="E1143" s="202" t="str">
        <f ca="1">IFERROR(__xludf.DUMMYFUNCTION("""COMPUTED_VALUE"""),"F")</f>
        <v>F</v>
      </c>
      <c r="F1143" s="202" t="str">
        <f ca="1">IFERROR(__xludf.DUMMYFUNCTION("""COMPUTED_VALUE"""),"J")</f>
        <v>J</v>
      </c>
      <c r="G1143" s="202">
        <f ca="1">IFERROR(__xludf.DUMMYFUNCTION("""COMPUTED_VALUE"""),3)</f>
        <v>3</v>
      </c>
      <c r="H1143" s="208"/>
      <c r="I1143" s="208"/>
      <c r="J1143" s="208"/>
      <c r="K1143" s="208"/>
      <c r="L1143" s="208" t="str">
        <v/>
      </c>
      <c r="M1143" s="208" t="str">
        <v/>
      </c>
    </row>
    <row r="1144" spans="1:13" ht="14.4">
      <c r="A1144" s="199" t="str">
        <f ca="1">IFERROR(__xludf.DUMMYFUNCTION("""COMPUTED_VALUE"""),"LG")</f>
        <v>LG</v>
      </c>
      <c r="B1144" s="207" t="str">
        <f ca="1">IFERROR(__xludf.DUMMYFUNCTION("""COMPUTED_VALUE"""),"Miller Stevenson")</f>
        <v>Miller Stevenson</v>
      </c>
      <c r="C1144" s="199">
        <f ca="1">IFERROR(__xludf.DUMMYFUNCTION("""COMPUTED_VALUE"""),10)</f>
        <v>10</v>
      </c>
      <c r="D1144" s="199" t="str">
        <f ca="1">IFERROR(__xludf.DUMMYFUNCTION("""COMPUTED_VALUE"""),"B")</f>
        <v>B</v>
      </c>
      <c r="E1144" s="202" t="str">
        <f ca="1">IFERROR(__xludf.DUMMYFUNCTION("""COMPUTED_VALUE"""),"F")</f>
        <v>F</v>
      </c>
      <c r="F1144" s="202" t="str">
        <f ca="1">IFERROR(__xludf.DUMMYFUNCTION("""COMPUTED_VALUE"""),"J")</f>
        <v>J</v>
      </c>
      <c r="G1144" s="202">
        <f ca="1">IFERROR(__xludf.DUMMYFUNCTION("""COMPUTED_VALUE"""),3)</f>
        <v>3</v>
      </c>
      <c r="H1144" s="208"/>
      <c r="I1144" s="208"/>
      <c r="J1144" s="208"/>
      <c r="K1144" s="208"/>
      <c r="L1144" s="208" t="str">
        <v/>
      </c>
      <c r="M1144" s="208" t="str">
        <v/>
      </c>
    </row>
    <row r="1145" spans="1:13" ht="14.4">
      <c r="A1145" s="199" t="str">
        <f ca="1">IFERROR(__xludf.DUMMYFUNCTION("""COMPUTED_VALUE"""),"LG")</f>
        <v>LG</v>
      </c>
      <c r="B1145" s="207" t="str">
        <f ca="1">IFERROR(__xludf.DUMMYFUNCTION("""COMPUTED_VALUE"""),"Oliver Conole")</f>
        <v>Oliver Conole</v>
      </c>
      <c r="C1145" s="199">
        <f ca="1">IFERROR(__xludf.DUMMYFUNCTION("""COMPUTED_VALUE"""),7)</f>
        <v>7</v>
      </c>
      <c r="D1145" s="199" t="str">
        <f ca="1">IFERROR(__xludf.DUMMYFUNCTION("""COMPUTED_VALUE"""),"B")</f>
        <v>B</v>
      </c>
      <c r="E1145" s="202" t="str">
        <f ca="1">IFERROR(__xludf.DUMMYFUNCTION("""COMPUTED_VALUE"""),"F")</f>
        <v>F</v>
      </c>
      <c r="F1145" s="202" t="str">
        <f ca="1">IFERROR(__xludf.DUMMYFUNCTION("""COMPUTED_VALUE"""),"J")</f>
        <v>J</v>
      </c>
      <c r="G1145" s="202">
        <f ca="1">IFERROR(__xludf.DUMMYFUNCTION("""COMPUTED_VALUE"""),3)</f>
        <v>3</v>
      </c>
      <c r="H1145" s="208"/>
      <c r="I1145" s="208"/>
      <c r="J1145" s="208"/>
      <c r="K1145" s="208"/>
      <c r="L1145" s="208" t="str">
        <v/>
      </c>
      <c r="M1145" s="208" t="str">
        <v/>
      </c>
    </row>
    <row r="1146" spans="1:13" ht="14.4">
      <c r="A1146" s="199" t="str">
        <f ca="1">IFERROR(__xludf.DUMMYFUNCTION("""COMPUTED_VALUE"""),"LG")</f>
        <v>LG</v>
      </c>
      <c r="B1146" s="207" t="str">
        <f ca="1">IFERROR(__xludf.DUMMYFUNCTION("""COMPUTED_VALUE"""),"Patrick Verasin")</f>
        <v>Patrick Verasin</v>
      </c>
      <c r="C1146" s="199">
        <f ca="1">IFERROR(__xludf.DUMMYFUNCTION("""COMPUTED_VALUE"""),10)</f>
        <v>10</v>
      </c>
      <c r="D1146" s="199" t="str">
        <f ca="1">IFERROR(__xludf.DUMMYFUNCTION("""COMPUTED_VALUE"""),"B")</f>
        <v>B</v>
      </c>
      <c r="E1146" s="202" t="str">
        <f ca="1">IFERROR(__xludf.DUMMYFUNCTION("""COMPUTED_VALUE"""),"F")</f>
        <v>F</v>
      </c>
      <c r="F1146" s="202" t="str">
        <f ca="1">IFERROR(__xludf.DUMMYFUNCTION("""COMPUTED_VALUE"""),"J")</f>
        <v>J</v>
      </c>
      <c r="G1146" s="202">
        <f ca="1">IFERROR(__xludf.DUMMYFUNCTION("""COMPUTED_VALUE"""),3)</f>
        <v>3</v>
      </c>
      <c r="H1146" s="208"/>
      <c r="I1146" s="208">
        <v>42.8</v>
      </c>
      <c r="J1146" s="208"/>
      <c r="K1146" s="208" t="s">
        <v>121</v>
      </c>
      <c r="L1146" s="208" t="str">
        <v xml:space="preserve"> 42.8</v>
      </c>
      <c r="M1146" s="208" t="str">
        <v/>
      </c>
    </row>
    <row r="1147" spans="1:13" ht="14.4">
      <c r="A1147" s="199" t="str">
        <f ca="1">IFERROR(__xludf.DUMMYFUNCTION("""COMPUTED_VALUE"""),"LG")</f>
        <v>LG</v>
      </c>
      <c r="B1147" s="207" t="str">
        <f ca="1">IFERROR(__xludf.DUMMYFUNCTION("""COMPUTED_VALUE"""),"Reid Yeh")</f>
        <v>Reid Yeh</v>
      </c>
      <c r="C1147" s="199">
        <f ca="1">IFERROR(__xludf.DUMMYFUNCTION("""COMPUTED_VALUE"""),9)</f>
        <v>9</v>
      </c>
      <c r="D1147" s="199" t="str">
        <f ca="1">IFERROR(__xludf.DUMMYFUNCTION("""COMPUTED_VALUE"""),"B")</f>
        <v>B</v>
      </c>
      <c r="E1147" s="202" t="str">
        <f ca="1">IFERROR(__xludf.DUMMYFUNCTION("""COMPUTED_VALUE"""),"F")</f>
        <v>F</v>
      </c>
      <c r="F1147" s="202" t="str">
        <f ca="1">IFERROR(__xludf.DUMMYFUNCTION("""COMPUTED_VALUE"""),"J")</f>
        <v>J</v>
      </c>
      <c r="G1147" s="202">
        <f ca="1">IFERROR(__xludf.DUMMYFUNCTION("""COMPUTED_VALUE"""),3)</f>
        <v>3</v>
      </c>
      <c r="H1147" s="208"/>
      <c r="I1147" s="208"/>
      <c r="J1147" s="208"/>
      <c r="K1147" s="208"/>
      <c r="L1147" s="208" t="str">
        <v/>
      </c>
      <c r="M1147" s="208" t="str">
        <v/>
      </c>
    </row>
    <row r="1148" spans="1:13" ht="14.4">
      <c r="A1148" s="199" t="str">
        <f ca="1">IFERROR(__xludf.DUMMYFUNCTION("""COMPUTED_VALUE"""),"LG")</f>
        <v>LG</v>
      </c>
      <c r="B1148" s="207" t="str">
        <f ca="1">IFERROR(__xludf.DUMMYFUNCTION("""COMPUTED_VALUE"""),"Ronan Gallagher")</f>
        <v>Ronan Gallagher</v>
      </c>
      <c r="C1148" s="199">
        <f ca="1">IFERROR(__xludf.DUMMYFUNCTION("""COMPUTED_VALUE"""),7)</f>
        <v>7</v>
      </c>
      <c r="D1148" s="199" t="str">
        <f ca="1">IFERROR(__xludf.DUMMYFUNCTION("""COMPUTED_VALUE"""),"B")</f>
        <v>B</v>
      </c>
      <c r="E1148" s="202" t="str">
        <f ca="1">IFERROR(__xludf.DUMMYFUNCTION("""COMPUTED_VALUE"""),"F")</f>
        <v>F</v>
      </c>
      <c r="F1148" s="202" t="str">
        <f ca="1">IFERROR(__xludf.DUMMYFUNCTION("""COMPUTED_VALUE"""),"J")</f>
        <v>J</v>
      </c>
      <c r="G1148" s="202">
        <f ca="1">IFERROR(__xludf.DUMMYFUNCTION("""COMPUTED_VALUE"""),3)</f>
        <v>3</v>
      </c>
      <c r="H1148" s="208"/>
      <c r="I1148" s="208"/>
      <c r="J1148" s="208"/>
      <c r="K1148" s="208"/>
      <c r="L1148" s="208" t="str">
        <v/>
      </c>
      <c r="M1148" s="208" t="str">
        <v/>
      </c>
    </row>
    <row r="1149" spans="1:13" ht="14.4">
      <c r="A1149" s="199" t="str">
        <f ca="1">IFERROR(__xludf.DUMMYFUNCTION("""COMPUTED_VALUE"""),"LG")</f>
        <v>LG</v>
      </c>
      <c r="B1149" s="207" t="str">
        <f ca="1">IFERROR(__xludf.DUMMYFUNCTION("""COMPUTED_VALUE"""),"Teddy Klousia")</f>
        <v>Teddy Klousia</v>
      </c>
      <c r="C1149" s="199">
        <f ca="1">IFERROR(__xludf.DUMMYFUNCTION("""COMPUTED_VALUE"""),10)</f>
        <v>10</v>
      </c>
      <c r="D1149" s="199" t="str">
        <f ca="1">IFERROR(__xludf.DUMMYFUNCTION("""COMPUTED_VALUE"""),"B")</f>
        <v>B</v>
      </c>
      <c r="E1149" s="202" t="str">
        <f ca="1">IFERROR(__xludf.DUMMYFUNCTION("""COMPUTED_VALUE"""),"F")</f>
        <v>F</v>
      </c>
      <c r="F1149" s="202" t="str">
        <f ca="1">IFERROR(__xludf.DUMMYFUNCTION("""COMPUTED_VALUE"""),"J")</f>
        <v>J</v>
      </c>
      <c r="G1149" s="202">
        <f ca="1">IFERROR(__xludf.DUMMYFUNCTION("""COMPUTED_VALUE"""),3)</f>
        <v>3</v>
      </c>
      <c r="H1149" s="208"/>
      <c r="I1149" s="208">
        <v>60.2</v>
      </c>
      <c r="J1149" s="208"/>
      <c r="K1149" s="208" t="s">
        <v>121</v>
      </c>
      <c r="L1149" s="208" t="str">
        <v xml:space="preserve"> 60.2</v>
      </c>
      <c r="M1149" s="208" t="str">
        <v/>
      </c>
    </row>
    <row r="1150" spans="1:13" ht="14.4">
      <c r="A1150" s="199" t="str">
        <f ca="1">IFERROR(__xludf.DUMMYFUNCTION("""COMPUTED_VALUE"""),"LG")</f>
        <v>LG</v>
      </c>
      <c r="B1150" s="207" t="str">
        <f ca="1">IFERROR(__xludf.DUMMYFUNCTION("""COMPUTED_VALUE"""),"Truett Harmer")</f>
        <v>Truett Harmer</v>
      </c>
      <c r="C1150" s="199">
        <f ca="1">IFERROR(__xludf.DUMMYFUNCTION("""COMPUTED_VALUE"""),7)</f>
        <v>7</v>
      </c>
      <c r="D1150" s="199" t="str">
        <f ca="1">IFERROR(__xludf.DUMMYFUNCTION("""COMPUTED_VALUE"""),"B")</f>
        <v>B</v>
      </c>
      <c r="E1150" s="202" t="str">
        <f ca="1">IFERROR(__xludf.DUMMYFUNCTION("""COMPUTED_VALUE"""),"F")</f>
        <v>F</v>
      </c>
      <c r="F1150" s="202" t="str">
        <f ca="1">IFERROR(__xludf.DUMMYFUNCTION("""COMPUTED_VALUE"""),"J")</f>
        <v>J</v>
      </c>
      <c r="G1150" s="202">
        <f ca="1">IFERROR(__xludf.DUMMYFUNCTION("""COMPUTED_VALUE"""),3)</f>
        <v>3</v>
      </c>
      <c r="H1150" s="208"/>
      <c r="I1150" s="208"/>
      <c r="J1150" s="208"/>
      <c r="K1150" s="208"/>
      <c r="L1150" s="208" t="str">
        <v/>
      </c>
      <c r="M1150" s="208" t="str">
        <v/>
      </c>
    </row>
    <row r="1151" spans="1:13" ht="14.4">
      <c r="A1151" s="199" t="str">
        <f ca="1">IFERROR(__xludf.DUMMYFUNCTION("""COMPUTED_VALUE"""),"LG")</f>
        <v>LG</v>
      </c>
      <c r="B1151" s="207" t="str">
        <f ca="1">IFERROR(__xludf.DUMMYFUNCTION("""COMPUTED_VALUE"""),"Wesley Klousia")</f>
        <v>Wesley Klousia</v>
      </c>
      <c r="C1151" s="199">
        <f ca="1">IFERROR(__xludf.DUMMYFUNCTION("""COMPUTED_VALUE"""),5)</f>
        <v>5</v>
      </c>
      <c r="D1151" s="199" t="str">
        <f ca="1">IFERROR(__xludf.DUMMYFUNCTION("""COMPUTED_VALUE"""),"B")</f>
        <v>B</v>
      </c>
      <c r="E1151" s="202" t="str">
        <f ca="1">IFERROR(__xludf.DUMMYFUNCTION("""COMPUTED_VALUE"""),"F")</f>
        <v>F</v>
      </c>
      <c r="F1151" s="202" t="str">
        <f ca="1">IFERROR(__xludf.DUMMYFUNCTION("""COMPUTED_VALUE"""),"J")</f>
        <v>J</v>
      </c>
      <c r="G1151" s="202">
        <f ca="1">IFERROR(__xludf.DUMMYFUNCTION("""COMPUTED_VALUE"""),3)</f>
        <v>3</v>
      </c>
      <c r="H1151" s="208"/>
      <c r="I1151" s="208"/>
      <c r="J1151" s="208"/>
      <c r="K1151" s="208"/>
      <c r="L1151" s="208" t="str">
        <v/>
      </c>
      <c r="M1151" s="208" t="str">
        <v/>
      </c>
    </row>
    <row r="1152" spans="1:13" ht="14.4">
      <c r="A1152" s="199" t="str">
        <f ca="1">IFERROR(__xludf.DUMMYFUNCTION("""COMPUTED_VALUE"""),"LG")</f>
        <v>LG</v>
      </c>
      <c r="B1152" s="207" t="str">
        <f ca="1">IFERROR(__xludf.DUMMYFUNCTION("""COMPUTED_VALUE"""),"William Bucher")</f>
        <v>William Bucher</v>
      </c>
      <c r="C1152" s="199">
        <f ca="1">IFERROR(__xludf.DUMMYFUNCTION("""COMPUTED_VALUE"""),8)</f>
        <v>8</v>
      </c>
      <c r="D1152" s="199" t="str">
        <f ca="1">IFERROR(__xludf.DUMMYFUNCTION("""COMPUTED_VALUE"""),"B")</f>
        <v>B</v>
      </c>
      <c r="E1152" s="202" t="str">
        <f ca="1">IFERROR(__xludf.DUMMYFUNCTION("""COMPUTED_VALUE"""),"F")</f>
        <v>F</v>
      </c>
      <c r="F1152" s="202" t="str">
        <f ca="1">IFERROR(__xludf.DUMMYFUNCTION("""COMPUTED_VALUE"""),"J")</f>
        <v>J</v>
      </c>
      <c r="G1152" s="202">
        <f ca="1">IFERROR(__xludf.DUMMYFUNCTION("""COMPUTED_VALUE"""),3)</f>
        <v>3</v>
      </c>
      <c r="H1152" s="208"/>
      <c r="I1152" s="208"/>
      <c r="J1152" s="208"/>
      <c r="K1152" s="208"/>
      <c r="L1152" s="208" t="str">
        <v/>
      </c>
      <c r="M1152" s="208" t="str">
        <v/>
      </c>
    </row>
    <row r="1153" spans="1:13" ht="14.4">
      <c r="A1153" s="199" t="str">
        <f ca="1">IFERROR(__xludf.DUMMYFUNCTION("""COMPUTED_VALUE"""),"LG")</f>
        <v>LG</v>
      </c>
      <c r="B1153" s="207" t="str">
        <f ca="1">IFERROR(__xludf.DUMMYFUNCTION("""COMPUTED_VALUE"""),"William Davis")</f>
        <v>William Davis</v>
      </c>
      <c r="C1153" s="199">
        <f ca="1">IFERROR(__xludf.DUMMYFUNCTION("""COMPUTED_VALUE"""),10)</f>
        <v>10</v>
      </c>
      <c r="D1153" s="199" t="str">
        <f ca="1">IFERROR(__xludf.DUMMYFUNCTION("""COMPUTED_VALUE"""),"B")</f>
        <v>B</v>
      </c>
      <c r="E1153" s="202" t="str">
        <f ca="1">IFERROR(__xludf.DUMMYFUNCTION("""COMPUTED_VALUE"""),"F")</f>
        <v>F</v>
      </c>
      <c r="F1153" s="202" t="str">
        <f ca="1">IFERROR(__xludf.DUMMYFUNCTION("""COMPUTED_VALUE"""),"J")</f>
        <v>J</v>
      </c>
      <c r="G1153" s="202">
        <f ca="1">IFERROR(__xludf.DUMMYFUNCTION("""COMPUTED_VALUE"""),3)</f>
        <v>3</v>
      </c>
      <c r="H1153" s="208"/>
      <c r="I1153" s="208">
        <v>59.45</v>
      </c>
      <c r="J1153" s="208"/>
      <c r="K1153" s="208" t="s">
        <v>121</v>
      </c>
      <c r="L1153" s="208" t="str">
        <v xml:space="preserve"> 59.45</v>
      </c>
      <c r="M1153" s="208" t="str">
        <v/>
      </c>
    </row>
    <row r="1154" spans="1:13" ht="14.4">
      <c r="A1154" s="199" t="str">
        <f ca="1">IFERROR(__xludf.DUMMYFUNCTION("""COMPUTED_VALUE"""),"LG")</f>
        <v>LG</v>
      </c>
      <c r="B1154" s="207" t="str">
        <f ca="1">IFERROR(__xludf.DUMMYFUNCTION("""COMPUTED_VALUE"""),"Annabelle Tuss")</f>
        <v>Annabelle Tuss</v>
      </c>
      <c r="C1154" s="199">
        <f ca="1">IFERROR(__xludf.DUMMYFUNCTION("""COMPUTED_VALUE"""),4)</f>
        <v>4</v>
      </c>
      <c r="D1154" s="199" t="str">
        <f ca="1">IFERROR(__xludf.DUMMYFUNCTION("""COMPUTED_VALUE"""),"G")</f>
        <v>G</v>
      </c>
      <c r="E1154" s="202" t="str">
        <f ca="1">IFERROR(__xludf.DUMMYFUNCTION("""COMPUTED_VALUE"""),"F")</f>
        <v>F</v>
      </c>
      <c r="F1154" s="202" t="str">
        <f ca="1">IFERROR(__xludf.DUMMYFUNCTION("""COMPUTED_VALUE"""),"J")</f>
        <v>J</v>
      </c>
      <c r="G1154" s="202">
        <f ca="1">IFERROR(__xludf.DUMMYFUNCTION("""COMPUTED_VALUE"""),3)</f>
        <v>3</v>
      </c>
      <c r="H1154" s="208"/>
      <c r="I1154" s="208"/>
      <c r="J1154" s="208"/>
      <c r="K1154" s="208"/>
      <c r="L1154" s="208" t="str">
        <v/>
      </c>
      <c r="M1154" s="208" t="str">
        <v/>
      </c>
    </row>
    <row r="1155" spans="1:13" ht="14.4">
      <c r="A1155" s="199" t="str">
        <f ca="1">IFERROR(__xludf.DUMMYFUNCTION("""COMPUTED_VALUE"""),"LG")</f>
        <v>LG</v>
      </c>
      <c r="B1155" s="207" t="str">
        <f ca="1">IFERROR(__xludf.DUMMYFUNCTION("""COMPUTED_VALUE"""),"Arden Allard")</f>
        <v>Arden Allard</v>
      </c>
      <c r="C1155" s="199">
        <f ca="1">IFERROR(__xludf.DUMMYFUNCTION("""COMPUTED_VALUE"""),5)</f>
        <v>5</v>
      </c>
      <c r="D1155" s="199" t="str">
        <f ca="1">IFERROR(__xludf.DUMMYFUNCTION("""COMPUTED_VALUE"""),"G")</f>
        <v>G</v>
      </c>
      <c r="E1155" s="202" t="str">
        <f ca="1">IFERROR(__xludf.DUMMYFUNCTION("""COMPUTED_VALUE"""),"F")</f>
        <v>F</v>
      </c>
      <c r="F1155" s="202" t="str">
        <f ca="1">IFERROR(__xludf.DUMMYFUNCTION("""COMPUTED_VALUE"""),"J")</f>
        <v>J</v>
      </c>
      <c r="G1155" s="202">
        <f ca="1">IFERROR(__xludf.DUMMYFUNCTION("""COMPUTED_VALUE"""),3)</f>
        <v>3</v>
      </c>
      <c r="H1155" s="208"/>
      <c r="I1155" s="208"/>
      <c r="J1155" s="208"/>
      <c r="K1155" s="208"/>
      <c r="L1155" s="208" t="str">
        <v/>
      </c>
      <c r="M1155" s="208" t="str">
        <v/>
      </c>
    </row>
    <row r="1156" spans="1:13" ht="14.4">
      <c r="A1156" s="199" t="str">
        <f ca="1">IFERROR(__xludf.DUMMYFUNCTION("""COMPUTED_VALUE"""),"LG")</f>
        <v>LG</v>
      </c>
      <c r="B1156" s="207" t="str">
        <f ca="1">IFERROR(__xludf.DUMMYFUNCTION("""COMPUTED_VALUE"""),"Cahill Stevenson")</f>
        <v>Cahill Stevenson</v>
      </c>
      <c r="C1156" s="199">
        <f ca="1">IFERROR(__xludf.DUMMYFUNCTION("""COMPUTED_VALUE"""),7)</f>
        <v>7</v>
      </c>
      <c r="D1156" s="199" t="str">
        <f ca="1">IFERROR(__xludf.DUMMYFUNCTION("""COMPUTED_VALUE"""),"G")</f>
        <v>G</v>
      </c>
      <c r="E1156" s="202" t="str">
        <f ca="1">IFERROR(__xludf.DUMMYFUNCTION("""COMPUTED_VALUE"""),"F")</f>
        <v>F</v>
      </c>
      <c r="F1156" s="202" t="str">
        <f ca="1">IFERROR(__xludf.DUMMYFUNCTION("""COMPUTED_VALUE"""),"J")</f>
        <v>J</v>
      </c>
      <c r="G1156" s="202">
        <f ca="1">IFERROR(__xludf.DUMMYFUNCTION("""COMPUTED_VALUE"""),3)</f>
        <v>3</v>
      </c>
      <c r="H1156" s="206"/>
      <c r="I1156" s="206"/>
      <c r="J1156" s="206"/>
      <c r="K1156" s="206"/>
      <c r="L1156" s="206" t="str">
        <v/>
      </c>
      <c r="M1156" s="206" t="str">
        <v/>
      </c>
    </row>
    <row r="1157" spans="1:13" ht="14.4">
      <c r="A1157" s="199" t="str">
        <f ca="1">IFERROR(__xludf.DUMMYFUNCTION("""COMPUTED_VALUE"""),"LG")</f>
        <v>LG</v>
      </c>
      <c r="B1157" s="207" t="str">
        <f ca="1">IFERROR(__xludf.DUMMYFUNCTION("""COMPUTED_VALUE"""),"Caroline French")</f>
        <v>Caroline French</v>
      </c>
      <c r="C1157" s="199">
        <f ca="1">IFERROR(__xludf.DUMMYFUNCTION("""COMPUTED_VALUE"""),9)</f>
        <v>9</v>
      </c>
      <c r="D1157" s="199" t="str">
        <f ca="1">IFERROR(__xludf.DUMMYFUNCTION("""COMPUTED_VALUE"""),"G")</f>
        <v>G</v>
      </c>
      <c r="E1157" s="202" t="str">
        <f ca="1">IFERROR(__xludf.DUMMYFUNCTION("""COMPUTED_VALUE"""),"F")</f>
        <v>F</v>
      </c>
      <c r="F1157" s="202" t="str">
        <f ca="1">IFERROR(__xludf.DUMMYFUNCTION("""COMPUTED_VALUE"""),"J")</f>
        <v>J</v>
      </c>
      <c r="G1157" s="202">
        <f ca="1">IFERROR(__xludf.DUMMYFUNCTION("""COMPUTED_VALUE"""),3)</f>
        <v>3</v>
      </c>
      <c r="H1157" s="208"/>
      <c r="I1157" s="208"/>
      <c r="J1157" s="208"/>
      <c r="K1157" s="208"/>
      <c r="L1157" s="208" t="str">
        <v/>
      </c>
      <c r="M1157" s="208" t="str">
        <v/>
      </c>
    </row>
    <row r="1158" spans="1:13" ht="14.4">
      <c r="A1158" s="199" t="str">
        <f ca="1">IFERROR(__xludf.DUMMYFUNCTION("""COMPUTED_VALUE"""),"LG")</f>
        <v>LG</v>
      </c>
      <c r="B1158" s="207" t="str">
        <f ca="1">IFERROR(__xludf.DUMMYFUNCTION("""COMPUTED_VALUE"""),"Charlotte Vakerics")</f>
        <v>Charlotte Vakerics</v>
      </c>
      <c r="C1158" s="199">
        <f ca="1">IFERROR(__xludf.DUMMYFUNCTION("""COMPUTED_VALUE"""),8)</f>
        <v>8</v>
      </c>
      <c r="D1158" s="199" t="str">
        <f ca="1">IFERROR(__xludf.DUMMYFUNCTION("""COMPUTED_VALUE"""),"G")</f>
        <v>G</v>
      </c>
      <c r="E1158" s="202" t="str">
        <f ca="1">IFERROR(__xludf.DUMMYFUNCTION("""COMPUTED_VALUE"""),"F")</f>
        <v>F</v>
      </c>
      <c r="F1158" s="202" t="str">
        <f ca="1">IFERROR(__xludf.DUMMYFUNCTION("""COMPUTED_VALUE"""),"J")</f>
        <v>J</v>
      </c>
      <c r="G1158" s="202">
        <f ca="1">IFERROR(__xludf.DUMMYFUNCTION("""COMPUTED_VALUE"""),3)</f>
        <v>3</v>
      </c>
      <c r="H1158" s="208"/>
      <c r="I1158" s="208"/>
      <c r="J1158" s="208"/>
      <c r="K1158" s="208"/>
      <c r="L1158" s="208" t="str">
        <v/>
      </c>
      <c r="M1158" s="208" t="str">
        <v/>
      </c>
    </row>
    <row r="1159" spans="1:13" ht="14.4">
      <c r="A1159" s="199" t="str">
        <f ca="1">IFERROR(__xludf.DUMMYFUNCTION("""COMPUTED_VALUE"""),"LG")</f>
        <v>LG</v>
      </c>
      <c r="B1159" s="207" t="str">
        <f ca="1">IFERROR(__xludf.DUMMYFUNCTION("""COMPUTED_VALUE"""),"Claire Gallagher")</f>
        <v>Claire Gallagher</v>
      </c>
      <c r="C1159" s="199">
        <f ca="1">IFERROR(__xludf.DUMMYFUNCTION("""COMPUTED_VALUE"""),8)</f>
        <v>8</v>
      </c>
      <c r="D1159" s="199" t="str">
        <f ca="1">IFERROR(__xludf.DUMMYFUNCTION("""COMPUTED_VALUE"""),"G")</f>
        <v>G</v>
      </c>
      <c r="E1159" s="202" t="str">
        <f ca="1">IFERROR(__xludf.DUMMYFUNCTION("""COMPUTED_VALUE"""),"F")</f>
        <v>F</v>
      </c>
      <c r="F1159" s="202" t="str">
        <f ca="1">IFERROR(__xludf.DUMMYFUNCTION("""COMPUTED_VALUE"""),"J")</f>
        <v>J</v>
      </c>
      <c r="G1159" s="202">
        <f ca="1">IFERROR(__xludf.DUMMYFUNCTION("""COMPUTED_VALUE"""),3)</f>
        <v>3</v>
      </c>
      <c r="H1159" s="206"/>
      <c r="I1159" s="206"/>
      <c r="J1159" s="206"/>
      <c r="K1159" s="206"/>
      <c r="L1159" s="206" t="str">
        <v/>
      </c>
      <c r="M1159" s="206" t="str">
        <v/>
      </c>
    </row>
    <row r="1160" spans="1:13" ht="14.4">
      <c r="A1160" s="199" t="str">
        <f ca="1">IFERROR(__xludf.DUMMYFUNCTION("""COMPUTED_VALUE"""),"LG")</f>
        <v>LG</v>
      </c>
      <c r="B1160" s="207" t="str">
        <f ca="1">IFERROR(__xludf.DUMMYFUNCTION("""COMPUTED_VALUE"""),"Cora Brock")</f>
        <v>Cora Brock</v>
      </c>
      <c r="C1160" s="199">
        <f ca="1">IFERROR(__xludf.DUMMYFUNCTION("""COMPUTED_VALUE"""),10)</f>
        <v>10</v>
      </c>
      <c r="D1160" s="199" t="str">
        <f ca="1">IFERROR(__xludf.DUMMYFUNCTION("""COMPUTED_VALUE"""),"G")</f>
        <v>G</v>
      </c>
      <c r="E1160" s="202" t="str">
        <f ca="1">IFERROR(__xludf.DUMMYFUNCTION("""COMPUTED_VALUE"""),"F")</f>
        <v>F</v>
      </c>
      <c r="F1160" s="202" t="str">
        <f ca="1">IFERROR(__xludf.DUMMYFUNCTION("""COMPUTED_VALUE"""),"J")</f>
        <v>J</v>
      </c>
      <c r="G1160" s="202">
        <f ca="1">IFERROR(__xludf.DUMMYFUNCTION("""COMPUTED_VALUE"""),3)</f>
        <v>3</v>
      </c>
      <c r="H1160" s="208">
        <v>51.7</v>
      </c>
      <c r="I1160" s="208"/>
      <c r="J1160" s="208" t="s">
        <v>121</v>
      </c>
      <c r="K1160" s="208"/>
      <c r="L1160" s="208" t="str">
        <v xml:space="preserve"> 51.7</v>
      </c>
      <c r="M1160" s="208" t="str">
        <v/>
      </c>
    </row>
    <row r="1161" spans="1:13" ht="14.4">
      <c r="A1161" s="199" t="str">
        <f ca="1">IFERROR(__xludf.DUMMYFUNCTION("""COMPUTED_VALUE"""),"LG")</f>
        <v>LG</v>
      </c>
      <c r="B1161" s="207" t="str">
        <f ca="1">IFERROR(__xludf.DUMMYFUNCTION("""COMPUTED_VALUE"""),"Evelyn Banko")</f>
        <v>Evelyn Banko</v>
      </c>
      <c r="C1161" s="199">
        <f ca="1">IFERROR(__xludf.DUMMYFUNCTION("""COMPUTED_VALUE"""),8)</f>
        <v>8</v>
      </c>
      <c r="D1161" s="199" t="str">
        <f ca="1">IFERROR(__xludf.DUMMYFUNCTION("""COMPUTED_VALUE"""),"G")</f>
        <v>G</v>
      </c>
      <c r="E1161" s="202" t="str">
        <f ca="1">IFERROR(__xludf.DUMMYFUNCTION("""COMPUTED_VALUE"""),"F")</f>
        <v>F</v>
      </c>
      <c r="F1161" s="202" t="str">
        <f ca="1">IFERROR(__xludf.DUMMYFUNCTION("""COMPUTED_VALUE"""),"J")</f>
        <v>J</v>
      </c>
      <c r="G1161" s="202">
        <f ca="1">IFERROR(__xludf.DUMMYFUNCTION("""COMPUTED_VALUE"""),3)</f>
        <v>3</v>
      </c>
      <c r="H1161" s="206"/>
      <c r="I1161" s="206"/>
      <c r="J1161" s="206"/>
      <c r="K1161" s="206"/>
      <c r="L1161" s="206" t="str">
        <v/>
      </c>
      <c r="M1161" s="206" t="str">
        <v/>
      </c>
    </row>
    <row r="1162" spans="1:13" ht="14.4">
      <c r="A1162" s="199" t="str">
        <f ca="1">IFERROR(__xludf.DUMMYFUNCTION("""COMPUTED_VALUE"""),"LG")</f>
        <v>LG</v>
      </c>
      <c r="B1162" s="207" t="str">
        <f ca="1">IFERROR(__xludf.DUMMYFUNCTION("""COMPUTED_VALUE"""),"Evie Harmer")</f>
        <v>Evie Harmer</v>
      </c>
      <c r="C1162" s="199">
        <f ca="1">IFERROR(__xludf.DUMMYFUNCTION("""COMPUTED_VALUE"""),9)</f>
        <v>9</v>
      </c>
      <c r="D1162" s="199" t="str">
        <f ca="1">IFERROR(__xludf.DUMMYFUNCTION("""COMPUTED_VALUE"""),"G")</f>
        <v>G</v>
      </c>
      <c r="E1162" s="202" t="str">
        <f ca="1">IFERROR(__xludf.DUMMYFUNCTION("""COMPUTED_VALUE"""),"F")</f>
        <v>F</v>
      </c>
      <c r="F1162" s="202" t="str">
        <f ca="1">IFERROR(__xludf.DUMMYFUNCTION("""COMPUTED_VALUE"""),"J")</f>
        <v>J</v>
      </c>
      <c r="G1162" s="202">
        <f ca="1">IFERROR(__xludf.DUMMYFUNCTION("""COMPUTED_VALUE"""),3)</f>
        <v>3</v>
      </c>
      <c r="H1162" s="206">
        <v>51.45</v>
      </c>
      <c r="I1162" s="206"/>
      <c r="J1162" s="206" t="s">
        <v>121</v>
      </c>
      <c r="K1162" s="206"/>
      <c r="L1162" s="206" t="str">
        <v xml:space="preserve"> 51.45</v>
      </c>
      <c r="M1162" s="206" t="str">
        <v/>
      </c>
    </row>
    <row r="1163" spans="1:13" ht="14.4">
      <c r="A1163" s="199" t="str">
        <f ca="1">IFERROR(__xludf.DUMMYFUNCTION("""COMPUTED_VALUE"""),"LG")</f>
        <v>LG</v>
      </c>
      <c r="B1163" s="207" t="str">
        <f ca="1">IFERROR(__xludf.DUMMYFUNCTION("""COMPUTED_VALUE"""),"Flor Aldana")</f>
        <v>Flor Aldana</v>
      </c>
      <c r="C1163" s="199">
        <f ca="1">IFERROR(__xludf.DUMMYFUNCTION("""COMPUTED_VALUE"""),7)</f>
        <v>7</v>
      </c>
      <c r="D1163" s="199" t="str">
        <f ca="1">IFERROR(__xludf.DUMMYFUNCTION("""COMPUTED_VALUE"""),"G")</f>
        <v>G</v>
      </c>
      <c r="E1163" s="202" t="str">
        <f ca="1">IFERROR(__xludf.DUMMYFUNCTION("""COMPUTED_VALUE"""),"F")</f>
        <v>F</v>
      </c>
      <c r="F1163" s="202" t="str">
        <f ca="1">IFERROR(__xludf.DUMMYFUNCTION("""COMPUTED_VALUE"""),"J")</f>
        <v>J</v>
      </c>
      <c r="G1163" s="202">
        <f ca="1">IFERROR(__xludf.DUMMYFUNCTION("""COMPUTED_VALUE"""),3)</f>
        <v>3</v>
      </c>
      <c r="H1163" s="208"/>
      <c r="I1163" s="208"/>
      <c r="J1163" s="208"/>
      <c r="K1163" s="208"/>
      <c r="L1163" s="208" t="str">
        <v/>
      </c>
      <c r="M1163" s="208" t="str">
        <v/>
      </c>
    </row>
    <row r="1164" spans="1:13" ht="14.4">
      <c r="A1164" s="199" t="str">
        <f ca="1">IFERROR(__xludf.DUMMYFUNCTION("""COMPUTED_VALUE"""),"LG")</f>
        <v>LG</v>
      </c>
      <c r="B1164" s="207" t="str">
        <f ca="1">IFERROR(__xludf.DUMMYFUNCTION("""COMPUTED_VALUE"""),"Grace Swihart")</f>
        <v>Grace Swihart</v>
      </c>
      <c r="C1164" s="199">
        <f ca="1">IFERROR(__xludf.DUMMYFUNCTION("""COMPUTED_VALUE"""),7)</f>
        <v>7</v>
      </c>
      <c r="D1164" s="199" t="str">
        <f ca="1">IFERROR(__xludf.DUMMYFUNCTION("""COMPUTED_VALUE"""),"G")</f>
        <v>G</v>
      </c>
      <c r="E1164" s="202" t="str">
        <f ca="1">IFERROR(__xludf.DUMMYFUNCTION("""COMPUTED_VALUE"""),"F")</f>
        <v>F</v>
      </c>
      <c r="F1164" s="202" t="str">
        <f ca="1">IFERROR(__xludf.DUMMYFUNCTION("""COMPUTED_VALUE"""),"J")</f>
        <v>J</v>
      </c>
      <c r="G1164" s="202">
        <f ca="1">IFERROR(__xludf.DUMMYFUNCTION("""COMPUTED_VALUE"""),3)</f>
        <v>3</v>
      </c>
      <c r="H1164" s="208"/>
      <c r="I1164" s="208"/>
      <c r="J1164" s="208"/>
      <c r="K1164" s="208"/>
      <c r="L1164" s="208" t="str">
        <v/>
      </c>
      <c r="M1164" s="208" t="str">
        <v/>
      </c>
    </row>
    <row r="1165" spans="1:13" ht="14.4">
      <c r="A1165" s="199" t="str">
        <f ca="1">IFERROR(__xludf.DUMMYFUNCTION("""COMPUTED_VALUE"""),"LG")</f>
        <v>LG</v>
      </c>
      <c r="B1165" s="207" t="str">
        <f ca="1">IFERROR(__xludf.DUMMYFUNCTION("""COMPUTED_VALUE"""),"Graham Nicholson")</f>
        <v>Graham Nicholson</v>
      </c>
      <c r="C1165" s="199">
        <f ca="1">IFERROR(__xludf.DUMMYFUNCTION("""COMPUTED_VALUE"""),8)</f>
        <v>8</v>
      </c>
      <c r="D1165" s="199" t="str">
        <f ca="1">IFERROR(__xludf.DUMMYFUNCTION("""COMPUTED_VALUE"""),"G")</f>
        <v>G</v>
      </c>
      <c r="E1165" s="202" t="str">
        <f ca="1">IFERROR(__xludf.DUMMYFUNCTION("""COMPUTED_VALUE"""),"F")</f>
        <v>F</v>
      </c>
      <c r="F1165" s="202" t="str">
        <f ca="1">IFERROR(__xludf.DUMMYFUNCTION("""COMPUTED_VALUE"""),"J")</f>
        <v>J</v>
      </c>
      <c r="G1165" s="202">
        <f ca="1">IFERROR(__xludf.DUMMYFUNCTION("""COMPUTED_VALUE"""),3)</f>
        <v>3</v>
      </c>
      <c r="H1165" s="208"/>
      <c r="I1165" s="208"/>
      <c r="J1165" s="208"/>
      <c r="K1165" s="208"/>
      <c r="L1165" s="208" t="str">
        <v/>
      </c>
      <c r="M1165" s="208" t="str">
        <v/>
      </c>
    </row>
    <row r="1166" spans="1:13" ht="14.4">
      <c r="A1166" s="199" t="str">
        <f ca="1">IFERROR(__xludf.DUMMYFUNCTION("""COMPUTED_VALUE"""),"LG")</f>
        <v>LG</v>
      </c>
      <c r="B1166" s="207" t="str">
        <f ca="1">IFERROR(__xludf.DUMMYFUNCTION("""COMPUTED_VALUE"""),"Hazel Lauver")</f>
        <v>Hazel Lauver</v>
      </c>
      <c r="C1166" s="199">
        <f ca="1">IFERROR(__xludf.DUMMYFUNCTION("""COMPUTED_VALUE"""),6)</f>
        <v>6</v>
      </c>
      <c r="D1166" s="199" t="str">
        <f ca="1">IFERROR(__xludf.DUMMYFUNCTION("""COMPUTED_VALUE"""),"G")</f>
        <v>G</v>
      </c>
      <c r="E1166" s="202" t="str">
        <f ca="1">IFERROR(__xludf.DUMMYFUNCTION("""COMPUTED_VALUE"""),"F")</f>
        <v>F</v>
      </c>
      <c r="F1166" s="202" t="str">
        <f ca="1">IFERROR(__xludf.DUMMYFUNCTION("""COMPUTED_VALUE"""),"J")</f>
        <v>J</v>
      </c>
      <c r="G1166" s="202">
        <f ca="1">IFERROR(__xludf.DUMMYFUNCTION("""COMPUTED_VALUE"""),3)</f>
        <v>3</v>
      </c>
      <c r="H1166" s="206"/>
      <c r="I1166" s="206"/>
      <c r="J1166" s="206"/>
      <c r="K1166" s="206"/>
      <c r="L1166" s="206" t="str">
        <v/>
      </c>
      <c r="M1166" s="206" t="str">
        <v/>
      </c>
    </row>
    <row r="1167" spans="1:13" ht="14.4">
      <c r="A1167" s="199" t="str">
        <f ca="1">IFERROR(__xludf.DUMMYFUNCTION("""COMPUTED_VALUE"""),"LG")</f>
        <v>LG</v>
      </c>
      <c r="B1167" s="207" t="str">
        <f ca="1">IFERROR(__xludf.DUMMYFUNCTION("""COMPUTED_VALUE"""),"June Tuss")</f>
        <v>June Tuss</v>
      </c>
      <c r="C1167" s="199">
        <f ca="1">IFERROR(__xludf.DUMMYFUNCTION("""COMPUTED_VALUE"""),7)</f>
        <v>7</v>
      </c>
      <c r="D1167" s="199" t="str">
        <f ca="1">IFERROR(__xludf.DUMMYFUNCTION("""COMPUTED_VALUE"""),"G")</f>
        <v>G</v>
      </c>
      <c r="E1167" s="202" t="str">
        <f ca="1">IFERROR(__xludf.DUMMYFUNCTION("""COMPUTED_VALUE"""),"F")</f>
        <v>F</v>
      </c>
      <c r="F1167" s="202" t="str">
        <f ca="1">IFERROR(__xludf.DUMMYFUNCTION("""COMPUTED_VALUE"""),"J")</f>
        <v>J</v>
      </c>
      <c r="G1167" s="202">
        <f ca="1">IFERROR(__xludf.DUMMYFUNCTION("""COMPUTED_VALUE"""),3)</f>
        <v>3</v>
      </c>
      <c r="H1167" s="208"/>
      <c r="I1167" s="208"/>
      <c r="J1167" s="208"/>
      <c r="K1167" s="208"/>
      <c r="L1167" s="208" t="str">
        <v/>
      </c>
      <c r="M1167" s="208" t="str">
        <v/>
      </c>
    </row>
    <row r="1168" spans="1:13" ht="14.4">
      <c r="A1168" s="199" t="str">
        <f ca="1">IFERROR(__xludf.DUMMYFUNCTION("""COMPUTED_VALUE"""),"LG")</f>
        <v>LG</v>
      </c>
      <c r="B1168" s="207" t="str">
        <f ca="1">IFERROR(__xludf.DUMMYFUNCTION("""COMPUTED_VALUE"""),"Lila Scully")</f>
        <v>Lila Scully</v>
      </c>
      <c r="C1168" s="199">
        <f ca="1">IFERROR(__xludf.DUMMYFUNCTION("""COMPUTED_VALUE"""),8)</f>
        <v>8</v>
      </c>
      <c r="D1168" s="199" t="str">
        <f ca="1">IFERROR(__xludf.DUMMYFUNCTION("""COMPUTED_VALUE"""),"G")</f>
        <v>G</v>
      </c>
      <c r="E1168" s="202" t="str">
        <f ca="1">IFERROR(__xludf.DUMMYFUNCTION("""COMPUTED_VALUE"""),"F")</f>
        <v>F</v>
      </c>
      <c r="F1168" s="202" t="str">
        <f ca="1">IFERROR(__xludf.DUMMYFUNCTION("""COMPUTED_VALUE"""),"J")</f>
        <v>J</v>
      </c>
      <c r="G1168" s="202">
        <f ca="1">IFERROR(__xludf.DUMMYFUNCTION("""COMPUTED_VALUE"""),3)</f>
        <v>3</v>
      </c>
      <c r="H1168" s="206">
        <v>38.15</v>
      </c>
      <c r="I1168" s="206"/>
      <c r="J1168" s="206" t="s">
        <v>121</v>
      </c>
      <c r="K1168" s="206"/>
      <c r="L1168" s="206" t="str">
        <v xml:space="preserve"> 38.15</v>
      </c>
      <c r="M1168" s="206" t="str">
        <v/>
      </c>
    </row>
    <row r="1169" spans="1:13" ht="14.4">
      <c r="A1169" s="199" t="str">
        <f ca="1">IFERROR(__xludf.DUMMYFUNCTION("""COMPUTED_VALUE"""),"LG")</f>
        <v>LG</v>
      </c>
      <c r="B1169" s="207" t="str">
        <f ca="1">IFERROR(__xludf.DUMMYFUNCTION("""COMPUTED_VALUE"""),"Maddie Hebert")</f>
        <v>Maddie Hebert</v>
      </c>
      <c r="C1169" s="199">
        <f ca="1">IFERROR(__xludf.DUMMYFUNCTION("""COMPUTED_VALUE"""),10)</f>
        <v>10</v>
      </c>
      <c r="D1169" s="199" t="str">
        <f ca="1">IFERROR(__xludf.DUMMYFUNCTION("""COMPUTED_VALUE"""),"G")</f>
        <v>G</v>
      </c>
      <c r="E1169" s="202" t="str">
        <f ca="1">IFERROR(__xludf.DUMMYFUNCTION("""COMPUTED_VALUE"""),"F")</f>
        <v>F</v>
      </c>
      <c r="F1169" s="202" t="str">
        <f ca="1">IFERROR(__xludf.DUMMYFUNCTION("""COMPUTED_VALUE"""),"J")</f>
        <v>J</v>
      </c>
      <c r="G1169" s="202">
        <f ca="1">IFERROR(__xludf.DUMMYFUNCTION("""COMPUTED_VALUE"""),3)</f>
        <v>3</v>
      </c>
      <c r="H1169" s="208"/>
      <c r="I1169" s="208"/>
      <c r="J1169" s="208"/>
      <c r="K1169" s="208"/>
      <c r="L1169" s="208" t="str">
        <v/>
      </c>
      <c r="M1169" s="208" t="str">
        <v/>
      </c>
    </row>
    <row r="1170" spans="1:13" ht="14.4">
      <c r="A1170" s="199" t="str">
        <f ca="1">IFERROR(__xludf.DUMMYFUNCTION("""COMPUTED_VALUE"""),"LG")</f>
        <v>LG</v>
      </c>
      <c r="B1170" s="207" t="str">
        <f ca="1">IFERROR(__xludf.DUMMYFUNCTION("""COMPUTED_VALUE"""),"Maggie Scully")</f>
        <v>Maggie Scully</v>
      </c>
      <c r="C1170" s="199">
        <f ca="1">IFERROR(__xludf.DUMMYFUNCTION("""COMPUTED_VALUE"""),6)</f>
        <v>6</v>
      </c>
      <c r="D1170" s="199" t="str">
        <f ca="1">IFERROR(__xludf.DUMMYFUNCTION("""COMPUTED_VALUE"""),"G")</f>
        <v>G</v>
      </c>
      <c r="E1170" s="202" t="str">
        <f ca="1">IFERROR(__xludf.DUMMYFUNCTION("""COMPUTED_VALUE"""),"F")</f>
        <v>F</v>
      </c>
      <c r="F1170" s="202" t="str">
        <f ca="1">IFERROR(__xludf.DUMMYFUNCTION("""COMPUTED_VALUE"""),"J")</f>
        <v>J</v>
      </c>
      <c r="G1170" s="202">
        <f ca="1">IFERROR(__xludf.DUMMYFUNCTION("""COMPUTED_VALUE"""),3)</f>
        <v>3</v>
      </c>
      <c r="H1170" s="206">
        <v>42.35</v>
      </c>
      <c r="I1170" s="206"/>
      <c r="J1170" s="206" t="s">
        <v>121</v>
      </c>
      <c r="K1170" s="206"/>
      <c r="L1170" s="206" t="str">
        <v xml:space="preserve"> 42.35</v>
      </c>
      <c r="M1170" s="206" t="str">
        <v/>
      </c>
    </row>
    <row r="1171" spans="1:13" ht="14.4">
      <c r="A1171" s="199" t="str">
        <f ca="1">IFERROR(__xludf.DUMMYFUNCTION("""COMPUTED_VALUE"""),"LG")</f>
        <v>LG</v>
      </c>
      <c r="B1171" s="207" t="str">
        <f ca="1">IFERROR(__xludf.DUMMYFUNCTION("""COMPUTED_VALUE"""),"Malin Klousia")</f>
        <v>Malin Klousia</v>
      </c>
      <c r="C1171" s="199">
        <f ca="1">IFERROR(__xludf.DUMMYFUNCTION("""COMPUTED_VALUE"""),10)</f>
        <v>10</v>
      </c>
      <c r="D1171" s="199" t="str">
        <f ca="1">IFERROR(__xludf.DUMMYFUNCTION("""COMPUTED_VALUE"""),"G")</f>
        <v>G</v>
      </c>
      <c r="E1171" s="202" t="str">
        <f ca="1">IFERROR(__xludf.DUMMYFUNCTION("""COMPUTED_VALUE"""),"F")</f>
        <v>F</v>
      </c>
      <c r="F1171" s="202" t="str">
        <f ca="1">IFERROR(__xludf.DUMMYFUNCTION("""COMPUTED_VALUE"""),"J")</f>
        <v>J</v>
      </c>
      <c r="G1171" s="202">
        <f ca="1">IFERROR(__xludf.DUMMYFUNCTION("""COMPUTED_VALUE"""),3)</f>
        <v>3</v>
      </c>
      <c r="H1171" s="206"/>
      <c r="I1171" s="206"/>
      <c r="J1171" s="206"/>
      <c r="K1171" s="206"/>
      <c r="L1171" s="206" t="str">
        <v/>
      </c>
      <c r="M1171" s="206" t="str">
        <v/>
      </c>
    </row>
    <row r="1172" spans="1:13" ht="14.4">
      <c r="A1172" s="199" t="str">
        <f ca="1">IFERROR(__xludf.DUMMYFUNCTION("""COMPUTED_VALUE"""),"LG")</f>
        <v>LG</v>
      </c>
      <c r="B1172" s="207" t="str">
        <f ca="1">IFERROR(__xludf.DUMMYFUNCTION("""COMPUTED_VALUE"""),"Mary Brooks Simoneaux")</f>
        <v>Mary Brooks Simoneaux</v>
      </c>
      <c r="C1172" s="199">
        <f ca="1">IFERROR(__xludf.DUMMYFUNCTION("""COMPUTED_VALUE"""),7)</f>
        <v>7</v>
      </c>
      <c r="D1172" s="199" t="str">
        <f ca="1">IFERROR(__xludf.DUMMYFUNCTION("""COMPUTED_VALUE"""),"G")</f>
        <v>G</v>
      </c>
      <c r="E1172" s="202" t="str">
        <f ca="1">IFERROR(__xludf.DUMMYFUNCTION("""COMPUTED_VALUE"""),"F")</f>
        <v>F</v>
      </c>
      <c r="F1172" s="202" t="str">
        <f ca="1">IFERROR(__xludf.DUMMYFUNCTION("""COMPUTED_VALUE"""),"J")</f>
        <v>J</v>
      </c>
      <c r="G1172" s="202">
        <f ca="1">IFERROR(__xludf.DUMMYFUNCTION("""COMPUTED_VALUE"""),3)</f>
        <v>3</v>
      </c>
      <c r="H1172" s="206"/>
      <c r="I1172" s="206"/>
      <c r="J1172" s="206"/>
      <c r="K1172" s="206"/>
      <c r="L1172" s="206" t="str">
        <v/>
      </c>
      <c r="M1172" s="206" t="str">
        <v/>
      </c>
    </row>
    <row r="1173" spans="1:13" ht="14.4">
      <c r="A1173" s="199" t="str">
        <f ca="1">IFERROR(__xludf.DUMMYFUNCTION("""COMPUTED_VALUE"""),"LG")</f>
        <v>LG</v>
      </c>
      <c r="B1173" s="207" t="str">
        <f ca="1">IFERROR(__xludf.DUMMYFUNCTION("""COMPUTED_VALUE"""),"Mckayla Danner")</f>
        <v>Mckayla Danner</v>
      </c>
      <c r="C1173" s="199">
        <f ca="1">IFERROR(__xludf.DUMMYFUNCTION("""COMPUTED_VALUE"""),8)</f>
        <v>8</v>
      </c>
      <c r="D1173" s="199" t="str">
        <f ca="1">IFERROR(__xludf.DUMMYFUNCTION("""COMPUTED_VALUE"""),"G")</f>
        <v>G</v>
      </c>
      <c r="E1173" s="202" t="str">
        <f ca="1">IFERROR(__xludf.DUMMYFUNCTION("""COMPUTED_VALUE"""),"F")</f>
        <v>F</v>
      </c>
      <c r="F1173" s="202" t="str">
        <f ca="1">IFERROR(__xludf.DUMMYFUNCTION("""COMPUTED_VALUE"""),"J")</f>
        <v>J</v>
      </c>
      <c r="G1173" s="202">
        <f ca="1">IFERROR(__xludf.DUMMYFUNCTION("""COMPUTED_VALUE"""),3)</f>
        <v>3</v>
      </c>
      <c r="H1173" s="208"/>
      <c r="I1173" s="208"/>
      <c r="J1173" s="208"/>
      <c r="K1173" s="208"/>
      <c r="L1173" s="208" t="str">
        <v/>
      </c>
      <c r="M1173" s="208" t="str">
        <v/>
      </c>
    </row>
    <row r="1174" spans="1:13" ht="14.4">
      <c r="A1174" s="199" t="str">
        <f ca="1">IFERROR(__xludf.DUMMYFUNCTION("""COMPUTED_VALUE"""),"LG")</f>
        <v>LG</v>
      </c>
      <c r="B1174" s="207" t="str">
        <f ca="1">IFERROR(__xludf.DUMMYFUNCTION("""COMPUTED_VALUE"""),"McKinley Cervenak")</f>
        <v>McKinley Cervenak</v>
      </c>
      <c r="C1174" s="199">
        <f ca="1">IFERROR(__xludf.DUMMYFUNCTION("""COMPUTED_VALUE"""),6)</f>
        <v>6</v>
      </c>
      <c r="D1174" s="199" t="str">
        <f ca="1">IFERROR(__xludf.DUMMYFUNCTION("""COMPUTED_VALUE"""),"G")</f>
        <v>G</v>
      </c>
      <c r="E1174" s="202" t="str">
        <f ca="1">IFERROR(__xludf.DUMMYFUNCTION("""COMPUTED_VALUE"""),"F")</f>
        <v>F</v>
      </c>
      <c r="F1174" s="202" t="str">
        <f ca="1">IFERROR(__xludf.DUMMYFUNCTION("""COMPUTED_VALUE"""),"J")</f>
        <v>J</v>
      </c>
      <c r="G1174" s="202">
        <f ca="1">IFERROR(__xludf.DUMMYFUNCTION("""COMPUTED_VALUE"""),3)</f>
        <v>3</v>
      </c>
      <c r="H1174" s="208"/>
      <c r="I1174" s="208"/>
      <c r="J1174" s="208"/>
      <c r="K1174" s="208"/>
      <c r="L1174" s="208" t="str">
        <v/>
      </c>
      <c r="M1174" s="208" t="str">
        <v/>
      </c>
    </row>
    <row r="1175" spans="1:13" ht="14.4">
      <c r="A1175" s="199" t="str">
        <f ca="1">IFERROR(__xludf.DUMMYFUNCTION("""COMPUTED_VALUE"""),"LG")</f>
        <v>LG</v>
      </c>
      <c r="B1175" s="207" t="str">
        <f ca="1">IFERROR(__xludf.DUMMYFUNCTION("""COMPUTED_VALUE"""),"Olivia Wendell")</f>
        <v>Olivia Wendell</v>
      </c>
      <c r="C1175" s="199">
        <f ca="1">IFERROR(__xludf.DUMMYFUNCTION("""COMPUTED_VALUE"""),10)</f>
        <v>10</v>
      </c>
      <c r="D1175" s="199" t="str">
        <f ca="1">IFERROR(__xludf.DUMMYFUNCTION("""COMPUTED_VALUE"""),"G")</f>
        <v>G</v>
      </c>
      <c r="E1175" s="202" t="str">
        <f ca="1">IFERROR(__xludf.DUMMYFUNCTION("""COMPUTED_VALUE"""),"F")</f>
        <v>F</v>
      </c>
      <c r="F1175" s="202" t="str">
        <f ca="1">IFERROR(__xludf.DUMMYFUNCTION("""COMPUTED_VALUE"""),"J")</f>
        <v>J</v>
      </c>
      <c r="G1175" s="202">
        <f ca="1">IFERROR(__xludf.DUMMYFUNCTION("""COMPUTED_VALUE"""),3)</f>
        <v>3</v>
      </c>
      <c r="H1175" s="206"/>
      <c r="I1175" s="206"/>
      <c r="J1175" s="206"/>
      <c r="K1175" s="206"/>
      <c r="L1175" s="206" t="str">
        <v/>
      </c>
      <c r="M1175" s="206" t="str">
        <v/>
      </c>
    </row>
    <row r="1176" spans="1:13" ht="14.4">
      <c r="A1176" s="199" t="str">
        <f ca="1">IFERROR(__xludf.DUMMYFUNCTION("""COMPUTED_VALUE"""),"LG")</f>
        <v>LG</v>
      </c>
      <c r="B1176" s="207" t="str">
        <f ca="1">IFERROR(__xludf.DUMMYFUNCTION("""COMPUTED_VALUE"""),"Reese Fisher")</f>
        <v>Reese Fisher</v>
      </c>
      <c r="C1176" s="199">
        <f ca="1">IFERROR(__xludf.DUMMYFUNCTION("""COMPUTED_VALUE"""),7)</f>
        <v>7</v>
      </c>
      <c r="D1176" s="199" t="str">
        <f ca="1">IFERROR(__xludf.DUMMYFUNCTION("""COMPUTED_VALUE"""),"G")</f>
        <v>G</v>
      </c>
      <c r="E1176" s="202" t="str">
        <f ca="1">IFERROR(__xludf.DUMMYFUNCTION("""COMPUTED_VALUE"""),"F")</f>
        <v>F</v>
      </c>
      <c r="F1176" s="202" t="str">
        <f ca="1">IFERROR(__xludf.DUMMYFUNCTION("""COMPUTED_VALUE"""),"J")</f>
        <v>J</v>
      </c>
      <c r="G1176" s="202">
        <f ca="1">IFERROR(__xludf.DUMMYFUNCTION("""COMPUTED_VALUE"""),3)</f>
        <v>3</v>
      </c>
      <c r="H1176" s="208"/>
      <c r="I1176" s="208"/>
      <c r="J1176" s="208"/>
      <c r="K1176" s="208"/>
      <c r="L1176" s="208" t="str">
        <v/>
      </c>
      <c r="M1176" s="208" t="str">
        <v/>
      </c>
    </row>
    <row r="1177" spans="1:13" ht="14.4">
      <c r="A1177" s="199" t="str">
        <f ca="1">IFERROR(__xludf.DUMMYFUNCTION("""COMPUTED_VALUE"""),"LG")</f>
        <v>LG</v>
      </c>
      <c r="B1177" s="207" t="str">
        <f ca="1">IFERROR(__xludf.DUMMYFUNCTION("""COMPUTED_VALUE"""),"Ruby Conole")</f>
        <v>Ruby Conole</v>
      </c>
      <c r="C1177" s="199">
        <f ca="1">IFERROR(__xludf.DUMMYFUNCTION("""COMPUTED_VALUE"""),4)</f>
        <v>4</v>
      </c>
      <c r="D1177" s="199" t="str">
        <f ca="1">IFERROR(__xludf.DUMMYFUNCTION("""COMPUTED_VALUE"""),"G")</f>
        <v>G</v>
      </c>
      <c r="E1177" s="202" t="str">
        <f ca="1">IFERROR(__xludf.DUMMYFUNCTION("""COMPUTED_VALUE"""),"F")</f>
        <v>F</v>
      </c>
      <c r="F1177" s="202" t="str">
        <f ca="1">IFERROR(__xludf.DUMMYFUNCTION("""COMPUTED_VALUE"""),"J")</f>
        <v>J</v>
      </c>
      <c r="G1177" s="202">
        <f ca="1">IFERROR(__xludf.DUMMYFUNCTION("""COMPUTED_VALUE"""),3)</f>
        <v>3</v>
      </c>
      <c r="H1177" s="206"/>
      <c r="I1177" s="206"/>
      <c r="J1177" s="206"/>
      <c r="K1177" s="206"/>
      <c r="L1177" s="206" t="str">
        <v/>
      </c>
      <c r="M1177" s="206" t="str">
        <v/>
      </c>
    </row>
    <row r="1178" spans="1:13" ht="14.4">
      <c r="A1178" s="199" t="str">
        <f ca="1">IFERROR(__xludf.DUMMYFUNCTION("""COMPUTED_VALUE"""),"LG")</f>
        <v>LG</v>
      </c>
      <c r="B1178" s="207" t="str">
        <f ca="1">IFERROR(__xludf.DUMMYFUNCTION("""COMPUTED_VALUE"""),"Sarah Banko")</f>
        <v>Sarah Banko</v>
      </c>
      <c r="C1178" s="199">
        <f ca="1">IFERROR(__xludf.DUMMYFUNCTION("""COMPUTED_VALUE"""),10)</f>
        <v>10</v>
      </c>
      <c r="D1178" s="199" t="str">
        <f ca="1">IFERROR(__xludf.DUMMYFUNCTION("""COMPUTED_VALUE"""),"G")</f>
        <v>G</v>
      </c>
      <c r="E1178" s="202" t="str">
        <f ca="1">IFERROR(__xludf.DUMMYFUNCTION("""COMPUTED_VALUE"""),"F")</f>
        <v>F</v>
      </c>
      <c r="F1178" s="202" t="str">
        <f ca="1">IFERROR(__xludf.DUMMYFUNCTION("""COMPUTED_VALUE"""),"J")</f>
        <v>J</v>
      </c>
      <c r="G1178" s="202">
        <f ca="1">IFERROR(__xludf.DUMMYFUNCTION("""COMPUTED_VALUE"""),3)</f>
        <v>3</v>
      </c>
      <c r="H1178" s="206">
        <v>37.1</v>
      </c>
      <c r="I1178" s="206"/>
      <c r="J1178" s="206" t="s">
        <v>121</v>
      </c>
      <c r="K1178" s="206"/>
      <c r="L1178" s="206" t="str">
        <v xml:space="preserve"> 37.1</v>
      </c>
      <c r="M1178" s="206" t="str">
        <v/>
      </c>
    </row>
    <row r="1179" spans="1:13" ht="14.4">
      <c r="A1179" s="199" t="str">
        <f ca="1">IFERROR(__xludf.DUMMYFUNCTION("""COMPUTED_VALUE"""),"LG")</f>
        <v>LG</v>
      </c>
      <c r="B1179" s="207" t="str">
        <f ca="1">IFERROR(__xludf.DUMMYFUNCTION("""COMPUTED_VALUE"""),"Sloane Gallagher")</f>
        <v>Sloane Gallagher</v>
      </c>
      <c r="C1179" s="199">
        <f ca="1">IFERROR(__xludf.DUMMYFUNCTION("""COMPUTED_VALUE"""),5)</f>
        <v>5</v>
      </c>
      <c r="D1179" s="199" t="str">
        <f ca="1">IFERROR(__xludf.DUMMYFUNCTION("""COMPUTED_VALUE"""),"G")</f>
        <v>G</v>
      </c>
      <c r="E1179" s="202" t="str">
        <f ca="1">IFERROR(__xludf.DUMMYFUNCTION("""COMPUTED_VALUE"""),"F")</f>
        <v>F</v>
      </c>
      <c r="F1179" s="202" t="str">
        <f ca="1">IFERROR(__xludf.DUMMYFUNCTION("""COMPUTED_VALUE"""),"J")</f>
        <v>J</v>
      </c>
      <c r="G1179" s="202">
        <f ca="1">IFERROR(__xludf.DUMMYFUNCTION("""COMPUTED_VALUE"""),3)</f>
        <v>3</v>
      </c>
      <c r="H1179" s="208"/>
      <c r="I1179" s="208"/>
      <c r="J1179" s="208"/>
      <c r="K1179" s="208"/>
      <c r="L1179" s="208" t="str">
        <v/>
      </c>
      <c r="M1179" s="208" t="str">
        <v/>
      </c>
    </row>
    <row r="1180" spans="1:13" ht="14.4">
      <c r="A1180" s="199" t="str">
        <f ca="1">IFERROR(__xludf.DUMMYFUNCTION("""COMPUTED_VALUE"""),"LG")</f>
        <v>LG</v>
      </c>
      <c r="B1180" s="207" t="str">
        <f ca="1">IFERROR(__xludf.DUMMYFUNCTION("""COMPUTED_VALUE"""),"Thea Conole")</f>
        <v>Thea Conole</v>
      </c>
      <c r="C1180" s="199">
        <f ca="1">IFERROR(__xludf.DUMMYFUNCTION("""COMPUTED_VALUE"""),9)</f>
        <v>9</v>
      </c>
      <c r="D1180" s="199" t="str">
        <f ca="1">IFERROR(__xludf.DUMMYFUNCTION("""COMPUTED_VALUE"""),"G")</f>
        <v>G</v>
      </c>
      <c r="E1180" s="202" t="str">
        <f ca="1">IFERROR(__xludf.DUMMYFUNCTION("""COMPUTED_VALUE"""),"F")</f>
        <v>F</v>
      </c>
      <c r="F1180" s="202" t="str">
        <f ca="1">IFERROR(__xludf.DUMMYFUNCTION("""COMPUTED_VALUE"""),"J")</f>
        <v>J</v>
      </c>
      <c r="G1180" s="202">
        <f ca="1">IFERROR(__xludf.DUMMYFUNCTION("""COMPUTED_VALUE"""),3)</f>
        <v>3</v>
      </c>
      <c r="H1180" s="208"/>
      <c r="I1180" s="208"/>
      <c r="J1180" s="208"/>
      <c r="K1180" s="208"/>
      <c r="L1180" s="208" t="str">
        <v/>
      </c>
      <c r="M1180" s="208" t="str">
        <v/>
      </c>
    </row>
    <row r="1181" spans="1:13" ht="14.4">
      <c r="A1181" s="199" t="str">
        <f ca="1">IFERROR(__xludf.DUMMYFUNCTION("""COMPUTED_VALUE"""),"LG")</f>
        <v>LG</v>
      </c>
      <c r="B1181" s="207" t="str">
        <f ca="1">IFERROR(__xludf.DUMMYFUNCTION("""COMPUTED_VALUE"""),"Wren McCann")</f>
        <v>Wren McCann</v>
      </c>
      <c r="C1181" s="199">
        <f ca="1">IFERROR(__xludf.DUMMYFUNCTION("""COMPUTED_VALUE"""),8)</f>
        <v>8</v>
      </c>
      <c r="D1181" s="199" t="str">
        <f ca="1">IFERROR(__xludf.DUMMYFUNCTION("""COMPUTED_VALUE"""),"G")</f>
        <v>G</v>
      </c>
      <c r="E1181" s="202" t="str">
        <f ca="1">IFERROR(__xludf.DUMMYFUNCTION("""COMPUTED_VALUE"""),"F")</f>
        <v>F</v>
      </c>
      <c r="F1181" s="202" t="str">
        <f ca="1">IFERROR(__xludf.DUMMYFUNCTION("""COMPUTED_VALUE"""),"J")</f>
        <v>J</v>
      </c>
      <c r="G1181" s="202">
        <f ca="1">IFERROR(__xludf.DUMMYFUNCTION("""COMPUTED_VALUE"""),3)</f>
        <v>3</v>
      </c>
      <c r="H1181" s="206">
        <v>35.15</v>
      </c>
      <c r="I1181" s="206"/>
      <c r="J1181" s="206" t="s">
        <v>121</v>
      </c>
      <c r="K1181" s="206"/>
      <c r="L1181" s="206" t="str">
        <v xml:space="preserve"> 35.15</v>
      </c>
      <c r="M1181" s="206" t="str">
        <v/>
      </c>
    </row>
    <row r="1182" spans="1:13" ht="14.4">
      <c r="A1182" s="199" t="str">
        <f ca="1">IFERROR(__xludf.DUMMYFUNCTION("""COMPUTED_VALUE"""),"LG")</f>
        <v>LG</v>
      </c>
      <c r="B1182" s="207" t="str">
        <f ca="1">IFERROR(__xludf.DUMMYFUNCTION("""COMPUTED_VALUE"""),"Alex Way")</f>
        <v>Alex Way</v>
      </c>
      <c r="C1182" s="199">
        <f ca="1">IFERROR(__xludf.DUMMYFUNCTION("""COMPUTED_VALUE"""),14)</f>
        <v>14</v>
      </c>
      <c r="D1182" s="199" t="str">
        <f ca="1">IFERROR(__xludf.DUMMYFUNCTION("""COMPUTED_VALUE"""),"B")</f>
        <v>B</v>
      </c>
      <c r="E1182" s="202" t="str">
        <f ca="1">IFERROR(__xludf.DUMMYFUNCTION("""COMPUTED_VALUE"""),"I")</f>
        <v>I</v>
      </c>
      <c r="F1182" s="202" t="str">
        <f ca="1">IFERROR(__xludf.DUMMYFUNCTION("""COMPUTED_VALUE"""),"S")</f>
        <v>S</v>
      </c>
      <c r="G1182" s="202">
        <f ca="1">IFERROR(__xludf.DUMMYFUNCTION("""COMPUTED_VALUE"""),3)</f>
        <v>3</v>
      </c>
      <c r="H1182" s="208"/>
      <c r="I1182" s="208">
        <v>196.05</v>
      </c>
      <c r="J1182" s="208"/>
      <c r="K1182" s="208" t="s">
        <v>121</v>
      </c>
      <c r="L1182" s="208" t="str">
        <v xml:space="preserve"> 196.05</v>
      </c>
      <c r="M1182" s="208" t="str">
        <v/>
      </c>
    </row>
    <row r="1183" spans="1:13" ht="14.4">
      <c r="A1183" s="199" t="str">
        <f ca="1">IFERROR(__xludf.DUMMYFUNCTION("""COMPUTED_VALUE"""),"LG")</f>
        <v>LG</v>
      </c>
      <c r="B1183" s="207" t="str">
        <f ca="1">IFERROR(__xludf.DUMMYFUNCTION("""COMPUTED_VALUE"""),"Hudson Mar")</f>
        <v>Hudson Mar</v>
      </c>
      <c r="C1183" s="199">
        <f ca="1">IFERROR(__xludf.DUMMYFUNCTION("""COMPUTED_VALUE"""),14)</f>
        <v>14</v>
      </c>
      <c r="D1183" s="199" t="str">
        <f ca="1">IFERROR(__xludf.DUMMYFUNCTION("""COMPUTED_VALUE"""),"B")</f>
        <v>B</v>
      </c>
      <c r="E1183" s="202" t="str">
        <f ca="1">IFERROR(__xludf.DUMMYFUNCTION("""COMPUTED_VALUE"""),"I")</f>
        <v>I</v>
      </c>
      <c r="F1183" s="202" t="str">
        <f ca="1">IFERROR(__xludf.DUMMYFUNCTION("""COMPUTED_VALUE"""),"S")</f>
        <v>S</v>
      </c>
      <c r="G1183" s="202">
        <f ca="1">IFERROR(__xludf.DUMMYFUNCTION("""COMPUTED_VALUE"""),3)</f>
        <v>3</v>
      </c>
      <c r="H1183" s="208"/>
      <c r="I1183" s="208">
        <v>87</v>
      </c>
      <c r="J1183" s="208"/>
      <c r="K1183" s="208" t="s">
        <v>121</v>
      </c>
      <c r="L1183" s="208" t="str">
        <v xml:space="preserve"> 87</v>
      </c>
      <c r="M1183" s="208" t="str">
        <v/>
      </c>
    </row>
    <row r="1184" spans="1:13" ht="14.4">
      <c r="A1184" s="199" t="str">
        <f ca="1">IFERROR(__xludf.DUMMYFUNCTION("""COMPUTED_VALUE"""),"LG")</f>
        <v>LG</v>
      </c>
      <c r="B1184" s="207" t="str">
        <f ca="1">IFERROR(__xludf.DUMMYFUNCTION("""COMPUTED_VALUE"""),"Avalon Allard")</f>
        <v>Avalon Allard</v>
      </c>
      <c r="C1184" s="199">
        <f ca="1">IFERROR(__xludf.DUMMYFUNCTION("""COMPUTED_VALUE"""),13)</f>
        <v>13</v>
      </c>
      <c r="D1184" s="199" t="str">
        <f ca="1">IFERROR(__xludf.DUMMYFUNCTION("""COMPUTED_VALUE"""),"G")</f>
        <v>G</v>
      </c>
      <c r="E1184" s="202" t="str">
        <f ca="1">IFERROR(__xludf.DUMMYFUNCTION("""COMPUTED_VALUE"""),"I")</f>
        <v>I</v>
      </c>
      <c r="F1184" s="202" t="str">
        <f ca="1">IFERROR(__xludf.DUMMYFUNCTION("""COMPUTED_VALUE"""),"S")</f>
        <v>S</v>
      </c>
      <c r="G1184" s="202">
        <f ca="1">IFERROR(__xludf.DUMMYFUNCTION("""COMPUTED_VALUE"""),3)</f>
        <v>3</v>
      </c>
      <c r="H1184" s="208"/>
      <c r="I1184" s="208"/>
      <c r="J1184" s="208"/>
      <c r="K1184" s="208"/>
      <c r="L1184" s="208" t="str">
        <v/>
      </c>
      <c r="M1184" s="208" t="str">
        <v/>
      </c>
    </row>
    <row r="1185" spans="1:13" ht="14.4">
      <c r="A1185" s="199" t="str">
        <f ca="1">IFERROR(__xludf.DUMMYFUNCTION("""COMPUTED_VALUE"""),"LG")</f>
        <v>LG</v>
      </c>
      <c r="B1185" s="207" t="str">
        <f ca="1">IFERROR(__xludf.DUMMYFUNCTION("""COMPUTED_VALUE"""),"Hayley Eastman")</f>
        <v>Hayley Eastman</v>
      </c>
      <c r="C1185" s="199">
        <f ca="1">IFERROR(__xludf.DUMMYFUNCTION("""COMPUTED_VALUE"""),13)</f>
        <v>13</v>
      </c>
      <c r="D1185" s="199" t="str">
        <f ca="1">IFERROR(__xludf.DUMMYFUNCTION("""COMPUTED_VALUE"""),"G")</f>
        <v>G</v>
      </c>
      <c r="E1185" s="202" t="str">
        <f ca="1">IFERROR(__xludf.DUMMYFUNCTION("""COMPUTED_VALUE"""),"I")</f>
        <v>I</v>
      </c>
      <c r="F1185" s="202" t="str">
        <f ca="1">IFERROR(__xludf.DUMMYFUNCTION("""COMPUTED_VALUE"""),"S")</f>
        <v>S</v>
      </c>
      <c r="G1185" s="202">
        <f ca="1">IFERROR(__xludf.DUMMYFUNCTION("""COMPUTED_VALUE"""),3)</f>
        <v>3</v>
      </c>
      <c r="H1185" s="206">
        <v>103.45</v>
      </c>
      <c r="I1185" s="206"/>
      <c r="J1185" s="206" t="s">
        <v>121</v>
      </c>
      <c r="K1185" s="206"/>
      <c r="L1185" s="206" t="str">
        <v xml:space="preserve"> 103.45</v>
      </c>
      <c r="M1185" s="206" t="str">
        <v/>
      </c>
    </row>
    <row r="1186" spans="1:13" ht="14.4">
      <c r="A1186" s="199" t="str">
        <f ca="1">IFERROR(__xludf.DUMMYFUNCTION("""COMPUTED_VALUE"""),"LG")</f>
        <v>LG</v>
      </c>
      <c r="B1186" s="207" t="str">
        <f ca="1">IFERROR(__xludf.DUMMYFUNCTION("""COMPUTED_VALUE"""),"Jane Afsah-Mohallatee")</f>
        <v>Jane Afsah-Mohallatee</v>
      </c>
      <c r="C1186" s="199">
        <f ca="1">IFERROR(__xludf.DUMMYFUNCTION("""COMPUTED_VALUE"""),14)</f>
        <v>14</v>
      </c>
      <c r="D1186" s="199" t="str">
        <f ca="1">IFERROR(__xludf.DUMMYFUNCTION("""COMPUTED_VALUE"""),"G")</f>
        <v>G</v>
      </c>
      <c r="E1186" s="202" t="str">
        <f ca="1">IFERROR(__xludf.DUMMYFUNCTION("""COMPUTED_VALUE"""),"I")</f>
        <v>I</v>
      </c>
      <c r="F1186" s="202" t="str">
        <f ca="1">IFERROR(__xludf.DUMMYFUNCTION("""COMPUTED_VALUE"""),"S")</f>
        <v>S</v>
      </c>
      <c r="G1186" s="202">
        <f ca="1">IFERROR(__xludf.DUMMYFUNCTION("""COMPUTED_VALUE"""),3)</f>
        <v>3</v>
      </c>
      <c r="H1186" s="206"/>
      <c r="I1186" s="206"/>
      <c r="J1186" s="206"/>
      <c r="K1186" s="206"/>
      <c r="L1186" s="206" t="str">
        <v/>
      </c>
      <c r="M1186" s="206" t="str">
        <v/>
      </c>
    </row>
    <row r="1187" spans="1:13" ht="14.4">
      <c r="A1187" s="199" t="str">
        <f ca="1">IFERROR(__xludf.DUMMYFUNCTION("""COMPUTED_VALUE"""),"LG")</f>
        <v>LG</v>
      </c>
      <c r="B1187" s="207" t="str">
        <f ca="1">IFERROR(__xludf.DUMMYFUNCTION("""COMPUTED_VALUE"""),"Reagan Cervenak")</f>
        <v>Reagan Cervenak</v>
      </c>
      <c r="C1187" s="199">
        <f ca="1">IFERROR(__xludf.DUMMYFUNCTION("""COMPUTED_VALUE"""),13)</f>
        <v>13</v>
      </c>
      <c r="D1187" s="199" t="str">
        <f ca="1">IFERROR(__xludf.DUMMYFUNCTION("""COMPUTED_VALUE"""),"G")</f>
        <v>G</v>
      </c>
      <c r="E1187" s="202" t="str">
        <f ca="1">IFERROR(__xludf.DUMMYFUNCTION("""COMPUTED_VALUE"""),"I")</f>
        <v>I</v>
      </c>
      <c r="F1187" s="202" t="str">
        <f ca="1">IFERROR(__xludf.DUMMYFUNCTION("""COMPUTED_VALUE"""),"S")</f>
        <v>S</v>
      </c>
      <c r="G1187" s="202">
        <f ca="1">IFERROR(__xludf.DUMMYFUNCTION("""COMPUTED_VALUE"""),3)</f>
        <v>3</v>
      </c>
      <c r="H1187" s="208">
        <v>162.85</v>
      </c>
      <c r="I1187" s="208"/>
      <c r="J1187" s="208" t="s">
        <v>121</v>
      </c>
      <c r="K1187" s="208"/>
      <c r="L1187" s="208" t="str">
        <v xml:space="preserve"> 162.85</v>
      </c>
      <c r="M1187" s="208" t="str">
        <v/>
      </c>
    </row>
    <row r="1188" spans="1:13" ht="14.4">
      <c r="A1188" s="199" t="str">
        <f ca="1">IFERROR(__xludf.DUMMYFUNCTION("""COMPUTED_VALUE"""),"LG")</f>
        <v>LG</v>
      </c>
      <c r="B1188" s="207" t="str">
        <f ca="1">IFERROR(__xludf.DUMMYFUNCTION("""COMPUTED_VALUE"""),"Andrew Bucher")</f>
        <v>Andrew Bucher</v>
      </c>
      <c r="C1188" s="199">
        <f ca="1">IFERROR(__xludf.DUMMYFUNCTION("""COMPUTED_VALUE"""),11)</f>
        <v>11</v>
      </c>
      <c r="D1188" s="199" t="str">
        <f ca="1">IFERROR(__xludf.DUMMYFUNCTION("""COMPUTED_VALUE"""),"B")</f>
        <v>B</v>
      </c>
      <c r="E1188" s="202" t="str">
        <f ca="1">IFERROR(__xludf.DUMMYFUNCTION("""COMPUTED_VALUE"""),"J")</f>
        <v>J</v>
      </c>
      <c r="F1188" s="202" t="str">
        <f ca="1">IFERROR(__xludf.DUMMYFUNCTION("""COMPUTED_VALUE"""),"I")</f>
        <v>I</v>
      </c>
      <c r="G1188" s="202">
        <f ca="1">IFERROR(__xludf.DUMMYFUNCTION("""COMPUTED_VALUE"""),3)</f>
        <v>3</v>
      </c>
      <c r="H1188" s="208"/>
      <c r="I1188" s="208"/>
      <c r="J1188" s="208"/>
      <c r="K1188" s="208"/>
      <c r="L1188" s="208" t="str">
        <v/>
      </c>
      <c r="M1188" s="208" t="str">
        <v/>
      </c>
    </row>
    <row r="1189" spans="1:13" ht="14.4">
      <c r="A1189" s="199" t="str">
        <f ca="1">IFERROR(__xludf.DUMMYFUNCTION("""COMPUTED_VALUE"""),"LG")</f>
        <v>LG</v>
      </c>
      <c r="B1189" s="207" t="str">
        <f ca="1">IFERROR(__xludf.DUMMYFUNCTION("""COMPUTED_VALUE"""),"Edan Thomton")</f>
        <v>Edan Thomton</v>
      </c>
      <c r="C1189" s="199">
        <f ca="1">IFERROR(__xludf.DUMMYFUNCTION("""COMPUTED_VALUE"""),12)</f>
        <v>12</v>
      </c>
      <c r="D1189" s="199" t="str">
        <f ca="1">IFERROR(__xludf.DUMMYFUNCTION("""COMPUTED_VALUE"""),"B")</f>
        <v>B</v>
      </c>
      <c r="E1189" s="202" t="str">
        <f ca="1">IFERROR(__xludf.DUMMYFUNCTION("""COMPUTED_VALUE"""),"J")</f>
        <v>J</v>
      </c>
      <c r="F1189" s="202" t="str">
        <f ca="1">IFERROR(__xludf.DUMMYFUNCTION("""COMPUTED_VALUE"""),"I")</f>
        <v>I</v>
      </c>
      <c r="G1189" s="202">
        <f ca="1">IFERROR(__xludf.DUMMYFUNCTION("""COMPUTED_VALUE"""),3)</f>
        <v>3</v>
      </c>
      <c r="H1189" s="206"/>
      <c r="I1189" s="206"/>
      <c r="J1189" s="206"/>
      <c r="K1189" s="206"/>
      <c r="L1189" s="206" t="str">
        <v/>
      </c>
      <c r="M1189" s="206" t="str">
        <v/>
      </c>
    </row>
    <row r="1190" spans="1:13" ht="14.4">
      <c r="A1190" s="199" t="str">
        <f ca="1">IFERROR(__xludf.DUMMYFUNCTION("""COMPUTED_VALUE"""),"LG")</f>
        <v>LG</v>
      </c>
      <c r="B1190" s="207" t="str">
        <f ca="1">IFERROR(__xludf.DUMMYFUNCTION("""COMPUTED_VALUE"""),"Finn Yeh")</f>
        <v>Finn Yeh</v>
      </c>
      <c r="C1190" s="199">
        <f ca="1">IFERROR(__xludf.DUMMYFUNCTION("""COMPUTED_VALUE"""),11)</f>
        <v>11</v>
      </c>
      <c r="D1190" s="199" t="str">
        <f ca="1">IFERROR(__xludf.DUMMYFUNCTION("""COMPUTED_VALUE"""),"B")</f>
        <v>B</v>
      </c>
      <c r="E1190" s="202" t="str">
        <f ca="1">IFERROR(__xludf.DUMMYFUNCTION("""COMPUTED_VALUE"""),"J")</f>
        <v>J</v>
      </c>
      <c r="F1190" s="202" t="str">
        <f ca="1">IFERROR(__xludf.DUMMYFUNCTION("""COMPUTED_VALUE"""),"I")</f>
        <v>I</v>
      </c>
      <c r="G1190" s="202">
        <f ca="1">IFERROR(__xludf.DUMMYFUNCTION("""COMPUTED_VALUE"""),3)</f>
        <v>3</v>
      </c>
      <c r="H1190" s="206"/>
      <c r="I1190" s="206"/>
      <c r="J1190" s="206"/>
      <c r="K1190" s="206"/>
      <c r="L1190" s="206" t="str">
        <v/>
      </c>
      <c r="M1190" s="206" t="str">
        <v/>
      </c>
    </row>
    <row r="1191" spans="1:13" ht="14.4">
      <c r="A1191" s="199" t="str">
        <f ca="1">IFERROR(__xludf.DUMMYFUNCTION("""COMPUTED_VALUE"""),"LG")</f>
        <v>LG</v>
      </c>
      <c r="B1191" s="207" t="str">
        <f ca="1">IFERROR(__xludf.DUMMYFUNCTION("""COMPUTED_VALUE"""),"Gavin Hegenbart")</f>
        <v>Gavin Hegenbart</v>
      </c>
      <c r="C1191" s="199">
        <f ca="1">IFERROR(__xludf.DUMMYFUNCTION("""COMPUTED_VALUE"""),11)</f>
        <v>11</v>
      </c>
      <c r="D1191" s="199" t="str">
        <f ca="1">IFERROR(__xludf.DUMMYFUNCTION("""COMPUTED_VALUE"""),"B")</f>
        <v>B</v>
      </c>
      <c r="E1191" s="202" t="str">
        <f ca="1">IFERROR(__xludf.DUMMYFUNCTION("""COMPUTED_VALUE"""),"J")</f>
        <v>J</v>
      </c>
      <c r="F1191" s="202" t="str">
        <f ca="1">IFERROR(__xludf.DUMMYFUNCTION("""COMPUTED_VALUE"""),"I")</f>
        <v>I</v>
      </c>
      <c r="G1191" s="202">
        <f ca="1">IFERROR(__xludf.DUMMYFUNCTION("""COMPUTED_VALUE"""),3)</f>
        <v>3</v>
      </c>
      <c r="H1191" s="206"/>
      <c r="I1191" s="206"/>
      <c r="J1191" s="206"/>
      <c r="K1191" s="206"/>
      <c r="L1191" s="206" t="str">
        <v/>
      </c>
      <c r="M1191" s="206" t="str">
        <v/>
      </c>
    </row>
    <row r="1192" spans="1:13" ht="14.4">
      <c r="A1192" s="199" t="str">
        <f ca="1">IFERROR(__xludf.DUMMYFUNCTION("""COMPUTED_VALUE"""),"LG")</f>
        <v>LG</v>
      </c>
      <c r="B1192" s="207" t="str">
        <f ca="1">IFERROR(__xludf.DUMMYFUNCTION("""COMPUTED_VALUE"""),"Isaac Weiss")</f>
        <v>Isaac Weiss</v>
      </c>
      <c r="C1192" s="199">
        <f ca="1">IFERROR(__xludf.DUMMYFUNCTION("""COMPUTED_VALUE"""),11)</f>
        <v>11</v>
      </c>
      <c r="D1192" s="199" t="str">
        <f ca="1">IFERROR(__xludf.DUMMYFUNCTION("""COMPUTED_VALUE"""),"B")</f>
        <v>B</v>
      </c>
      <c r="E1192" s="202" t="str">
        <f ca="1">IFERROR(__xludf.DUMMYFUNCTION("""COMPUTED_VALUE"""),"J")</f>
        <v>J</v>
      </c>
      <c r="F1192" s="202" t="str">
        <f ca="1">IFERROR(__xludf.DUMMYFUNCTION("""COMPUTED_VALUE"""),"I")</f>
        <v>I</v>
      </c>
      <c r="G1192" s="202">
        <f ca="1">IFERROR(__xludf.DUMMYFUNCTION("""COMPUTED_VALUE"""),3)</f>
        <v>3</v>
      </c>
      <c r="H1192" s="208"/>
      <c r="I1192" s="208"/>
      <c r="J1192" s="208"/>
      <c r="K1192" s="208"/>
      <c r="L1192" s="208" t="str">
        <v/>
      </c>
      <c r="M1192" s="208" t="str">
        <v/>
      </c>
    </row>
    <row r="1193" spans="1:13" ht="14.4">
      <c r="A1193" s="199" t="str">
        <f ca="1">IFERROR(__xludf.DUMMYFUNCTION("""COMPUTED_VALUE"""),"LG")</f>
        <v>LG</v>
      </c>
      <c r="B1193" s="207" t="str">
        <f ca="1">IFERROR(__xludf.DUMMYFUNCTION("""COMPUTED_VALUE"""),"Kenton Scheifele")</f>
        <v>Kenton Scheifele</v>
      </c>
      <c r="C1193" s="199">
        <f ca="1">IFERROR(__xludf.DUMMYFUNCTION("""COMPUTED_VALUE"""),11)</f>
        <v>11</v>
      </c>
      <c r="D1193" s="199" t="str">
        <f ca="1">IFERROR(__xludf.DUMMYFUNCTION("""COMPUTED_VALUE"""),"B")</f>
        <v>B</v>
      </c>
      <c r="E1193" s="202" t="str">
        <f ca="1">IFERROR(__xludf.DUMMYFUNCTION("""COMPUTED_VALUE"""),"J")</f>
        <v>J</v>
      </c>
      <c r="F1193" s="202" t="str">
        <f ca="1">IFERROR(__xludf.DUMMYFUNCTION("""COMPUTED_VALUE"""),"I")</f>
        <v>I</v>
      </c>
      <c r="G1193" s="202">
        <f ca="1">IFERROR(__xludf.DUMMYFUNCTION("""COMPUTED_VALUE"""),3)</f>
        <v>3</v>
      </c>
      <c r="H1193" s="208"/>
      <c r="I1193" s="208"/>
      <c r="J1193" s="208"/>
      <c r="K1193" s="208"/>
      <c r="L1193" s="208" t="str">
        <v/>
      </c>
      <c r="M1193" s="208" t="str">
        <v/>
      </c>
    </row>
    <row r="1194" spans="1:13" ht="14.4">
      <c r="A1194" s="199" t="str">
        <f ca="1">IFERROR(__xludf.DUMMYFUNCTION("""COMPUTED_VALUE"""),"LG")</f>
        <v>LG</v>
      </c>
      <c r="B1194" s="207" t="str">
        <f ca="1">IFERROR(__xludf.DUMMYFUNCTION("""COMPUTED_VALUE"""),"Patrick Scully")</f>
        <v>Patrick Scully</v>
      </c>
      <c r="C1194" s="199">
        <f ca="1">IFERROR(__xludf.DUMMYFUNCTION("""COMPUTED_VALUE"""),11)</f>
        <v>11</v>
      </c>
      <c r="D1194" s="199" t="str">
        <f ca="1">IFERROR(__xludf.DUMMYFUNCTION("""COMPUTED_VALUE"""),"B")</f>
        <v>B</v>
      </c>
      <c r="E1194" s="202" t="str">
        <f ca="1">IFERROR(__xludf.DUMMYFUNCTION("""COMPUTED_VALUE"""),"J")</f>
        <v>J</v>
      </c>
      <c r="F1194" s="202" t="str">
        <f ca="1">IFERROR(__xludf.DUMMYFUNCTION("""COMPUTED_VALUE"""),"I")</f>
        <v>I</v>
      </c>
      <c r="G1194" s="202">
        <f ca="1">IFERROR(__xludf.DUMMYFUNCTION("""COMPUTED_VALUE"""),3)</f>
        <v>3</v>
      </c>
      <c r="H1194" s="206"/>
      <c r="I1194" s="206">
        <v>86.05</v>
      </c>
      <c r="J1194" s="206"/>
      <c r="K1194" s="206" t="s">
        <v>121</v>
      </c>
      <c r="L1194" s="206" t="str">
        <v xml:space="preserve"> 86.05</v>
      </c>
      <c r="M1194" s="206" t="str">
        <v/>
      </c>
    </row>
    <row r="1195" spans="1:13" ht="14.4">
      <c r="A1195" s="199" t="str">
        <f ca="1">IFERROR(__xludf.DUMMYFUNCTION("""COMPUTED_VALUE"""),"LG")</f>
        <v>LG</v>
      </c>
      <c r="B1195" s="207" t="str">
        <f ca="1">IFERROR(__xludf.DUMMYFUNCTION("""COMPUTED_VALUE"""),"Audrey Pounds")</f>
        <v>Audrey Pounds</v>
      </c>
      <c r="C1195" s="199">
        <f ca="1">IFERROR(__xludf.DUMMYFUNCTION("""COMPUTED_VALUE"""),12)</f>
        <v>12</v>
      </c>
      <c r="D1195" s="199" t="str">
        <f ca="1">IFERROR(__xludf.DUMMYFUNCTION("""COMPUTED_VALUE"""),"G")</f>
        <v>G</v>
      </c>
      <c r="E1195" s="202" t="str">
        <f ca="1">IFERROR(__xludf.DUMMYFUNCTION("""COMPUTED_VALUE"""),"J")</f>
        <v>J</v>
      </c>
      <c r="F1195" s="202" t="str">
        <f ca="1">IFERROR(__xludf.DUMMYFUNCTION("""COMPUTED_VALUE"""),"I")</f>
        <v>I</v>
      </c>
      <c r="G1195" s="202">
        <f ca="1">IFERROR(__xludf.DUMMYFUNCTION("""COMPUTED_VALUE"""),3)</f>
        <v>3</v>
      </c>
      <c r="H1195" s="206">
        <v>83.8</v>
      </c>
      <c r="I1195" s="206"/>
      <c r="J1195" s="206" t="s">
        <v>121</v>
      </c>
      <c r="K1195" s="206"/>
      <c r="L1195" s="206" t="str">
        <v xml:space="preserve"> 83.8</v>
      </c>
      <c r="M1195" s="206" t="str">
        <v/>
      </c>
    </row>
    <row r="1196" spans="1:13" ht="14.4">
      <c r="A1196" s="199" t="str">
        <f ca="1">IFERROR(__xludf.DUMMYFUNCTION("""COMPUTED_VALUE"""),"LG")</f>
        <v>LG</v>
      </c>
      <c r="B1196" s="207" t="str">
        <f ca="1">IFERROR(__xludf.DUMMYFUNCTION("""COMPUTED_VALUE"""),"Chloe Zullo")</f>
        <v>Chloe Zullo</v>
      </c>
      <c r="C1196" s="199">
        <f ca="1">IFERROR(__xludf.DUMMYFUNCTION("""COMPUTED_VALUE"""),12)</f>
        <v>12</v>
      </c>
      <c r="D1196" s="199" t="str">
        <f ca="1">IFERROR(__xludf.DUMMYFUNCTION("""COMPUTED_VALUE"""),"G")</f>
        <v>G</v>
      </c>
      <c r="E1196" s="202" t="str">
        <f ca="1">IFERROR(__xludf.DUMMYFUNCTION("""COMPUTED_VALUE"""),"J")</f>
        <v>J</v>
      </c>
      <c r="F1196" s="202" t="str">
        <f ca="1">IFERROR(__xludf.DUMMYFUNCTION("""COMPUTED_VALUE"""),"I")</f>
        <v>I</v>
      </c>
      <c r="G1196" s="202">
        <f ca="1">IFERROR(__xludf.DUMMYFUNCTION("""COMPUTED_VALUE"""),3)</f>
        <v>3</v>
      </c>
      <c r="H1196" s="206"/>
      <c r="I1196" s="206"/>
      <c r="J1196" s="206"/>
      <c r="K1196" s="206"/>
      <c r="L1196" s="206" t="str">
        <v/>
      </c>
      <c r="M1196" s="206" t="str">
        <v/>
      </c>
    </row>
    <row r="1197" spans="1:13" ht="14.4">
      <c r="A1197" s="199" t="str">
        <f ca="1">IFERROR(__xludf.DUMMYFUNCTION("""COMPUTED_VALUE"""),"LG")</f>
        <v>LG</v>
      </c>
      <c r="B1197" s="207" t="str">
        <f ca="1">IFERROR(__xludf.DUMMYFUNCTION("""COMPUTED_VALUE"""),"Ella Wallinger")</f>
        <v>Ella Wallinger</v>
      </c>
      <c r="C1197" s="199">
        <f ca="1">IFERROR(__xludf.DUMMYFUNCTION("""COMPUTED_VALUE"""),12)</f>
        <v>12</v>
      </c>
      <c r="D1197" s="199" t="str">
        <f ca="1">IFERROR(__xludf.DUMMYFUNCTION("""COMPUTED_VALUE"""),"G")</f>
        <v>G</v>
      </c>
      <c r="E1197" s="202" t="str">
        <f ca="1">IFERROR(__xludf.DUMMYFUNCTION("""COMPUTED_VALUE"""),"J")</f>
        <v>J</v>
      </c>
      <c r="F1197" s="202" t="str">
        <f ca="1">IFERROR(__xludf.DUMMYFUNCTION("""COMPUTED_VALUE"""),"I")</f>
        <v>I</v>
      </c>
      <c r="G1197" s="202">
        <f ca="1">IFERROR(__xludf.DUMMYFUNCTION("""COMPUTED_VALUE"""),3)</f>
        <v>3</v>
      </c>
      <c r="H1197" s="206">
        <v>102.1</v>
      </c>
      <c r="I1197" s="206"/>
      <c r="J1197" s="206" t="s">
        <v>121</v>
      </c>
      <c r="K1197" s="206"/>
      <c r="L1197" s="206" t="str">
        <v xml:space="preserve"> 102.1</v>
      </c>
      <c r="M1197" s="206" t="str">
        <v/>
      </c>
    </row>
    <row r="1198" spans="1:13" ht="14.4">
      <c r="A1198" s="199" t="str">
        <f ca="1">IFERROR(__xludf.DUMMYFUNCTION("""COMPUTED_VALUE"""),"LG")</f>
        <v>LG</v>
      </c>
      <c r="B1198" s="207" t="str">
        <f ca="1">IFERROR(__xludf.DUMMYFUNCTION("""COMPUTED_VALUE"""),"Emmy Borg")</f>
        <v>Emmy Borg</v>
      </c>
      <c r="C1198" s="199">
        <f ca="1">IFERROR(__xludf.DUMMYFUNCTION("""COMPUTED_VALUE"""),11)</f>
        <v>11</v>
      </c>
      <c r="D1198" s="199" t="str">
        <f ca="1">IFERROR(__xludf.DUMMYFUNCTION("""COMPUTED_VALUE"""),"G")</f>
        <v>G</v>
      </c>
      <c r="E1198" s="202" t="str">
        <f ca="1">IFERROR(__xludf.DUMMYFUNCTION("""COMPUTED_VALUE"""),"J")</f>
        <v>J</v>
      </c>
      <c r="F1198" s="202" t="str">
        <f ca="1">IFERROR(__xludf.DUMMYFUNCTION("""COMPUTED_VALUE"""),"I")</f>
        <v>I</v>
      </c>
      <c r="G1198" s="202">
        <f ca="1">IFERROR(__xludf.DUMMYFUNCTION("""COMPUTED_VALUE"""),3)</f>
        <v>3</v>
      </c>
      <c r="H1198" s="206"/>
      <c r="I1198" s="206"/>
      <c r="J1198" s="206"/>
      <c r="K1198" s="206"/>
      <c r="L1198" s="206" t="str">
        <v/>
      </c>
      <c r="M1198" s="206" t="str">
        <v/>
      </c>
    </row>
    <row r="1199" spans="1:13" ht="14.4">
      <c r="A1199" s="199" t="str">
        <f ca="1">IFERROR(__xludf.DUMMYFUNCTION("""COMPUTED_VALUE"""),"LG")</f>
        <v>LG</v>
      </c>
      <c r="B1199" s="207" t="str">
        <f ca="1">IFERROR(__xludf.DUMMYFUNCTION("""COMPUTED_VALUE"""),"Gwen Fry")</f>
        <v>Gwen Fry</v>
      </c>
      <c r="C1199" s="199">
        <f ca="1">IFERROR(__xludf.DUMMYFUNCTION("""COMPUTED_VALUE"""),12)</f>
        <v>12</v>
      </c>
      <c r="D1199" s="199" t="str">
        <f ca="1">IFERROR(__xludf.DUMMYFUNCTION("""COMPUTED_VALUE"""),"G")</f>
        <v>G</v>
      </c>
      <c r="E1199" s="202" t="str">
        <f ca="1">IFERROR(__xludf.DUMMYFUNCTION("""COMPUTED_VALUE"""),"J")</f>
        <v>J</v>
      </c>
      <c r="F1199" s="202" t="str">
        <f ca="1">IFERROR(__xludf.DUMMYFUNCTION("""COMPUTED_VALUE"""),"I")</f>
        <v>I</v>
      </c>
      <c r="G1199" s="202">
        <f ca="1">IFERROR(__xludf.DUMMYFUNCTION("""COMPUTED_VALUE"""),3)</f>
        <v>3</v>
      </c>
      <c r="H1199" s="206">
        <v>81.05</v>
      </c>
      <c r="I1199" s="206"/>
      <c r="J1199" s="206" t="s">
        <v>121</v>
      </c>
      <c r="K1199" s="206"/>
      <c r="L1199" s="206" t="str">
        <v xml:space="preserve"> 81.05</v>
      </c>
      <c r="M1199" s="206" t="str">
        <v/>
      </c>
    </row>
    <row r="1200" spans="1:13" ht="14.4">
      <c r="A1200" s="199" t="str">
        <f ca="1">IFERROR(__xludf.DUMMYFUNCTION("""COMPUTED_VALUE"""),"LG")</f>
        <v>LG</v>
      </c>
      <c r="B1200" s="207" t="str">
        <f ca="1">IFERROR(__xludf.DUMMYFUNCTION("""COMPUTED_VALUE"""),"Hadley Harmer")</f>
        <v>Hadley Harmer</v>
      </c>
      <c r="C1200" s="199">
        <f ca="1">IFERROR(__xludf.DUMMYFUNCTION("""COMPUTED_VALUE"""),12)</f>
        <v>12</v>
      </c>
      <c r="D1200" s="199" t="str">
        <f ca="1">IFERROR(__xludf.DUMMYFUNCTION("""COMPUTED_VALUE"""),"G")</f>
        <v>G</v>
      </c>
      <c r="E1200" s="202" t="str">
        <f ca="1">IFERROR(__xludf.DUMMYFUNCTION("""COMPUTED_VALUE"""),"J")</f>
        <v>J</v>
      </c>
      <c r="F1200" s="202" t="str">
        <f ca="1">IFERROR(__xludf.DUMMYFUNCTION("""COMPUTED_VALUE"""),"I")</f>
        <v>I</v>
      </c>
      <c r="G1200" s="202">
        <f ca="1">IFERROR(__xludf.DUMMYFUNCTION("""COMPUTED_VALUE"""),3)</f>
        <v>3</v>
      </c>
      <c r="H1200" s="208"/>
      <c r="I1200" s="208"/>
      <c r="J1200" s="208"/>
      <c r="K1200" s="208"/>
      <c r="L1200" s="208" t="str">
        <v/>
      </c>
      <c r="M1200" s="208" t="str">
        <v/>
      </c>
    </row>
    <row r="1201" spans="1:13" ht="14.4">
      <c r="A1201" s="199" t="str">
        <f ca="1">IFERROR(__xludf.DUMMYFUNCTION("""COMPUTED_VALUE"""),"LG")</f>
        <v>LG</v>
      </c>
      <c r="B1201" s="207" t="str">
        <f ca="1">IFERROR(__xludf.DUMMYFUNCTION("""COMPUTED_VALUE"""),"Hannah Harmer")</f>
        <v>Hannah Harmer</v>
      </c>
      <c r="C1201" s="199">
        <f ca="1">IFERROR(__xludf.DUMMYFUNCTION("""COMPUTED_VALUE"""),11)</f>
        <v>11</v>
      </c>
      <c r="D1201" s="199" t="str">
        <f ca="1">IFERROR(__xludf.DUMMYFUNCTION("""COMPUTED_VALUE"""),"G")</f>
        <v>G</v>
      </c>
      <c r="E1201" s="202" t="str">
        <f ca="1">IFERROR(__xludf.DUMMYFUNCTION("""COMPUTED_VALUE"""),"J")</f>
        <v>J</v>
      </c>
      <c r="F1201" s="202" t="str">
        <f ca="1">IFERROR(__xludf.DUMMYFUNCTION("""COMPUTED_VALUE"""),"I")</f>
        <v>I</v>
      </c>
      <c r="G1201" s="202">
        <f ca="1">IFERROR(__xludf.DUMMYFUNCTION("""COMPUTED_VALUE"""),3)</f>
        <v>3</v>
      </c>
      <c r="H1201" s="208"/>
      <c r="I1201" s="208"/>
      <c r="J1201" s="208"/>
      <c r="K1201" s="208"/>
      <c r="L1201" s="208" t="str">
        <v/>
      </c>
      <c r="M1201" s="208" t="str">
        <v/>
      </c>
    </row>
    <row r="1202" spans="1:13" ht="14.4">
      <c r="A1202" s="199" t="str">
        <f ca="1">IFERROR(__xludf.DUMMYFUNCTION("""COMPUTED_VALUE"""),"LG")</f>
        <v>LG</v>
      </c>
      <c r="B1202" s="207" t="str">
        <f ca="1">IFERROR(__xludf.DUMMYFUNCTION("""COMPUTED_VALUE"""),"Katherine Egge")</f>
        <v>Katherine Egge</v>
      </c>
      <c r="C1202" s="199">
        <f ca="1">IFERROR(__xludf.DUMMYFUNCTION("""COMPUTED_VALUE"""),12)</f>
        <v>12</v>
      </c>
      <c r="D1202" s="199" t="str">
        <f ca="1">IFERROR(__xludf.DUMMYFUNCTION("""COMPUTED_VALUE"""),"G")</f>
        <v>G</v>
      </c>
      <c r="E1202" s="202" t="str">
        <f ca="1">IFERROR(__xludf.DUMMYFUNCTION("""COMPUTED_VALUE"""),"J")</f>
        <v>J</v>
      </c>
      <c r="F1202" s="202" t="str">
        <f ca="1">IFERROR(__xludf.DUMMYFUNCTION("""COMPUTED_VALUE"""),"I")</f>
        <v>I</v>
      </c>
      <c r="G1202" s="202">
        <f ca="1">IFERROR(__xludf.DUMMYFUNCTION("""COMPUTED_VALUE"""),3)</f>
        <v>3</v>
      </c>
      <c r="H1202" s="208"/>
      <c r="I1202" s="208"/>
      <c r="J1202" s="208"/>
      <c r="K1202" s="208"/>
      <c r="L1202" s="208" t="str">
        <v/>
      </c>
      <c r="M1202" s="208" t="str">
        <v/>
      </c>
    </row>
    <row r="1203" spans="1:13" ht="14.4">
      <c r="A1203" s="199" t="str">
        <f ca="1">IFERROR(__xludf.DUMMYFUNCTION("""COMPUTED_VALUE"""),"LG")</f>
        <v>LG</v>
      </c>
      <c r="B1203" s="207" t="str">
        <f ca="1">IFERROR(__xludf.DUMMYFUNCTION("""COMPUTED_VALUE"""),"Lauren Banko")</f>
        <v>Lauren Banko</v>
      </c>
      <c r="C1203" s="199">
        <f ca="1">IFERROR(__xludf.DUMMYFUNCTION("""COMPUTED_VALUE"""),12)</f>
        <v>12</v>
      </c>
      <c r="D1203" s="199" t="str">
        <f ca="1">IFERROR(__xludf.DUMMYFUNCTION("""COMPUTED_VALUE"""),"G")</f>
        <v>G</v>
      </c>
      <c r="E1203" s="202" t="str">
        <f ca="1">IFERROR(__xludf.DUMMYFUNCTION("""COMPUTED_VALUE"""),"J")</f>
        <v>J</v>
      </c>
      <c r="F1203" s="202" t="str">
        <f ca="1">IFERROR(__xludf.DUMMYFUNCTION("""COMPUTED_VALUE"""),"I")</f>
        <v>I</v>
      </c>
      <c r="G1203" s="202">
        <f ca="1">IFERROR(__xludf.DUMMYFUNCTION("""COMPUTED_VALUE"""),3)</f>
        <v>3</v>
      </c>
      <c r="H1203" s="208"/>
      <c r="I1203" s="208"/>
      <c r="J1203" s="208"/>
      <c r="K1203" s="208"/>
      <c r="L1203" s="208" t="str">
        <v/>
      </c>
      <c r="M1203" s="208" t="str">
        <v/>
      </c>
    </row>
    <row r="1204" spans="1:13" ht="14.4">
      <c r="A1204" s="199" t="str">
        <f ca="1">IFERROR(__xludf.DUMMYFUNCTION("""COMPUTED_VALUE"""),"LG")</f>
        <v>LG</v>
      </c>
      <c r="B1204" s="207" t="str">
        <f ca="1">IFERROR(__xludf.DUMMYFUNCTION("""COMPUTED_VALUE"""),"Louise Meade")</f>
        <v>Louise Meade</v>
      </c>
      <c r="C1204" s="199">
        <f ca="1">IFERROR(__xludf.DUMMYFUNCTION("""COMPUTED_VALUE"""),12)</f>
        <v>12</v>
      </c>
      <c r="D1204" s="199" t="str">
        <f ca="1">IFERROR(__xludf.DUMMYFUNCTION("""COMPUTED_VALUE"""),"G")</f>
        <v>G</v>
      </c>
      <c r="E1204" s="202" t="str">
        <f ca="1">IFERROR(__xludf.DUMMYFUNCTION("""COMPUTED_VALUE"""),"J")</f>
        <v>J</v>
      </c>
      <c r="F1204" s="202" t="str">
        <f ca="1">IFERROR(__xludf.DUMMYFUNCTION("""COMPUTED_VALUE"""),"I")</f>
        <v>I</v>
      </c>
      <c r="G1204" s="202">
        <f ca="1">IFERROR(__xludf.DUMMYFUNCTION("""COMPUTED_VALUE"""),3)</f>
        <v>3</v>
      </c>
      <c r="H1204" s="206"/>
      <c r="I1204" s="206"/>
      <c r="J1204" s="206"/>
      <c r="K1204" s="206"/>
      <c r="L1204" s="206" t="str">
        <v/>
      </c>
      <c r="M1204" s="206" t="str">
        <v/>
      </c>
    </row>
    <row r="1205" spans="1:13" ht="14.4">
      <c r="A1205" s="199" t="str">
        <f ca="1">IFERROR(__xludf.DUMMYFUNCTION("""COMPUTED_VALUE"""),"LG")</f>
        <v>LG</v>
      </c>
      <c r="B1205" s="207" t="str">
        <f ca="1">IFERROR(__xludf.DUMMYFUNCTION("""COMPUTED_VALUE"""),"Macy Brock")</f>
        <v>Macy Brock</v>
      </c>
      <c r="C1205" s="199">
        <f ca="1">IFERROR(__xludf.DUMMYFUNCTION("""COMPUTED_VALUE"""),12)</f>
        <v>12</v>
      </c>
      <c r="D1205" s="199" t="str">
        <f ca="1">IFERROR(__xludf.DUMMYFUNCTION("""COMPUTED_VALUE"""),"G")</f>
        <v>G</v>
      </c>
      <c r="E1205" s="202" t="str">
        <f ca="1">IFERROR(__xludf.DUMMYFUNCTION("""COMPUTED_VALUE"""),"J")</f>
        <v>J</v>
      </c>
      <c r="F1205" s="202" t="str">
        <f ca="1">IFERROR(__xludf.DUMMYFUNCTION("""COMPUTED_VALUE"""),"I")</f>
        <v>I</v>
      </c>
      <c r="G1205" s="202">
        <f ca="1">IFERROR(__xludf.DUMMYFUNCTION("""COMPUTED_VALUE"""),3)</f>
        <v>3</v>
      </c>
      <c r="H1205" s="208"/>
      <c r="I1205" s="208"/>
      <c r="J1205" s="208"/>
      <c r="K1205" s="208"/>
      <c r="L1205" s="208" t="str">
        <v/>
      </c>
      <c r="M1205" s="208" t="str">
        <v/>
      </c>
    </row>
    <row r="1206" spans="1:13" ht="14.4">
      <c r="A1206" s="199" t="str">
        <f ca="1">IFERROR(__xludf.DUMMYFUNCTION("""COMPUTED_VALUE"""),"LG")</f>
        <v>LG</v>
      </c>
      <c r="B1206" s="207" t="str">
        <f ca="1">IFERROR(__xludf.DUMMYFUNCTION("""COMPUTED_VALUE"""),"Maddie Henry")</f>
        <v>Maddie Henry</v>
      </c>
      <c r="C1206" s="199">
        <f ca="1">IFERROR(__xludf.DUMMYFUNCTION("""COMPUTED_VALUE"""),12)</f>
        <v>12</v>
      </c>
      <c r="D1206" s="199" t="str">
        <f ca="1">IFERROR(__xludf.DUMMYFUNCTION("""COMPUTED_VALUE"""),"G")</f>
        <v>G</v>
      </c>
      <c r="E1206" s="202" t="str">
        <f ca="1">IFERROR(__xludf.DUMMYFUNCTION("""COMPUTED_VALUE"""),"J")</f>
        <v>J</v>
      </c>
      <c r="F1206" s="202" t="str">
        <f ca="1">IFERROR(__xludf.DUMMYFUNCTION("""COMPUTED_VALUE"""),"I")</f>
        <v>I</v>
      </c>
      <c r="G1206" s="202">
        <f ca="1">IFERROR(__xludf.DUMMYFUNCTION("""COMPUTED_VALUE"""),3)</f>
        <v>3</v>
      </c>
      <c r="H1206" s="208"/>
      <c r="I1206" s="208"/>
      <c r="J1206" s="208"/>
      <c r="K1206" s="208"/>
      <c r="L1206" s="208" t="str">
        <v/>
      </c>
      <c r="M1206" s="208" t="str">
        <v/>
      </c>
    </row>
    <row r="1207" spans="1:13" ht="14.4">
      <c r="A1207" s="199" t="str">
        <f ca="1">IFERROR(__xludf.DUMMYFUNCTION("""COMPUTED_VALUE"""),"LG")</f>
        <v>LG</v>
      </c>
      <c r="B1207" s="207" t="str">
        <f ca="1">IFERROR(__xludf.DUMMYFUNCTION("""COMPUTED_VALUE"""),"Madison Allard")</f>
        <v>Madison Allard</v>
      </c>
      <c r="C1207" s="199">
        <f ca="1">IFERROR(__xludf.DUMMYFUNCTION("""COMPUTED_VALUE"""),11)</f>
        <v>11</v>
      </c>
      <c r="D1207" s="199" t="str">
        <f ca="1">IFERROR(__xludf.DUMMYFUNCTION("""COMPUTED_VALUE"""),"G")</f>
        <v>G</v>
      </c>
      <c r="E1207" s="202" t="str">
        <f ca="1">IFERROR(__xludf.DUMMYFUNCTION("""COMPUTED_VALUE"""),"J")</f>
        <v>J</v>
      </c>
      <c r="F1207" s="202" t="str">
        <f ca="1">IFERROR(__xludf.DUMMYFUNCTION("""COMPUTED_VALUE"""),"I")</f>
        <v>I</v>
      </c>
      <c r="G1207" s="202">
        <f ca="1">IFERROR(__xludf.DUMMYFUNCTION("""COMPUTED_VALUE"""),3)</f>
        <v>3</v>
      </c>
      <c r="H1207" s="206">
        <v>94.6</v>
      </c>
      <c r="I1207" s="206"/>
      <c r="J1207" s="206" t="s">
        <v>121</v>
      </c>
      <c r="K1207" s="206"/>
      <c r="L1207" s="206" t="str">
        <v xml:space="preserve"> 94.6</v>
      </c>
      <c r="M1207" s="206" t="str">
        <v/>
      </c>
    </row>
    <row r="1208" spans="1:13" ht="14.4">
      <c r="A1208" s="199" t="str">
        <f ca="1">IFERROR(__xludf.DUMMYFUNCTION("""COMPUTED_VALUE"""),"LG")</f>
        <v>LG</v>
      </c>
      <c r="B1208" s="207" t="str">
        <f ca="1">IFERROR(__xludf.DUMMYFUNCTION("""COMPUTED_VALUE"""),"Maura Hughes")</f>
        <v>Maura Hughes</v>
      </c>
      <c r="C1208" s="199">
        <f ca="1">IFERROR(__xludf.DUMMYFUNCTION("""COMPUTED_VALUE"""),12)</f>
        <v>12</v>
      </c>
      <c r="D1208" s="199" t="str">
        <f ca="1">IFERROR(__xludf.DUMMYFUNCTION("""COMPUTED_VALUE"""),"G")</f>
        <v>G</v>
      </c>
      <c r="E1208" s="202" t="str">
        <f ca="1">IFERROR(__xludf.DUMMYFUNCTION("""COMPUTED_VALUE"""),"J")</f>
        <v>J</v>
      </c>
      <c r="F1208" s="202" t="str">
        <f ca="1">IFERROR(__xludf.DUMMYFUNCTION("""COMPUTED_VALUE"""),"I")</f>
        <v>I</v>
      </c>
      <c r="G1208" s="202">
        <f ca="1">IFERROR(__xludf.DUMMYFUNCTION("""COMPUTED_VALUE"""),3)</f>
        <v>3</v>
      </c>
      <c r="H1208" s="208"/>
      <c r="I1208" s="208"/>
      <c r="J1208" s="208"/>
      <c r="K1208" s="208"/>
      <c r="L1208" s="208" t="str">
        <v/>
      </c>
      <c r="M1208" s="208" t="str">
        <v/>
      </c>
    </row>
    <row r="1209" spans="1:13" ht="14.4">
      <c r="A1209" s="199" t="str">
        <f ca="1">IFERROR(__xludf.DUMMYFUNCTION("""COMPUTED_VALUE"""),"LG")</f>
        <v>LG</v>
      </c>
      <c r="B1209" s="207" t="str">
        <f ca="1">IFERROR(__xludf.DUMMYFUNCTION("""COMPUTED_VALUE"""),"Olivia Wanchick")</f>
        <v>Olivia Wanchick</v>
      </c>
      <c r="C1209" s="199">
        <f ca="1">IFERROR(__xludf.DUMMYFUNCTION("""COMPUTED_VALUE"""),12)</f>
        <v>12</v>
      </c>
      <c r="D1209" s="199" t="str">
        <f ca="1">IFERROR(__xludf.DUMMYFUNCTION("""COMPUTED_VALUE"""),"G")</f>
        <v>G</v>
      </c>
      <c r="E1209" s="202" t="str">
        <f ca="1">IFERROR(__xludf.DUMMYFUNCTION("""COMPUTED_VALUE"""),"J")</f>
        <v>J</v>
      </c>
      <c r="F1209" s="202" t="str">
        <f ca="1">IFERROR(__xludf.DUMMYFUNCTION("""COMPUTED_VALUE"""),"I")</f>
        <v>I</v>
      </c>
      <c r="G1209" s="202">
        <f ca="1">IFERROR(__xludf.DUMMYFUNCTION("""COMPUTED_VALUE"""),3)</f>
        <v>3</v>
      </c>
      <c r="H1209" s="206">
        <v>74.05</v>
      </c>
      <c r="I1209" s="206"/>
      <c r="J1209" s="206" t="s">
        <v>121</v>
      </c>
      <c r="K1209" s="206"/>
      <c r="L1209" s="206" t="str">
        <v xml:space="preserve"> 74.05</v>
      </c>
      <c r="M1209" s="206" t="str">
        <v/>
      </c>
    </row>
    <row r="1210" spans="1:13" ht="14.4">
      <c r="A1210" s="199" t="str">
        <f ca="1">IFERROR(__xludf.DUMMYFUNCTION("""COMPUTED_VALUE"""),"LG")</f>
        <v>LG</v>
      </c>
      <c r="B1210" s="207" t="str">
        <f ca="1">IFERROR(__xludf.DUMMYFUNCTION("""COMPUTED_VALUE"""),"Riley Fisher")</f>
        <v>Riley Fisher</v>
      </c>
      <c r="C1210" s="199">
        <f ca="1">IFERROR(__xludf.DUMMYFUNCTION("""COMPUTED_VALUE"""),12)</f>
        <v>12</v>
      </c>
      <c r="D1210" s="199" t="str">
        <f ca="1">IFERROR(__xludf.DUMMYFUNCTION("""COMPUTED_VALUE"""),"G")</f>
        <v>G</v>
      </c>
      <c r="E1210" s="202" t="str">
        <f ca="1">IFERROR(__xludf.DUMMYFUNCTION("""COMPUTED_VALUE"""),"J")</f>
        <v>J</v>
      </c>
      <c r="F1210" s="202" t="str">
        <f ca="1">IFERROR(__xludf.DUMMYFUNCTION("""COMPUTED_VALUE"""),"I")</f>
        <v>I</v>
      </c>
      <c r="G1210" s="202">
        <f ca="1">IFERROR(__xludf.DUMMYFUNCTION("""COMPUTED_VALUE"""),3)</f>
        <v>3</v>
      </c>
      <c r="H1210" s="206"/>
      <c r="I1210" s="206"/>
      <c r="J1210" s="206"/>
      <c r="K1210" s="206"/>
      <c r="L1210" s="206" t="str">
        <v/>
      </c>
      <c r="M1210" s="206" t="str">
        <v/>
      </c>
    </row>
    <row r="1211" spans="1:13" ht="14.4">
      <c r="A1211" s="199" t="str">
        <f ca="1">IFERROR(__xludf.DUMMYFUNCTION("""COMPUTED_VALUE"""),"LG")</f>
        <v>LG</v>
      </c>
      <c r="B1211" s="207" t="str">
        <f ca="1">IFERROR(__xludf.DUMMYFUNCTION("""COMPUTED_VALUE"""),"Zoe Mar")</f>
        <v>Zoe Mar</v>
      </c>
      <c r="C1211" s="199">
        <f ca="1">IFERROR(__xludf.DUMMYFUNCTION("""COMPUTED_VALUE"""),11)</f>
        <v>11</v>
      </c>
      <c r="D1211" s="199" t="str">
        <f ca="1">IFERROR(__xludf.DUMMYFUNCTION("""COMPUTED_VALUE"""),"G")</f>
        <v>G</v>
      </c>
      <c r="E1211" s="202" t="str">
        <f ca="1">IFERROR(__xludf.DUMMYFUNCTION("""COMPUTED_VALUE"""),"J")</f>
        <v>J</v>
      </c>
      <c r="F1211" s="202" t="str">
        <f ca="1">IFERROR(__xludf.DUMMYFUNCTION("""COMPUTED_VALUE"""),"I")</f>
        <v>I</v>
      </c>
      <c r="G1211" s="202">
        <f ca="1">IFERROR(__xludf.DUMMYFUNCTION("""COMPUTED_VALUE"""),3)</f>
        <v>3</v>
      </c>
      <c r="H1211" s="208">
        <v>114.55</v>
      </c>
      <c r="I1211" s="208"/>
      <c r="J1211" s="208" t="s">
        <v>121</v>
      </c>
      <c r="K1211" s="208"/>
      <c r="L1211" s="208" t="str">
        <v xml:space="preserve"> 114.55</v>
      </c>
      <c r="M1211" s="208" t="str">
        <v/>
      </c>
    </row>
    <row r="1212" spans="1:13" ht="14.4">
      <c r="A1212" s="199" t="str">
        <f ca="1">IFERROR(__xludf.DUMMYFUNCTION("""COMPUTED_VALUE"""),"LG")</f>
        <v>LG</v>
      </c>
      <c r="B1212" s="207" t="str">
        <f ca="1">IFERROR(__xludf.DUMMYFUNCTION("""COMPUTED_VALUE"""),"Calvin Mar")</f>
        <v>Calvin Mar</v>
      </c>
      <c r="C1212" s="199">
        <f ca="1">IFERROR(__xludf.DUMMYFUNCTION("""COMPUTED_VALUE"""),17)</f>
        <v>17</v>
      </c>
      <c r="D1212" s="199" t="str">
        <f ca="1">IFERROR(__xludf.DUMMYFUNCTION("""COMPUTED_VALUE"""),"B")</f>
        <v>B</v>
      </c>
      <c r="E1212" s="202" t="str">
        <f ca="1">IFERROR(__xludf.DUMMYFUNCTION("""COMPUTED_VALUE"""),"S")</f>
        <v>S</v>
      </c>
      <c r="F1212" s="202" t="str">
        <f ca="1">IFERROR(__xludf.DUMMYFUNCTION("""COMPUTED_VALUE"""),"S")</f>
        <v>S</v>
      </c>
      <c r="G1212" s="202">
        <f ca="1">IFERROR(__xludf.DUMMYFUNCTION("""COMPUTED_VALUE"""),3)</f>
        <v>3</v>
      </c>
      <c r="H1212" s="208"/>
      <c r="I1212" s="208"/>
      <c r="J1212" s="208"/>
      <c r="K1212" s="208"/>
      <c r="L1212" s="208" t="str">
        <v/>
      </c>
      <c r="M1212" s="208" t="str">
        <v/>
      </c>
    </row>
    <row r="1213" spans="1:13" ht="14.4">
      <c r="A1213" s="199" t="str">
        <f ca="1">IFERROR(__xludf.DUMMYFUNCTION("""COMPUTED_VALUE"""),"LG")</f>
        <v>LG</v>
      </c>
      <c r="B1213" s="207" t="str">
        <f ca="1">IFERROR(__xludf.DUMMYFUNCTION("""COMPUTED_VALUE"""),"Ian Fry")</f>
        <v>Ian Fry</v>
      </c>
      <c r="C1213" s="199">
        <f ca="1">IFERROR(__xludf.DUMMYFUNCTION("""COMPUTED_VALUE"""),18)</f>
        <v>18</v>
      </c>
      <c r="D1213" s="199" t="str">
        <f ca="1">IFERROR(__xludf.DUMMYFUNCTION("""COMPUTED_VALUE"""),"B")</f>
        <v>B</v>
      </c>
      <c r="E1213" s="202" t="str">
        <f ca="1">IFERROR(__xludf.DUMMYFUNCTION("""COMPUTED_VALUE"""),"S")</f>
        <v>S</v>
      </c>
      <c r="F1213" s="202" t="str">
        <f ca="1">IFERROR(__xludf.DUMMYFUNCTION("""COMPUTED_VALUE"""),"S")</f>
        <v>S</v>
      </c>
      <c r="G1213" s="202">
        <f ca="1">IFERROR(__xludf.DUMMYFUNCTION("""COMPUTED_VALUE"""),3)</f>
        <v>3</v>
      </c>
      <c r="H1213" s="208"/>
      <c r="I1213" s="208"/>
      <c r="J1213" s="208"/>
      <c r="K1213" s="208"/>
      <c r="L1213" s="208" t="str">
        <v/>
      </c>
      <c r="M1213" s="208" t="str">
        <v/>
      </c>
    </row>
    <row r="1214" spans="1:13" ht="14.4">
      <c r="A1214" s="199" t="str">
        <f ca="1">IFERROR(__xludf.DUMMYFUNCTION("""COMPUTED_VALUE"""),"LG")</f>
        <v>LG</v>
      </c>
      <c r="B1214" s="207" t="str">
        <f ca="1">IFERROR(__xludf.DUMMYFUNCTION("""COMPUTED_VALUE"""),"Elizabeth Weidman")</f>
        <v>Elizabeth Weidman</v>
      </c>
      <c r="C1214" s="199">
        <f ca="1">IFERROR(__xludf.DUMMYFUNCTION("""COMPUTED_VALUE"""),16)</f>
        <v>16</v>
      </c>
      <c r="D1214" s="199" t="str">
        <f ca="1">IFERROR(__xludf.DUMMYFUNCTION("""COMPUTED_VALUE"""),"G")</f>
        <v>G</v>
      </c>
      <c r="E1214" s="202" t="str">
        <f ca="1">IFERROR(__xludf.DUMMYFUNCTION("""COMPUTED_VALUE"""),"S")</f>
        <v>S</v>
      </c>
      <c r="F1214" s="202" t="str">
        <f ca="1">IFERROR(__xludf.DUMMYFUNCTION("""COMPUTED_VALUE"""),"S")</f>
        <v>S</v>
      </c>
      <c r="G1214" s="202">
        <f ca="1">IFERROR(__xludf.DUMMYFUNCTION("""COMPUTED_VALUE"""),3)</f>
        <v>3</v>
      </c>
      <c r="H1214" s="208"/>
      <c r="I1214" s="208"/>
      <c r="J1214" s="208"/>
      <c r="K1214" s="208"/>
      <c r="L1214" s="208" t="str">
        <v/>
      </c>
      <c r="M1214" s="208" t="str">
        <v/>
      </c>
    </row>
    <row r="1215" spans="1:13" ht="14.4">
      <c r="A1215" s="199" t="str">
        <f ca="1">IFERROR(__xludf.DUMMYFUNCTION("""COMPUTED_VALUE"""),"LG")</f>
        <v>LG</v>
      </c>
      <c r="B1215" s="207" t="str">
        <f ca="1">IFERROR(__xludf.DUMMYFUNCTION("""COMPUTED_VALUE"""),"Ellie Moonis")</f>
        <v>Ellie Moonis</v>
      </c>
      <c r="C1215" s="199">
        <f ca="1">IFERROR(__xludf.DUMMYFUNCTION("""COMPUTED_VALUE"""),17)</f>
        <v>17</v>
      </c>
      <c r="D1215" s="199" t="str">
        <f ca="1">IFERROR(__xludf.DUMMYFUNCTION("""COMPUTED_VALUE"""),"G")</f>
        <v>G</v>
      </c>
      <c r="E1215" s="202" t="str">
        <f ca="1">IFERROR(__xludf.DUMMYFUNCTION("""COMPUTED_VALUE"""),"S")</f>
        <v>S</v>
      </c>
      <c r="F1215" s="202" t="str">
        <f ca="1">IFERROR(__xludf.DUMMYFUNCTION("""COMPUTED_VALUE"""),"S")</f>
        <v>S</v>
      </c>
      <c r="G1215" s="202">
        <f ca="1">IFERROR(__xludf.DUMMYFUNCTION("""COMPUTED_VALUE"""),3)</f>
        <v>3</v>
      </c>
      <c r="H1215" s="208"/>
      <c r="I1215" s="208"/>
      <c r="J1215" s="208"/>
      <c r="K1215" s="208"/>
      <c r="L1215" s="208" t="str">
        <v/>
      </c>
      <c r="M1215" s="208" t="str">
        <v/>
      </c>
    </row>
    <row r="1216" spans="1:13" ht="14.4">
      <c r="A1216" s="199" t="str">
        <f ca="1">IFERROR(__xludf.DUMMYFUNCTION("""COMPUTED_VALUE"""),"LG")</f>
        <v>LG</v>
      </c>
      <c r="B1216" s="207" t="str">
        <f ca="1">IFERROR(__xludf.DUMMYFUNCTION("""COMPUTED_VALUE"""),"Jordan Eastman")</f>
        <v>Jordan Eastman</v>
      </c>
      <c r="C1216" s="199">
        <f ca="1">IFERROR(__xludf.DUMMYFUNCTION("""COMPUTED_VALUE"""),17)</f>
        <v>17</v>
      </c>
      <c r="D1216" s="199" t="str">
        <f ca="1">IFERROR(__xludf.DUMMYFUNCTION("""COMPUTED_VALUE"""),"G")</f>
        <v>G</v>
      </c>
      <c r="E1216" s="202" t="str">
        <f ca="1">IFERROR(__xludf.DUMMYFUNCTION("""COMPUTED_VALUE"""),"S")</f>
        <v>S</v>
      </c>
      <c r="F1216" s="202" t="str">
        <f ca="1">IFERROR(__xludf.DUMMYFUNCTION("""COMPUTED_VALUE"""),"S")</f>
        <v>S</v>
      </c>
      <c r="G1216" s="202">
        <f ca="1">IFERROR(__xludf.DUMMYFUNCTION("""COMPUTED_VALUE"""),3)</f>
        <v>3</v>
      </c>
      <c r="H1216" s="208"/>
      <c r="I1216" s="208"/>
      <c r="J1216" s="208"/>
      <c r="K1216" s="208"/>
      <c r="L1216" s="208" t="str">
        <v/>
      </c>
      <c r="M1216" s="208" t="str">
        <v/>
      </c>
    </row>
    <row r="1217" spans="1:13" ht="14.4">
      <c r="A1217" s="199" t="str">
        <f ca="1">IFERROR(__xludf.DUMMYFUNCTION("""COMPUTED_VALUE"""),"LG")</f>
        <v>LG</v>
      </c>
      <c r="B1217" s="207" t="str">
        <f ca="1">IFERROR(__xludf.DUMMYFUNCTION("""COMPUTED_VALUE"""),"Madison Cervenak")</f>
        <v>Madison Cervenak</v>
      </c>
      <c r="C1217" s="199">
        <f ca="1">IFERROR(__xludf.DUMMYFUNCTION("""COMPUTED_VALUE"""),15)</f>
        <v>15</v>
      </c>
      <c r="D1217" s="199" t="str">
        <f ca="1">IFERROR(__xludf.DUMMYFUNCTION("""COMPUTED_VALUE"""),"G")</f>
        <v>G</v>
      </c>
      <c r="E1217" s="202" t="str">
        <f ca="1">IFERROR(__xludf.DUMMYFUNCTION("""COMPUTED_VALUE"""),"S")</f>
        <v>S</v>
      </c>
      <c r="F1217" s="202" t="str">
        <f ca="1">IFERROR(__xludf.DUMMYFUNCTION("""COMPUTED_VALUE"""),"S")</f>
        <v>S</v>
      </c>
      <c r="G1217" s="202">
        <f ca="1">IFERROR(__xludf.DUMMYFUNCTION("""COMPUTED_VALUE"""),3)</f>
        <v>3</v>
      </c>
      <c r="H1217" s="208">
        <v>186.55</v>
      </c>
      <c r="I1217" s="208"/>
      <c r="J1217" s="208" t="s">
        <v>121</v>
      </c>
      <c r="K1217" s="208"/>
      <c r="L1217" s="208" t="str">
        <v xml:space="preserve"> 186.55</v>
      </c>
      <c r="M1217" s="208" t="str">
        <v/>
      </c>
    </row>
    <row r="1218" spans="1:13" ht="14.4">
      <c r="A1218" s="199" t="str">
        <f ca="1">IFERROR(__xludf.DUMMYFUNCTION("""COMPUTED_VALUE"""),"LG")</f>
        <v>LG</v>
      </c>
      <c r="B1218" s="207" t="str">
        <f ca="1">IFERROR(__xludf.DUMMYFUNCTION("""COMPUTED_VALUE"""),"Maggie DiScipio")</f>
        <v>Maggie DiScipio</v>
      </c>
      <c r="C1218" s="199">
        <f ca="1">IFERROR(__xludf.DUMMYFUNCTION("""COMPUTED_VALUE"""),17)</f>
        <v>17</v>
      </c>
      <c r="D1218" s="199" t="str">
        <f ca="1">IFERROR(__xludf.DUMMYFUNCTION("""COMPUTED_VALUE"""),"G")</f>
        <v>G</v>
      </c>
      <c r="E1218" s="202" t="str">
        <f ca="1">IFERROR(__xludf.DUMMYFUNCTION("""COMPUTED_VALUE"""),"S")</f>
        <v>S</v>
      </c>
      <c r="F1218" s="202" t="str">
        <f ca="1">IFERROR(__xludf.DUMMYFUNCTION("""COMPUTED_VALUE"""),"S")</f>
        <v>S</v>
      </c>
      <c r="G1218" s="202">
        <f ca="1">IFERROR(__xludf.DUMMYFUNCTION("""COMPUTED_VALUE"""),3)</f>
        <v>3</v>
      </c>
      <c r="H1218" s="208">
        <v>234.35</v>
      </c>
      <c r="I1218" s="208"/>
      <c r="J1218" s="208" t="s">
        <v>121</v>
      </c>
      <c r="K1218" s="208"/>
      <c r="L1218" s="208" t="str">
        <v xml:space="preserve"> 234.35</v>
      </c>
      <c r="M1218" s="208" t="str">
        <v/>
      </c>
    </row>
    <row r="1219" spans="1:13" ht="14.4">
      <c r="A1219" s="199" t="str">
        <f ca="1">IFERROR(__xludf.DUMMYFUNCTION("""COMPUTED_VALUE"""),"LG")</f>
        <v>LG</v>
      </c>
      <c r="B1219" s="207" t="str">
        <f ca="1">IFERROR(__xludf.DUMMYFUNCTION("""COMPUTED_VALUE"""),"Maggie Moonis")</f>
        <v>Maggie Moonis</v>
      </c>
      <c r="C1219" s="199">
        <f ca="1">IFERROR(__xludf.DUMMYFUNCTION("""COMPUTED_VALUE"""),17)</f>
        <v>17</v>
      </c>
      <c r="D1219" s="199" t="str">
        <f ca="1">IFERROR(__xludf.DUMMYFUNCTION("""COMPUTED_VALUE"""),"G")</f>
        <v>G</v>
      </c>
      <c r="E1219" s="202" t="str">
        <f ca="1">IFERROR(__xludf.DUMMYFUNCTION("""COMPUTED_VALUE"""),"S")</f>
        <v>S</v>
      </c>
      <c r="F1219" s="202" t="str">
        <f ca="1">IFERROR(__xludf.DUMMYFUNCTION("""COMPUTED_VALUE"""),"S")</f>
        <v>S</v>
      </c>
      <c r="G1219" s="202">
        <f ca="1">IFERROR(__xludf.DUMMYFUNCTION("""COMPUTED_VALUE"""),3)</f>
        <v>3</v>
      </c>
      <c r="H1219" s="208"/>
      <c r="I1219" s="208"/>
      <c r="J1219" s="208"/>
      <c r="K1219" s="208"/>
      <c r="L1219" s="208" t="str">
        <v/>
      </c>
      <c r="M1219" s="208" t="str">
        <v/>
      </c>
    </row>
    <row r="1220" spans="1:13" ht="14.4">
      <c r="A1220" s="199" t="str">
        <f ca="1">IFERROR(__xludf.DUMMYFUNCTION("""COMPUTED_VALUE"""),"LG")</f>
        <v>LG</v>
      </c>
      <c r="B1220" s="207" t="str">
        <f ca="1">IFERROR(__xludf.DUMMYFUNCTION("""COMPUTED_VALUE"""),"Sylvie Lister")</f>
        <v>Sylvie Lister</v>
      </c>
      <c r="C1220" s="199">
        <f ca="1">IFERROR(__xludf.DUMMYFUNCTION("""COMPUTED_VALUE"""),17)</f>
        <v>17</v>
      </c>
      <c r="D1220" s="199" t="str">
        <f ca="1">IFERROR(__xludf.DUMMYFUNCTION("""COMPUTED_VALUE"""),"G")</f>
        <v>G</v>
      </c>
      <c r="E1220" s="202" t="str">
        <f ca="1">IFERROR(__xludf.DUMMYFUNCTION("""COMPUTED_VALUE"""),"S")</f>
        <v>S</v>
      </c>
      <c r="F1220" s="202" t="str">
        <f ca="1">IFERROR(__xludf.DUMMYFUNCTION("""COMPUTED_VALUE"""),"S")</f>
        <v>S</v>
      </c>
      <c r="G1220" s="202">
        <f ca="1">IFERROR(__xludf.DUMMYFUNCTION("""COMPUTED_VALUE"""),3)</f>
        <v>3</v>
      </c>
      <c r="H1220" s="208"/>
      <c r="I1220" s="208"/>
      <c r="J1220" s="208"/>
      <c r="K1220" s="208"/>
      <c r="L1220" s="208" t="str">
        <v/>
      </c>
      <c r="M1220" s="208" t="str">
        <v/>
      </c>
    </row>
    <row r="1221" spans="1:13" ht="14.4">
      <c r="A1221" s="199" t="str">
        <f ca="1">IFERROR(__xludf.DUMMYFUNCTION("""COMPUTED_VALUE"""),"LV")</f>
        <v>LV</v>
      </c>
      <c r="B1221" s="207" t="str">
        <f ca="1">IFERROR(__xludf.DUMMYFUNCTION("""COMPUTED_VALUE"""),"Arik Stone")</f>
        <v>Arik Stone</v>
      </c>
      <c r="C1221" s="199">
        <f ca="1">IFERROR(__xludf.DUMMYFUNCTION("""COMPUTED_VALUE"""),9)</f>
        <v>9</v>
      </c>
      <c r="D1221" s="199" t="str">
        <f ca="1">IFERROR(__xludf.DUMMYFUNCTION("""COMPUTED_VALUE"""),"B")</f>
        <v>B</v>
      </c>
      <c r="E1221" s="202" t="str">
        <f ca="1">IFERROR(__xludf.DUMMYFUNCTION("""COMPUTED_VALUE"""),"F")</f>
        <v>F</v>
      </c>
      <c r="F1221" s="202" t="str">
        <f ca="1">IFERROR(__xludf.DUMMYFUNCTION("""COMPUTED_VALUE"""),"J")</f>
        <v>J</v>
      </c>
      <c r="G1221" s="202">
        <f ca="1">IFERROR(__xludf.DUMMYFUNCTION("""COMPUTED_VALUE"""),5)</f>
        <v>5</v>
      </c>
      <c r="H1221" s="206"/>
      <c r="I1221" s="206">
        <v>77.599999999999994</v>
      </c>
      <c r="J1221" s="206"/>
      <c r="K1221" s="206" t="s">
        <v>121</v>
      </c>
      <c r="L1221" s="206" t="str">
        <v xml:space="preserve"> 77.6</v>
      </c>
      <c r="M1221" s="206" t="str">
        <v/>
      </c>
    </row>
    <row r="1222" spans="1:13" ht="14.4">
      <c r="A1222" s="199" t="str">
        <f ca="1">IFERROR(__xludf.DUMMYFUNCTION("""COMPUTED_VALUE"""),"LV")</f>
        <v>LV</v>
      </c>
      <c r="B1222" s="207" t="str">
        <f ca="1">IFERROR(__xludf.DUMMYFUNCTION("""COMPUTED_VALUE"""),"Gunner Larson")</f>
        <v>Gunner Larson</v>
      </c>
      <c r="C1222" s="199">
        <f ca="1">IFERROR(__xludf.DUMMYFUNCTION("""COMPUTED_VALUE"""),10)</f>
        <v>10</v>
      </c>
      <c r="D1222" s="199" t="str">
        <f ca="1">IFERROR(__xludf.DUMMYFUNCTION("""COMPUTED_VALUE"""),"B")</f>
        <v>B</v>
      </c>
      <c r="E1222" s="202" t="str">
        <f ca="1">IFERROR(__xludf.DUMMYFUNCTION("""COMPUTED_VALUE"""),"F")</f>
        <v>F</v>
      </c>
      <c r="F1222" s="202" t="str">
        <f ca="1">IFERROR(__xludf.DUMMYFUNCTION("""COMPUTED_VALUE"""),"J")</f>
        <v>J</v>
      </c>
      <c r="G1222" s="202">
        <f ca="1">IFERROR(__xludf.DUMMYFUNCTION("""COMPUTED_VALUE"""),5)</f>
        <v>5</v>
      </c>
      <c r="H1222" s="208"/>
      <c r="I1222" s="208">
        <v>87.05</v>
      </c>
      <c r="J1222" s="208"/>
      <c r="K1222" s="208" t="s">
        <v>123</v>
      </c>
      <c r="L1222" s="208" t="str">
        <v xml:space="preserve"> -87.05</v>
      </c>
      <c r="M1222" s="208" t="str">
        <v>^</v>
      </c>
    </row>
    <row r="1223" spans="1:13" ht="14.4">
      <c r="A1223" s="199" t="str">
        <f ca="1">IFERROR(__xludf.DUMMYFUNCTION("""COMPUTED_VALUE"""),"LV")</f>
        <v>LV</v>
      </c>
      <c r="B1223" s="207" t="str">
        <f ca="1">IFERROR(__xludf.DUMMYFUNCTION("""COMPUTED_VALUE"""),"Logan Gernatt")</f>
        <v>Logan Gernatt</v>
      </c>
      <c r="C1223" s="199">
        <f ca="1">IFERROR(__xludf.DUMMYFUNCTION("""COMPUTED_VALUE"""),8)</f>
        <v>8</v>
      </c>
      <c r="D1223" s="199" t="str">
        <f ca="1">IFERROR(__xludf.DUMMYFUNCTION("""COMPUTED_VALUE"""),"B")</f>
        <v>B</v>
      </c>
      <c r="E1223" s="202" t="str">
        <f ca="1">IFERROR(__xludf.DUMMYFUNCTION("""COMPUTED_VALUE"""),"F")</f>
        <v>F</v>
      </c>
      <c r="F1223" s="202" t="str">
        <f ca="1">IFERROR(__xludf.DUMMYFUNCTION("""COMPUTED_VALUE"""),"J")</f>
        <v>J</v>
      </c>
      <c r="G1223" s="202">
        <f ca="1">IFERROR(__xludf.DUMMYFUNCTION("""COMPUTED_VALUE"""),5)</f>
        <v>5</v>
      </c>
      <c r="H1223" s="208"/>
      <c r="I1223" s="208">
        <v>35.950000000000003</v>
      </c>
      <c r="J1223" s="208"/>
      <c r="K1223" s="208" t="s">
        <v>121</v>
      </c>
      <c r="L1223" s="208" t="str">
        <v xml:space="preserve"> 35.95</v>
      </c>
      <c r="M1223" s="208" t="str">
        <v/>
      </c>
    </row>
    <row r="1224" spans="1:13" ht="14.4">
      <c r="A1224" s="199" t="str">
        <f ca="1">IFERROR(__xludf.DUMMYFUNCTION("""COMPUTED_VALUE"""),"LV")</f>
        <v>LV</v>
      </c>
      <c r="B1224" s="207" t="str">
        <f ca="1">IFERROR(__xludf.DUMMYFUNCTION("""COMPUTED_VALUE"""),"Pax Whritenour")</f>
        <v>Pax Whritenour</v>
      </c>
      <c r="C1224" s="199">
        <f ca="1">IFERROR(__xludf.DUMMYFUNCTION("""COMPUTED_VALUE"""),9)</f>
        <v>9</v>
      </c>
      <c r="D1224" s="199" t="str">
        <f ca="1">IFERROR(__xludf.DUMMYFUNCTION("""COMPUTED_VALUE"""),"B")</f>
        <v>B</v>
      </c>
      <c r="E1224" s="202" t="str">
        <f ca="1">IFERROR(__xludf.DUMMYFUNCTION("""COMPUTED_VALUE"""),"F")</f>
        <v>F</v>
      </c>
      <c r="F1224" s="202" t="str">
        <f ca="1">IFERROR(__xludf.DUMMYFUNCTION("""COMPUTED_VALUE"""),"J")</f>
        <v>J</v>
      </c>
      <c r="G1224" s="202">
        <f ca="1">IFERROR(__xludf.DUMMYFUNCTION("""COMPUTED_VALUE"""),5)</f>
        <v>5</v>
      </c>
      <c r="H1224" s="208"/>
      <c r="I1224" s="208">
        <v>50.55</v>
      </c>
      <c r="J1224" s="208"/>
      <c r="K1224" s="208" t="s">
        <v>121</v>
      </c>
      <c r="L1224" s="208" t="str">
        <v xml:space="preserve"> 50.55</v>
      </c>
      <c r="M1224" s="208" t="str">
        <v/>
      </c>
    </row>
    <row r="1225" spans="1:13" ht="14.4">
      <c r="A1225" s="199" t="str">
        <f ca="1">IFERROR(__xludf.DUMMYFUNCTION("""COMPUTED_VALUE"""),"LV")</f>
        <v>LV</v>
      </c>
      <c r="B1225" s="207" t="str">
        <f ca="1">IFERROR(__xludf.DUMMYFUNCTION("""COMPUTED_VALUE"""),"Thomas Gardner")</f>
        <v>Thomas Gardner</v>
      </c>
      <c r="C1225" s="199">
        <f ca="1">IFERROR(__xludf.DUMMYFUNCTION("""COMPUTED_VALUE"""),10)</f>
        <v>10</v>
      </c>
      <c r="D1225" s="199" t="str">
        <f ca="1">IFERROR(__xludf.DUMMYFUNCTION("""COMPUTED_VALUE"""),"B")</f>
        <v>B</v>
      </c>
      <c r="E1225" s="202" t="str">
        <f ca="1">IFERROR(__xludf.DUMMYFUNCTION("""COMPUTED_VALUE"""),"F")</f>
        <v>F</v>
      </c>
      <c r="F1225" s="202" t="str">
        <f ca="1">IFERROR(__xludf.DUMMYFUNCTION("""COMPUTED_VALUE"""),"J")</f>
        <v>J</v>
      </c>
      <c r="G1225" s="202">
        <f ca="1">IFERROR(__xludf.DUMMYFUNCTION("""COMPUTED_VALUE"""),5)</f>
        <v>5</v>
      </c>
      <c r="H1225" s="208"/>
      <c r="I1225" s="208"/>
      <c r="J1225" s="208"/>
      <c r="K1225" s="208"/>
      <c r="L1225" s="208" t="str">
        <v/>
      </c>
      <c r="M1225" s="208" t="str">
        <v/>
      </c>
    </row>
    <row r="1226" spans="1:13" ht="14.4">
      <c r="A1226" s="199" t="str">
        <f ca="1">IFERROR(__xludf.DUMMYFUNCTION("""COMPUTED_VALUE"""),"LV")</f>
        <v>LV</v>
      </c>
      <c r="B1226" s="207" t="str">
        <f ca="1">IFERROR(__xludf.DUMMYFUNCTION("""COMPUTED_VALUE"""),"Zachary Holden")</f>
        <v>Zachary Holden</v>
      </c>
      <c r="C1226" s="199">
        <f ca="1">IFERROR(__xludf.DUMMYFUNCTION("""COMPUTED_VALUE"""),10)</f>
        <v>10</v>
      </c>
      <c r="D1226" s="199" t="str">
        <f ca="1">IFERROR(__xludf.DUMMYFUNCTION("""COMPUTED_VALUE"""),"B")</f>
        <v>B</v>
      </c>
      <c r="E1226" s="202" t="str">
        <f ca="1">IFERROR(__xludf.DUMMYFUNCTION("""COMPUTED_VALUE"""),"F")</f>
        <v>F</v>
      </c>
      <c r="F1226" s="202" t="str">
        <f ca="1">IFERROR(__xludf.DUMMYFUNCTION("""COMPUTED_VALUE"""),"J")</f>
        <v>J</v>
      </c>
      <c r="G1226" s="202">
        <f ca="1">IFERROR(__xludf.DUMMYFUNCTION("""COMPUTED_VALUE"""),5)</f>
        <v>5</v>
      </c>
      <c r="H1226" s="208"/>
      <c r="I1226" s="208">
        <v>60.25</v>
      </c>
      <c r="J1226" s="208"/>
      <c r="K1226" s="208" t="s">
        <v>121</v>
      </c>
      <c r="L1226" s="208" t="str">
        <v xml:space="preserve"> 60.25</v>
      </c>
      <c r="M1226" s="208" t="str">
        <v/>
      </c>
    </row>
    <row r="1227" spans="1:13" ht="14.4">
      <c r="A1227" s="199" t="str">
        <f ca="1">IFERROR(__xludf.DUMMYFUNCTION("""COMPUTED_VALUE"""),"LV")</f>
        <v>LV</v>
      </c>
      <c r="B1227" s="207" t="str">
        <f ca="1">IFERROR(__xludf.DUMMYFUNCTION("""COMPUTED_VALUE"""),"Addy Whritenour")</f>
        <v>Addy Whritenour</v>
      </c>
      <c r="C1227" s="199">
        <f ca="1">IFERROR(__xludf.DUMMYFUNCTION("""COMPUTED_VALUE"""),8)</f>
        <v>8</v>
      </c>
      <c r="D1227" s="199" t="str">
        <f ca="1">IFERROR(__xludf.DUMMYFUNCTION("""COMPUTED_VALUE"""),"G")</f>
        <v>G</v>
      </c>
      <c r="E1227" s="202" t="str">
        <f ca="1">IFERROR(__xludf.DUMMYFUNCTION("""COMPUTED_VALUE"""),"F")</f>
        <v>F</v>
      </c>
      <c r="F1227" s="202" t="str">
        <f ca="1">IFERROR(__xludf.DUMMYFUNCTION("""COMPUTED_VALUE"""),"J")</f>
        <v>J</v>
      </c>
      <c r="G1227" s="202">
        <f ca="1">IFERROR(__xludf.DUMMYFUNCTION("""COMPUTED_VALUE"""),5)</f>
        <v>5</v>
      </c>
      <c r="H1227" s="206">
        <v>38.5</v>
      </c>
      <c r="I1227" s="206"/>
      <c r="J1227" s="206" t="s">
        <v>121</v>
      </c>
      <c r="K1227" s="206"/>
      <c r="L1227" s="206" t="str">
        <v xml:space="preserve"> 38.5</v>
      </c>
      <c r="M1227" s="206" t="str">
        <v/>
      </c>
    </row>
    <row r="1228" spans="1:13" ht="14.4">
      <c r="A1228" s="199" t="str">
        <f ca="1">IFERROR(__xludf.DUMMYFUNCTION("""COMPUTED_VALUE"""),"LV")</f>
        <v>LV</v>
      </c>
      <c r="B1228" s="207" t="str">
        <f ca="1">IFERROR(__xludf.DUMMYFUNCTION("""COMPUTED_VALUE"""),"Claire Andresen")</f>
        <v>Claire Andresen</v>
      </c>
      <c r="C1228" s="199">
        <f ca="1">IFERROR(__xludf.DUMMYFUNCTION("""COMPUTED_VALUE"""),10)</f>
        <v>10</v>
      </c>
      <c r="D1228" s="199" t="str">
        <f ca="1">IFERROR(__xludf.DUMMYFUNCTION("""COMPUTED_VALUE"""),"G")</f>
        <v>G</v>
      </c>
      <c r="E1228" s="202" t="str">
        <f ca="1">IFERROR(__xludf.DUMMYFUNCTION("""COMPUTED_VALUE"""),"F")</f>
        <v>F</v>
      </c>
      <c r="F1228" s="202" t="str">
        <f ca="1">IFERROR(__xludf.DUMMYFUNCTION("""COMPUTED_VALUE"""),"J")</f>
        <v>J</v>
      </c>
      <c r="G1228" s="202">
        <f ca="1">IFERROR(__xludf.DUMMYFUNCTION("""COMPUTED_VALUE"""),5)</f>
        <v>5</v>
      </c>
      <c r="H1228" s="206">
        <v>97.3</v>
      </c>
      <c r="I1228" s="206"/>
      <c r="J1228" s="206" t="s">
        <v>123</v>
      </c>
      <c r="K1228" s="206"/>
      <c r="L1228" s="206" t="str">
        <v xml:space="preserve"> -97.3</v>
      </c>
      <c r="M1228" s="206" t="str">
        <v>^</v>
      </c>
    </row>
    <row r="1229" spans="1:13" ht="14.4">
      <c r="A1229" s="199" t="str">
        <f ca="1">IFERROR(__xludf.DUMMYFUNCTION("""COMPUTED_VALUE"""),"LV")</f>
        <v>LV</v>
      </c>
      <c r="B1229" s="207" t="str">
        <f ca="1">IFERROR(__xludf.DUMMYFUNCTION("""COMPUTED_VALUE"""),"Claire Webster")</f>
        <v>Claire Webster</v>
      </c>
      <c r="C1229" s="199">
        <f ca="1">IFERROR(__xludf.DUMMYFUNCTION("""COMPUTED_VALUE"""),8)</f>
        <v>8</v>
      </c>
      <c r="D1229" s="199" t="str">
        <f ca="1">IFERROR(__xludf.DUMMYFUNCTION("""COMPUTED_VALUE"""),"G")</f>
        <v>G</v>
      </c>
      <c r="E1229" s="202" t="str">
        <f ca="1">IFERROR(__xludf.DUMMYFUNCTION("""COMPUTED_VALUE"""),"F")</f>
        <v>F</v>
      </c>
      <c r="F1229" s="202" t="str">
        <f ca="1">IFERROR(__xludf.DUMMYFUNCTION("""COMPUTED_VALUE"""),"J")</f>
        <v>J</v>
      </c>
      <c r="G1229" s="202">
        <f ca="1">IFERROR(__xludf.DUMMYFUNCTION("""COMPUTED_VALUE"""),5)</f>
        <v>5</v>
      </c>
      <c r="H1229" s="206">
        <v>37.299999999999997</v>
      </c>
      <c r="I1229" s="206"/>
      <c r="J1229" s="206" t="s">
        <v>121</v>
      </c>
      <c r="K1229" s="206"/>
      <c r="L1229" s="206" t="str">
        <v xml:space="preserve"> 37.3</v>
      </c>
      <c r="M1229" s="206" t="str">
        <v/>
      </c>
    </row>
    <row r="1230" spans="1:13" ht="14.4">
      <c r="A1230" s="199" t="str">
        <f ca="1">IFERROR(__xludf.DUMMYFUNCTION("""COMPUTED_VALUE"""),"LV")</f>
        <v>LV</v>
      </c>
      <c r="B1230" s="207" t="str">
        <f ca="1">IFERROR(__xludf.DUMMYFUNCTION("""COMPUTED_VALUE"""),"Deena Epstein")</f>
        <v>Deena Epstein</v>
      </c>
      <c r="C1230" s="199">
        <f ca="1">IFERROR(__xludf.DUMMYFUNCTION("""COMPUTED_VALUE"""),9)</f>
        <v>9</v>
      </c>
      <c r="D1230" s="199" t="str">
        <f ca="1">IFERROR(__xludf.DUMMYFUNCTION("""COMPUTED_VALUE"""),"G")</f>
        <v>G</v>
      </c>
      <c r="E1230" s="202" t="str">
        <f ca="1">IFERROR(__xludf.DUMMYFUNCTION("""COMPUTED_VALUE"""),"F")</f>
        <v>F</v>
      </c>
      <c r="F1230" s="202" t="str">
        <f ca="1">IFERROR(__xludf.DUMMYFUNCTION("""COMPUTED_VALUE"""),"J")</f>
        <v>J</v>
      </c>
      <c r="G1230" s="202">
        <f ca="1">IFERROR(__xludf.DUMMYFUNCTION("""COMPUTED_VALUE"""),5)</f>
        <v>5</v>
      </c>
      <c r="H1230" s="208">
        <v>31.7</v>
      </c>
      <c r="I1230" s="208"/>
      <c r="J1230" s="208" t="s">
        <v>121</v>
      </c>
      <c r="K1230" s="208"/>
      <c r="L1230" s="208" t="str">
        <v xml:space="preserve"> 31.7</v>
      </c>
      <c r="M1230" s="208" t="str">
        <v/>
      </c>
    </row>
    <row r="1231" spans="1:13" ht="14.4">
      <c r="A1231" s="199" t="str">
        <f ca="1">IFERROR(__xludf.DUMMYFUNCTION("""COMPUTED_VALUE"""),"LV")</f>
        <v>LV</v>
      </c>
      <c r="B1231" s="207" t="str">
        <f ca="1">IFERROR(__xludf.DUMMYFUNCTION("""COMPUTED_VALUE"""),"Geraldine Epstein")</f>
        <v>Geraldine Epstein</v>
      </c>
      <c r="C1231" s="199">
        <f ca="1">IFERROR(__xludf.DUMMYFUNCTION("""COMPUTED_VALUE"""),9)</f>
        <v>9</v>
      </c>
      <c r="D1231" s="199" t="str">
        <f ca="1">IFERROR(__xludf.DUMMYFUNCTION("""COMPUTED_VALUE"""),"G")</f>
        <v>G</v>
      </c>
      <c r="E1231" s="202" t="str">
        <f ca="1">IFERROR(__xludf.DUMMYFUNCTION("""COMPUTED_VALUE"""),"F")</f>
        <v>F</v>
      </c>
      <c r="F1231" s="202" t="str">
        <f ca="1">IFERROR(__xludf.DUMMYFUNCTION("""COMPUTED_VALUE"""),"J")</f>
        <v>J</v>
      </c>
      <c r="G1231" s="202">
        <f ca="1">IFERROR(__xludf.DUMMYFUNCTION("""COMPUTED_VALUE"""),5)</f>
        <v>5</v>
      </c>
      <c r="H1231" s="206"/>
      <c r="I1231" s="206"/>
      <c r="J1231" s="206"/>
      <c r="K1231" s="206"/>
      <c r="L1231" s="206" t="str">
        <v/>
      </c>
      <c r="M1231" s="206" t="str">
        <v/>
      </c>
    </row>
    <row r="1232" spans="1:13" ht="14.4">
      <c r="A1232" s="199" t="str">
        <f ca="1">IFERROR(__xludf.DUMMYFUNCTION("""COMPUTED_VALUE"""),"LV")</f>
        <v>LV</v>
      </c>
      <c r="B1232" s="207" t="str">
        <f ca="1">IFERROR(__xludf.DUMMYFUNCTION("""COMPUTED_VALUE"""),"Hannah Carroll")</f>
        <v>Hannah Carroll</v>
      </c>
      <c r="C1232" s="199">
        <f ca="1">IFERROR(__xludf.DUMMYFUNCTION("""COMPUTED_VALUE"""),8)</f>
        <v>8</v>
      </c>
      <c r="D1232" s="199" t="str">
        <f ca="1">IFERROR(__xludf.DUMMYFUNCTION("""COMPUTED_VALUE"""),"G")</f>
        <v>G</v>
      </c>
      <c r="E1232" s="202" t="str">
        <f ca="1">IFERROR(__xludf.DUMMYFUNCTION("""COMPUTED_VALUE"""),"F")</f>
        <v>F</v>
      </c>
      <c r="F1232" s="202" t="str">
        <f ca="1">IFERROR(__xludf.DUMMYFUNCTION("""COMPUTED_VALUE"""),"J")</f>
        <v>J</v>
      </c>
      <c r="G1232" s="202">
        <f ca="1">IFERROR(__xludf.DUMMYFUNCTION("""COMPUTED_VALUE"""),5)</f>
        <v>5</v>
      </c>
      <c r="H1232" s="208">
        <v>40.9</v>
      </c>
      <c r="I1232" s="208"/>
      <c r="J1232" s="208" t="s">
        <v>121</v>
      </c>
      <c r="K1232" s="208"/>
      <c r="L1232" s="208" t="str">
        <v xml:space="preserve"> 40.9</v>
      </c>
      <c r="M1232" s="208" t="str">
        <v/>
      </c>
    </row>
    <row r="1233" spans="1:13" ht="14.4">
      <c r="A1233" s="199" t="str">
        <f ca="1">IFERROR(__xludf.DUMMYFUNCTION("""COMPUTED_VALUE"""),"LV")</f>
        <v>LV</v>
      </c>
      <c r="B1233" s="207" t="str">
        <f ca="1">IFERROR(__xludf.DUMMYFUNCTION("""COMPUTED_VALUE"""),"Isabelle Koenig")</f>
        <v>Isabelle Koenig</v>
      </c>
      <c r="C1233" s="199">
        <f ca="1">IFERROR(__xludf.DUMMYFUNCTION("""COMPUTED_VALUE"""),10)</f>
        <v>10</v>
      </c>
      <c r="D1233" s="199" t="str">
        <f ca="1">IFERROR(__xludf.DUMMYFUNCTION("""COMPUTED_VALUE"""),"G")</f>
        <v>G</v>
      </c>
      <c r="E1233" s="202" t="str">
        <f ca="1">IFERROR(__xludf.DUMMYFUNCTION("""COMPUTED_VALUE"""),"F")</f>
        <v>F</v>
      </c>
      <c r="F1233" s="202" t="str">
        <f ca="1">IFERROR(__xludf.DUMMYFUNCTION("""COMPUTED_VALUE"""),"J")</f>
        <v>J</v>
      </c>
      <c r="G1233" s="202">
        <f ca="1">IFERROR(__xludf.DUMMYFUNCTION("""COMPUTED_VALUE"""),5)</f>
        <v>5</v>
      </c>
      <c r="H1233" s="208">
        <v>67.55</v>
      </c>
      <c r="I1233" s="208"/>
      <c r="J1233" s="208" t="s">
        <v>121</v>
      </c>
      <c r="K1233" s="208"/>
      <c r="L1233" s="208" t="str">
        <v xml:space="preserve"> 67.55</v>
      </c>
      <c r="M1233" s="208" t="str">
        <v/>
      </c>
    </row>
    <row r="1234" spans="1:13" ht="14.4">
      <c r="A1234" s="199" t="str">
        <f ca="1">IFERROR(__xludf.DUMMYFUNCTION("""COMPUTED_VALUE"""),"LV")</f>
        <v>LV</v>
      </c>
      <c r="B1234" s="207" t="str">
        <f ca="1">IFERROR(__xludf.DUMMYFUNCTION("""COMPUTED_VALUE"""),"Karoline Slone")</f>
        <v>Karoline Slone</v>
      </c>
      <c r="C1234" s="199">
        <f ca="1">IFERROR(__xludf.DUMMYFUNCTION("""COMPUTED_VALUE"""),7)</f>
        <v>7</v>
      </c>
      <c r="D1234" s="199" t="str">
        <f ca="1">IFERROR(__xludf.DUMMYFUNCTION("""COMPUTED_VALUE"""),"G")</f>
        <v>G</v>
      </c>
      <c r="E1234" s="202" t="str">
        <f ca="1">IFERROR(__xludf.DUMMYFUNCTION("""COMPUTED_VALUE"""),"F")</f>
        <v>F</v>
      </c>
      <c r="F1234" s="202" t="str">
        <f ca="1">IFERROR(__xludf.DUMMYFUNCTION("""COMPUTED_VALUE"""),"J")</f>
        <v>J</v>
      </c>
      <c r="G1234" s="202">
        <f ca="1">IFERROR(__xludf.DUMMYFUNCTION("""COMPUTED_VALUE"""),5)</f>
        <v>5</v>
      </c>
      <c r="H1234" s="208">
        <v>34.799999999999997</v>
      </c>
      <c r="I1234" s="208"/>
      <c r="J1234" s="208" t="s">
        <v>121</v>
      </c>
      <c r="K1234" s="208"/>
      <c r="L1234" s="208" t="str">
        <v xml:space="preserve"> 34.8</v>
      </c>
      <c r="M1234" s="208" t="str">
        <v/>
      </c>
    </row>
    <row r="1235" spans="1:13" ht="14.4">
      <c r="A1235" s="199" t="str">
        <f ca="1">IFERROR(__xludf.DUMMYFUNCTION("""COMPUTED_VALUE"""),"LV")</f>
        <v>LV</v>
      </c>
      <c r="B1235" s="207" t="str">
        <f ca="1">IFERROR(__xludf.DUMMYFUNCTION("""COMPUTED_VALUE"""),"Lacey Slone")</f>
        <v>Lacey Slone</v>
      </c>
      <c r="C1235" s="199">
        <f ca="1">IFERROR(__xludf.DUMMYFUNCTION("""COMPUTED_VALUE"""),9)</f>
        <v>9</v>
      </c>
      <c r="D1235" s="199" t="str">
        <f ca="1">IFERROR(__xludf.DUMMYFUNCTION("""COMPUTED_VALUE"""),"G")</f>
        <v>G</v>
      </c>
      <c r="E1235" s="202" t="str">
        <f ca="1">IFERROR(__xludf.DUMMYFUNCTION("""COMPUTED_VALUE"""),"F")</f>
        <v>F</v>
      </c>
      <c r="F1235" s="202" t="str">
        <f ca="1">IFERROR(__xludf.DUMMYFUNCTION("""COMPUTED_VALUE"""),"J")</f>
        <v>J</v>
      </c>
      <c r="G1235" s="202">
        <f ca="1">IFERROR(__xludf.DUMMYFUNCTION("""COMPUTED_VALUE"""),5)</f>
        <v>5</v>
      </c>
      <c r="H1235" s="208">
        <v>44.95</v>
      </c>
      <c r="I1235" s="208"/>
      <c r="J1235" s="208" t="s">
        <v>121</v>
      </c>
      <c r="K1235" s="208"/>
      <c r="L1235" s="208" t="str">
        <v xml:space="preserve"> 44.95</v>
      </c>
      <c r="M1235" s="208" t="str">
        <v/>
      </c>
    </row>
    <row r="1236" spans="1:13" ht="14.4">
      <c r="A1236" s="199" t="str">
        <f ca="1">IFERROR(__xludf.DUMMYFUNCTION("""COMPUTED_VALUE"""),"LV")</f>
        <v>LV</v>
      </c>
      <c r="B1236" s="207" t="str">
        <f ca="1">IFERROR(__xludf.DUMMYFUNCTION("""COMPUTED_VALUE"""),"Mimei Minato")</f>
        <v>Mimei Minato</v>
      </c>
      <c r="C1236" s="199">
        <f ca="1">IFERROR(__xludf.DUMMYFUNCTION("""COMPUTED_VALUE"""),9)</f>
        <v>9</v>
      </c>
      <c r="D1236" s="199" t="str">
        <f ca="1">IFERROR(__xludf.DUMMYFUNCTION("""COMPUTED_VALUE"""),"G")</f>
        <v>G</v>
      </c>
      <c r="E1236" s="202" t="str">
        <f ca="1">IFERROR(__xludf.DUMMYFUNCTION("""COMPUTED_VALUE"""),"F")</f>
        <v>F</v>
      </c>
      <c r="F1236" s="202" t="str">
        <f ca="1">IFERROR(__xludf.DUMMYFUNCTION("""COMPUTED_VALUE"""),"J")</f>
        <v>J</v>
      </c>
      <c r="G1236" s="202">
        <f ca="1">IFERROR(__xludf.DUMMYFUNCTION("""COMPUTED_VALUE"""),5)</f>
        <v>5</v>
      </c>
      <c r="H1236" s="208">
        <v>48.55</v>
      </c>
      <c r="I1236" s="208"/>
      <c r="J1236" s="208" t="s">
        <v>121</v>
      </c>
      <c r="K1236" s="208"/>
      <c r="L1236" s="208" t="str">
        <v xml:space="preserve"> 48.55</v>
      </c>
      <c r="M1236" s="208" t="str">
        <v/>
      </c>
    </row>
    <row r="1237" spans="1:13" ht="14.4">
      <c r="A1237" s="199" t="str">
        <f ca="1">IFERROR(__xludf.DUMMYFUNCTION("""COMPUTED_VALUE"""),"LV")</f>
        <v>LV</v>
      </c>
      <c r="B1237" s="207" t="str">
        <f ca="1">IFERROR(__xludf.DUMMYFUNCTION("""COMPUTED_VALUE"""),"Norah Flintoft")</f>
        <v>Norah Flintoft</v>
      </c>
      <c r="C1237" s="199">
        <f ca="1">IFERROR(__xludf.DUMMYFUNCTION("""COMPUTED_VALUE"""),10)</f>
        <v>10</v>
      </c>
      <c r="D1237" s="199" t="str">
        <f ca="1">IFERROR(__xludf.DUMMYFUNCTION("""COMPUTED_VALUE"""),"G")</f>
        <v>G</v>
      </c>
      <c r="E1237" s="202" t="str">
        <f ca="1">IFERROR(__xludf.DUMMYFUNCTION("""COMPUTED_VALUE"""),"F")</f>
        <v>F</v>
      </c>
      <c r="F1237" s="202" t="str">
        <f ca="1">IFERROR(__xludf.DUMMYFUNCTION("""COMPUTED_VALUE"""),"J")</f>
        <v>J</v>
      </c>
      <c r="G1237" s="202">
        <f ca="1">IFERROR(__xludf.DUMMYFUNCTION("""COMPUTED_VALUE"""),5)</f>
        <v>5</v>
      </c>
      <c r="H1237" s="206">
        <v>27.15</v>
      </c>
      <c r="I1237" s="206"/>
      <c r="J1237" s="206" t="s">
        <v>121</v>
      </c>
      <c r="K1237" s="206"/>
      <c r="L1237" s="206" t="str">
        <v xml:space="preserve"> 27.15</v>
      </c>
      <c r="M1237" s="206" t="str">
        <v/>
      </c>
    </row>
    <row r="1238" spans="1:13" ht="14.4">
      <c r="A1238" s="199" t="str">
        <f ca="1">IFERROR(__xludf.DUMMYFUNCTION("""COMPUTED_VALUE"""),"LV")</f>
        <v>LV</v>
      </c>
      <c r="B1238" s="207" t="str">
        <f ca="1">IFERROR(__xludf.DUMMYFUNCTION("""COMPUTED_VALUE"""),"Reese Andresen")</f>
        <v>Reese Andresen</v>
      </c>
      <c r="C1238" s="199">
        <f ca="1">IFERROR(__xludf.DUMMYFUNCTION("""COMPUTED_VALUE"""),8)</f>
        <v>8</v>
      </c>
      <c r="D1238" s="199" t="str">
        <f ca="1">IFERROR(__xludf.DUMMYFUNCTION("""COMPUTED_VALUE"""),"G")</f>
        <v>G</v>
      </c>
      <c r="E1238" s="202" t="str">
        <f ca="1">IFERROR(__xludf.DUMMYFUNCTION("""COMPUTED_VALUE"""),"F")</f>
        <v>F</v>
      </c>
      <c r="F1238" s="202" t="str">
        <f ca="1">IFERROR(__xludf.DUMMYFUNCTION("""COMPUTED_VALUE"""),"J")</f>
        <v>J</v>
      </c>
      <c r="G1238" s="202">
        <f ca="1">IFERROR(__xludf.DUMMYFUNCTION("""COMPUTED_VALUE"""),5)</f>
        <v>5</v>
      </c>
      <c r="H1238" s="206">
        <v>32.200000000000003</v>
      </c>
      <c r="I1238" s="206"/>
      <c r="J1238" s="206" t="s">
        <v>121</v>
      </c>
      <c r="K1238" s="206"/>
      <c r="L1238" s="206" t="str">
        <v xml:space="preserve"> 32.2</v>
      </c>
      <c r="M1238" s="206" t="str">
        <v/>
      </c>
    </row>
    <row r="1239" spans="1:13" ht="14.4">
      <c r="A1239" s="199" t="str">
        <f ca="1">IFERROR(__xludf.DUMMYFUNCTION("""COMPUTED_VALUE"""),"LV")</f>
        <v>LV</v>
      </c>
      <c r="B1239" s="207" t="str">
        <f ca="1">IFERROR(__xludf.DUMMYFUNCTION("""COMPUTED_VALUE"""),"Jacob Komnenous")</f>
        <v>Jacob Komnenous</v>
      </c>
      <c r="C1239" s="199">
        <f ca="1">IFERROR(__xludf.DUMMYFUNCTION("""COMPUTED_VALUE"""),14)</f>
        <v>14</v>
      </c>
      <c r="D1239" s="199" t="str">
        <f ca="1">IFERROR(__xludf.DUMMYFUNCTION("""COMPUTED_VALUE"""),"B")</f>
        <v>B</v>
      </c>
      <c r="E1239" s="202" t="str">
        <f ca="1">IFERROR(__xludf.DUMMYFUNCTION("""COMPUTED_VALUE"""),"I")</f>
        <v>I</v>
      </c>
      <c r="F1239" s="202" t="str">
        <f ca="1">IFERROR(__xludf.DUMMYFUNCTION("""COMPUTED_VALUE"""),"S")</f>
        <v>S</v>
      </c>
      <c r="G1239" s="202">
        <f ca="1">IFERROR(__xludf.DUMMYFUNCTION("""COMPUTED_VALUE"""),5)</f>
        <v>5</v>
      </c>
      <c r="H1239" s="208"/>
      <c r="I1239" s="208"/>
      <c r="J1239" s="208"/>
      <c r="K1239" s="208"/>
      <c r="L1239" s="208" t="str">
        <v/>
      </c>
      <c r="M1239" s="208" t="str">
        <v/>
      </c>
    </row>
    <row r="1240" spans="1:13" ht="14.4">
      <c r="A1240" s="199" t="str">
        <f ca="1">IFERROR(__xludf.DUMMYFUNCTION("""COMPUTED_VALUE"""),"LV")</f>
        <v>LV</v>
      </c>
      <c r="B1240" s="207" t="str">
        <f ca="1">IFERROR(__xludf.DUMMYFUNCTION("""COMPUTED_VALUE"""),"Shawn Hubbard")</f>
        <v>Shawn Hubbard</v>
      </c>
      <c r="C1240" s="199">
        <f ca="1">IFERROR(__xludf.DUMMYFUNCTION("""COMPUTED_VALUE"""),14)</f>
        <v>14</v>
      </c>
      <c r="D1240" s="199" t="str">
        <f ca="1">IFERROR(__xludf.DUMMYFUNCTION("""COMPUTED_VALUE"""),"B")</f>
        <v>B</v>
      </c>
      <c r="E1240" s="202" t="str">
        <f ca="1">IFERROR(__xludf.DUMMYFUNCTION("""COMPUTED_VALUE"""),"I")</f>
        <v>I</v>
      </c>
      <c r="F1240" s="202" t="str">
        <f ca="1">IFERROR(__xludf.DUMMYFUNCTION("""COMPUTED_VALUE"""),"S")</f>
        <v>S</v>
      </c>
      <c r="G1240" s="202">
        <f ca="1">IFERROR(__xludf.DUMMYFUNCTION("""COMPUTED_VALUE"""),5)</f>
        <v>5</v>
      </c>
      <c r="H1240" s="208"/>
      <c r="I1240" s="208">
        <v>119.7</v>
      </c>
      <c r="J1240" s="208"/>
      <c r="K1240" s="208" t="s">
        <v>121</v>
      </c>
      <c r="L1240" s="208" t="str">
        <v xml:space="preserve"> 119.7</v>
      </c>
      <c r="M1240" s="208" t="str">
        <v/>
      </c>
    </row>
    <row r="1241" spans="1:13" ht="14.4">
      <c r="A1241" s="199" t="str">
        <f ca="1">IFERROR(__xludf.DUMMYFUNCTION("""COMPUTED_VALUE"""),"LV")</f>
        <v>LV</v>
      </c>
      <c r="B1241" s="207" t="str">
        <f ca="1">IFERROR(__xludf.DUMMYFUNCTION("""COMPUTED_VALUE"""),"Silas Platt")</f>
        <v>Silas Platt</v>
      </c>
      <c r="C1241" s="199">
        <f ca="1">IFERROR(__xludf.DUMMYFUNCTION("""COMPUTED_VALUE"""),13)</f>
        <v>13</v>
      </c>
      <c r="D1241" s="199" t="str">
        <f ca="1">IFERROR(__xludf.DUMMYFUNCTION("""COMPUTED_VALUE"""),"B")</f>
        <v>B</v>
      </c>
      <c r="E1241" s="202" t="str">
        <f ca="1">IFERROR(__xludf.DUMMYFUNCTION("""COMPUTED_VALUE"""),"I")</f>
        <v>I</v>
      </c>
      <c r="F1241" s="202" t="str">
        <f ca="1">IFERROR(__xludf.DUMMYFUNCTION("""COMPUTED_VALUE"""),"S")</f>
        <v>S</v>
      </c>
      <c r="G1241" s="202">
        <f ca="1">IFERROR(__xludf.DUMMYFUNCTION("""COMPUTED_VALUE"""),5)</f>
        <v>5</v>
      </c>
      <c r="H1241" s="206"/>
      <c r="I1241" s="206">
        <v>152.05000000000001</v>
      </c>
      <c r="J1241" s="206"/>
      <c r="K1241" s="206" t="s">
        <v>123</v>
      </c>
      <c r="L1241" s="206" t="str">
        <v xml:space="preserve"> -152.05</v>
      </c>
      <c r="M1241" s="206" t="str">
        <v>^</v>
      </c>
    </row>
    <row r="1242" spans="1:13" ht="14.4">
      <c r="A1242" s="199" t="str">
        <f ca="1">IFERROR(__xludf.DUMMYFUNCTION("""COMPUTED_VALUE"""),"LV")</f>
        <v>LV</v>
      </c>
      <c r="B1242" s="207" t="str">
        <f ca="1">IFERROR(__xludf.DUMMYFUNCTION("""COMPUTED_VALUE"""),"Abigail Meehan")</f>
        <v>Abigail Meehan</v>
      </c>
      <c r="C1242" s="199">
        <f ca="1">IFERROR(__xludf.DUMMYFUNCTION("""COMPUTED_VALUE"""),14)</f>
        <v>14</v>
      </c>
      <c r="D1242" s="199" t="str">
        <f ca="1">IFERROR(__xludf.DUMMYFUNCTION("""COMPUTED_VALUE"""),"G")</f>
        <v>G</v>
      </c>
      <c r="E1242" s="202" t="str">
        <f ca="1">IFERROR(__xludf.DUMMYFUNCTION("""COMPUTED_VALUE"""),"I")</f>
        <v>I</v>
      </c>
      <c r="F1242" s="202" t="str">
        <f ca="1">IFERROR(__xludf.DUMMYFUNCTION("""COMPUTED_VALUE"""),"S")</f>
        <v>S</v>
      </c>
      <c r="G1242" s="202">
        <f ca="1">IFERROR(__xludf.DUMMYFUNCTION("""COMPUTED_VALUE"""),5)</f>
        <v>5</v>
      </c>
      <c r="H1242" s="208">
        <v>112.25</v>
      </c>
      <c r="I1242" s="208"/>
      <c r="J1242" s="208" t="s">
        <v>121</v>
      </c>
      <c r="K1242" s="208"/>
      <c r="L1242" s="208" t="str">
        <v xml:space="preserve"> 112.25</v>
      </c>
      <c r="M1242" s="208" t="str">
        <v/>
      </c>
    </row>
    <row r="1243" spans="1:13" ht="14.4">
      <c r="A1243" s="199" t="str">
        <f ca="1">IFERROR(__xludf.DUMMYFUNCTION("""COMPUTED_VALUE"""),"LV")</f>
        <v>LV</v>
      </c>
      <c r="B1243" s="207" t="str">
        <f ca="1">IFERROR(__xludf.DUMMYFUNCTION("""COMPUTED_VALUE"""),"Antonella Palazzo")</f>
        <v>Antonella Palazzo</v>
      </c>
      <c r="C1243" s="199">
        <f ca="1">IFERROR(__xludf.DUMMYFUNCTION("""COMPUTED_VALUE"""),13)</f>
        <v>13</v>
      </c>
      <c r="D1243" s="199" t="str">
        <f ca="1">IFERROR(__xludf.DUMMYFUNCTION("""COMPUTED_VALUE"""),"G")</f>
        <v>G</v>
      </c>
      <c r="E1243" s="202" t="str">
        <f ca="1">IFERROR(__xludf.DUMMYFUNCTION("""COMPUTED_VALUE"""),"I")</f>
        <v>I</v>
      </c>
      <c r="F1243" s="202" t="str">
        <f ca="1">IFERROR(__xludf.DUMMYFUNCTION("""COMPUTED_VALUE"""),"S")</f>
        <v>S</v>
      </c>
      <c r="G1243" s="202">
        <f ca="1">IFERROR(__xludf.DUMMYFUNCTION("""COMPUTED_VALUE"""),5)</f>
        <v>5</v>
      </c>
      <c r="H1243" s="208">
        <v>138.15</v>
      </c>
      <c r="I1243" s="208"/>
      <c r="J1243" s="208" t="s">
        <v>121</v>
      </c>
      <c r="K1243" s="208"/>
      <c r="L1243" s="208" t="str">
        <v xml:space="preserve"> 138.15</v>
      </c>
      <c r="M1243" s="208" t="str">
        <v/>
      </c>
    </row>
    <row r="1244" spans="1:13" ht="14.4">
      <c r="A1244" s="199" t="str">
        <f ca="1">IFERROR(__xludf.DUMMYFUNCTION("""COMPUTED_VALUE"""),"LV")</f>
        <v>LV</v>
      </c>
      <c r="B1244" s="207" t="str">
        <f ca="1">IFERROR(__xludf.DUMMYFUNCTION("""COMPUTED_VALUE"""),"Catherine Fleck")</f>
        <v>Catherine Fleck</v>
      </c>
      <c r="C1244" s="199">
        <f ca="1">IFERROR(__xludf.DUMMYFUNCTION("""COMPUTED_VALUE"""),13)</f>
        <v>13</v>
      </c>
      <c r="D1244" s="199" t="str">
        <f ca="1">IFERROR(__xludf.DUMMYFUNCTION("""COMPUTED_VALUE"""),"G")</f>
        <v>G</v>
      </c>
      <c r="E1244" s="202" t="str">
        <f ca="1">IFERROR(__xludf.DUMMYFUNCTION("""COMPUTED_VALUE"""),"I")</f>
        <v>I</v>
      </c>
      <c r="F1244" s="202" t="str">
        <f ca="1">IFERROR(__xludf.DUMMYFUNCTION("""COMPUTED_VALUE"""),"S")</f>
        <v>S</v>
      </c>
      <c r="G1244" s="202">
        <f ca="1">IFERROR(__xludf.DUMMYFUNCTION("""COMPUTED_VALUE"""),5)</f>
        <v>5</v>
      </c>
      <c r="H1244" s="208">
        <v>142.80000000000001</v>
      </c>
      <c r="I1244" s="208"/>
      <c r="J1244" s="208" t="s">
        <v>121</v>
      </c>
      <c r="K1244" s="208"/>
      <c r="L1244" s="208" t="str">
        <v xml:space="preserve"> 142.8</v>
      </c>
      <c r="M1244" s="208" t="str">
        <v/>
      </c>
    </row>
    <row r="1245" spans="1:13" ht="14.4">
      <c r="A1245" s="199" t="str">
        <f ca="1">IFERROR(__xludf.DUMMYFUNCTION("""COMPUTED_VALUE"""),"LV")</f>
        <v>LV</v>
      </c>
      <c r="B1245" s="207" t="str">
        <f ca="1">IFERROR(__xludf.DUMMYFUNCTION("""COMPUTED_VALUE"""),"Leyna Flintoft")</f>
        <v>Leyna Flintoft</v>
      </c>
      <c r="C1245" s="199">
        <f ca="1">IFERROR(__xludf.DUMMYFUNCTION("""COMPUTED_VALUE"""),13)</f>
        <v>13</v>
      </c>
      <c r="D1245" s="199" t="str">
        <f ca="1">IFERROR(__xludf.DUMMYFUNCTION("""COMPUTED_VALUE"""),"G")</f>
        <v>G</v>
      </c>
      <c r="E1245" s="202" t="str">
        <f ca="1">IFERROR(__xludf.DUMMYFUNCTION("""COMPUTED_VALUE"""),"I")</f>
        <v>I</v>
      </c>
      <c r="F1245" s="202" t="str">
        <f ca="1">IFERROR(__xludf.DUMMYFUNCTION("""COMPUTED_VALUE"""),"S")</f>
        <v>S</v>
      </c>
      <c r="G1245" s="202">
        <f ca="1">IFERROR(__xludf.DUMMYFUNCTION("""COMPUTED_VALUE"""),5)</f>
        <v>5</v>
      </c>
      <c r="H1245" s="208">
        <v>125.95</v>
      </c>
      <c r="I1245" s="208"/>
      <c r="J1245" s="208" t="s">
        <v>121</v>
      </c>
      <c r="K1245" s="208"/>
      <c r="L1245" s="208" t="str">
        <v xml:space="preserve"> 125.95</v>
      </c>
      <c r="M1245" s="208" t="str">
        <v/>
      </c>
    </row>
    <row r="1246" spans="1:13" ht="14.4">
      <c r="A1246" s="199" t="str">
        <f ca="1">IFERROR(__xludf.DUMMYFUNCTION("""COMPUTED_VALUE"""),"LV")</f>
        <v>LV</v>
      </c>
      <c r="B1246" s="207" t="str">
        <f ca="1">IFERROR(__xludf.DUMMYFUNCTION("""COMPUTED_VALUE"""),"Lora Berkeley (LB) Macaranas")</f>
        <v>Lora Berkeley (LB) Macaranas</v>
      </c>
      <c r="C1246" s="199">
        <f ca="1">IFERROR(__xludf.DUMMYFUNCTION("""COMPUTED_VALUE"""),14)</f>
        <v>14</v>
      </c>
      <c r="D1246" s="199" t="str">
        <f ca="1">IFERROR(__xludf.DUMMYFUNCTION("""COMPUTED_VALUE"""),"G")</f>
        <v>G</v>
      </c>
      <c r="E1246" s="202" t="str">
        <f ca="1">IFERROR(__xludf.DUMMYFUNCTION("""COMPUTED_VALUE"""),"I")</f>
        <v>I</v>
      </c>
      <c r="F1246" s="202" t="str">
        <f ca="1">IFERROR(__xludf.DUMMYFUNCTION("""COMPUTED_VALUE"""),"S")</f>
        <v>S</v>
      </c>
      <c r="G1246" s="202">
        <f ca="1">IFERROR(__xludf.DUMMYFUNCTION("""COMPUTED_VALUE"""),5)</f>
        <v>5</v>
      </c>
      <c r="H1246" s="208">
        <v>153.5</v>
      </c>
      <c r="I1246" s="208"/>
      <c r="J1246" s="208" t="s">
        <v>121</v>
      </c>
      <c r="K1246" s="208"/>
      <c r="L1246" s="208" t="str">
        <v xml:space="preserve"> 153.5</v>
      </c>
      <c r="M1246" s="208" t="str">
        <v/>
      </c>
    </row>
    <row r="1247" spans="1:13" ht="14.4">
      <c r="A1247" s="199" t="str">
        <f ca="1">IFERROR(__xludf.DUMMYFUNCTION("""COMPUTED_VALUE"""),"LV")</f>
        <v>LV</v>
      </c>
      <c r="B1247" s="207" t="str">
        <f ca="1">IFERROR(__xludf.DUMMYFUNCTION("""COMPUTED_VALUE"""),"Ethan Hubbard")</f>
        <v>Ethan Hubbard</v>
      </c>
      <c r="C1247" s="199">
        <f ca="1">IFERROR(__xludf.DUMMYFUNCTION("""COMPUTED_VALUE"""),11)</f>
        <v>11</v>
      </c>
      <c r="D1247" s="199" t="str">
        <f ca="1">IFERROR(__xludf.DUMMYFUNCTION("""COMPUTED_VALUE"""),"B")</f>
        <v>B</v>
      </c>
      <c r="E1247" s="202" t="str">
        <f ca="1">IFERROR(__xludf.DUMMYFUNCTION("""COMPUTED_VALUE"""),"J")</f>
        <v>J</v>
      </c>
      <c r="F1247" s="202" t="str">
        <f ca="1">IFERROR(__xludf.DUMMYFUNCTION("""COMPUTED_VALUE"""),"I")</f>
        <v>I</v>
      </c>
      <c r="G1247" s="202">
        <f ca="1">IFERROR(__xludf.DUMMYFUNCTION("""COMPUTED_VALUE"""),5)</f>
        <v>5</v>
      </c>
      <c r="H1247" s="208"/>
      <c r="I1247" s="208">
        <v>88.8</v>
      </c>
      <c r="J1247" s="208"/>
      <c r="K1247" s="208" t="s">
        <v>121</v>
      </c>
      <c r="L1247" s="208" t="str">
        <v xml:space="preserve"> 88.8</v>
      </c>
      <c r="M1247" s="208" t="str">
        <v/>
      </c>
    </row>
    <row r="1248" spans="1:13" ht="14.4">
      <c r="A1248" s="199" t="str">
        <f ca="1">IFERROR(__xludf.DUMMYFUNCTION("""COMPUTED_VALUE"""),"LV")</f>
        <v>LV</v>
      </c>
      <c r="B1248" s="207" t="str">
        <f ca="1">IFERROR(__xludf.DUMMYFUNCTION("""COMPUTED_VALUE"""),"Ryan Mitchell")</f>
        <v>Ryan Mitchell</v>
      </c>
      <c r="C1248" s="199">
        <f ca="1">IFERROR(__xludf.DUMMYFUNCTION("""COMPUTED_VALUE"""),15)</f>
        <v>15</v>
      </c>
      <c r="D1248" s="199" t="str">
        <f ca="1">IFERROR(__xludf.DUMMYFUNCTION("""COMPUTED_VALUE"""),"B")</f>
        <v>B</v>
      </c>
      <c r="E1248" s="202" t="str">
        <f ca="1">IFERROR(__xludf.DUMMYFUNCTION("""COMPUTED_VALUE"""),"S")</f>
        <v>S</v>
      </c>
      <c r="F1248" s="202" t="str">
        <f ca="1">IFERROR(__xludf.DUMMYFUNCTION("""COMPUTED_VALUE"""),"S")</f>
        <v>S</v>
      </c>
      <c r="G1248" s="202">
        <f ca="1">IFERROR(__xludf.DUMMYFUNCTION("""COMPUTED_VALUE"""),5)</f>
        <v>5</v>
      </c>
      <c r="H1248" s="208"/>
      <c r="I1248" s="208"/>
      <c r="J1248" s="208"/>
      <c r="K1248" s="208"/>
      <c r="L1248" s="208" t="str">
        <v/>
      </c>
      <c r="M1248" s="208" t="str">
        <v/>
      </c>
    </row>
    <row r="1249" spans="1:13" ht="14.4">
      <c r="A1249" s="199" t="str">
        <f ca="1">IFERROR(__xludf.DUMMYFUNCTION("""COMPUTED_VALUE"""),"LV")</f>
        <v>LV</v>
      </c>
      <c r="B1249" s="207" t="str">
        <f ca="1">IFERROR(__xludf.DUMMYFUNCTION("""COMPUTED_VALUE"""),"William Fleck")</f>
        <v>William Fleck</v>
      </c>
      <c r="C1249" s="199">
        <f ca="1">IFERROR(__xludf.DUMMYFUNCTION("""COMPUTED_VALUE"""),16)</f>
        <v>16</v>
      </c>
      <c r="D1249" s="199" t="str">
        <f ca="1">IFERROR(__xludf.DUMMYFUNCTION("""COMPUTED_VALUE"""),"B")</f>
        <v>B</v>
      </c>
      <c r="E1249" s="202" t="str">
        <f ca="1">IFERROR(__xludf.DUMMYFUNCTION("""COMPUTED_VALUE"""),"S")</f>
        <v>S</v>
      </c>
      <c r="F1249" s="202" t="str">
        <f ca="1">IFERROR(__xludf.DUMMYFUNCTION("""COMPUTED_VALUE"""),"S")</f>
        <v>S</v>
      </c>
      <c r="G1249" s="202">
        <f ca="1">IFERROR(__xludf.DUMMYFUNCTION("""COMPUTED_VALUE"""),5)</f>
        <v>5</v>
      </c>
      <c r="H1249" s="208"/>
      <c r="I1249" s="208"/>
      <c r="J1249" s="208"/>
      <c r="K1249" s="208"/>
      <c r="L1249" s="208" t="str">
        <v/>
      </c>
      <c r="M1249" s="208" t="str">
        <v/>
      </c>
    </row>
    <row r="1250" spans="1:13" ht="14.4">
      <c r="A1250" s="199" t="str">
        <f ca="1">IFERROR(__xludf.DUMMYFUNCTION("""COMPUTED_VALUE"""),"LV")</f>
        <v>LV</v>
      </c>
      <c r="B1250" s="207" t="str">
        <f ca="1">IFERROR(__xludf.DUMMYFUNCTION("""COMPUTED_VALUE"""),"Campbell McCracken")</f>
        <v>Campbell McCracken</v>
      </c>
      <c r="C1250" s="199">
        <f ca="1">IFERROR(__xludf.DUMMYFUNCTION("""COMPUTED_VALUE"""),15)</f>
        <v>15</v>
      </c>
      <c r="D1250" s="199" t="str">
        <f ca="1">IFERROR(__xludf.DUMMYFUNCTION("""COMPUTED_VALUE"""),"G")</f>
        <v>G</v>
      </c>
      <c r="E1250" s="202" t="str">
        <f ca="1">IFERROR(__xludf.DUMMYFUNCTION("""COMPUTED_VALUE"""),"S")</f>
        <v>S</v>
      </c>
      <c r="F1250" s="202" t="str">
        <f ca="1">IFERROR(__xludf.DUMMYFUNCTION("""COMPUTED_VALUE"""),"S")</f>
        <v>S</v>
      </c>
      <c r="G1250" s="202">
        <f ca="1">IFERROR(__xludf.DUMMYFUNCTION("""COMPUTED_VALUE"""),5)</f>
        <v>5</v>
      </c>
      <c r="H1250" s="208">
        <v>182.6</v>
      </c>
      <c r="I1250" s="208"/>
      <c r="J1250" s="208" t="s">
        <v>121</v>
      </c>
      <c r="K1250" s="208"/>
      <c r="L1250" s="208" t="str">
        <v xml:space="preserve"> 182.6</v>
      </c>
      <c r="M1250" s="208" t="str">
        <v/>
      </c>
    </row>
    <row r="1251" spans="1:13" ht="14.4">
      <c r="A1251" s="199" t="str">
        <f ca="1">IFERROR(__xludf.DUMMYFUNCTION("""COMPUTED_VALUE"""),"LV")</f>
        <v>LV</v>
      </c>
      <c r="B1251" s="207" t="str">
        <f ca="1">IFERROR(__xludf.DUMMYFUNCTION("""COMPUTED_VALUE"""),"Nicole Bondanella")</f>
        <v>Nicole Bondanella</v>
      </c>
      <c r="C1251" s="199">
        <f ca="1">IFERROR(__xludf.DUMMYFUNCTION("""COMPUTED_VALUE"""),16)</f>
        <v>16</v>
      </c>
      <c r="D1251" s="199" t="str">
        <f ca="1">IFERROR(__xludf.DUMMYFUNCTION("""COMPUTED_VALUE"""),"G")</f>
        <v>G</v>
      </c>
      <c r="E1251" s="202" t="str">
        <f ca="1">IFERROR(__xludf.DUMMYFUNCTION("""COMPUTED_VALUE"""),"S")</f>
        <v>S</v>
      </c>
      <c r="F1251" s="202" t="str">
        <f ca="1">IFERROR(__xludf.DUMMYFUNCTION("""COMPUTED_VALUE"""),"S")</f>
        <v>S</v>
      </c>
      <c r="G1251" s="202">
        <f ca="1">IFERROR(__xludf.DUMMYFUNCTION("""COMPUTED_VALUE"""),5)</f>
        <v>5</v>
      </c>
      <c r="H1251" s="208">
        <v>198.4</v>
      </c>
      <c r="I1251" s="208"/>
      <c r="J1251" s="208" t="s">
        <v>121</v>
      </c>
      <c r="K1251" s="208"/>
      <c r="L1251" s="208" t="str">
        <v xml:space="preserve"> 198.4</v>
      </c>
      <c r="M1251" s="208" t="str">
        <v/>
      </c>
    </row>
    <row r="1252" spans="1:13" ht="14.4">
      <c r="A1252" s="199" t="str">
        <f ca="1">IFERROR(__xludf.DUMMYFUNCTION("""COMPUTED_VALUE"""),"LV")</f>
        <v>LV</v>
      </c>
      <c r="B1252" s="207" t="str">
        <f ca="1">IFERROR(__xludf.DUMMYFUNCTION("""COMPUTED_VALUE"""),"Zoe Dolfis")</f>
        <v>Zoe Dolfis</v>
      </c>
      <c r="C1252" s="199">
        <f ca="1">IFERROR(__xludf.DUMMYFUNCTION("""COMPUTED_VALUE"""),16)</f>
        <v>16</v>
      </c>
      <c r="D1252" s="199" t="str">
        <f ca="1">IFERROR(__xludf.DUMMYFUNCTION("""COMPUTED_VALUE"""),"G")</f>
        <v>G</v>
      </c>
      <c r="E1252" s="202" t="str">
        <f ca="1">IFERROR(__xludf.DUMMYFUNCTION("""COMPUTED_VALUE"""),"S")</f>
        <v>S</v>
      </c>
      <c r="F1252" s="202" t="str">
        <f ca="1">IFERROR(__xludf.DUMMYFUNCTION("""COMPUTED_VALUE"""),"S")</f>
        <v>S</v>
      </c>
      <c r="G1252" s="202">
        <f ca="1">IFERROR(__xludf.DUMMYFUNCTION("""COMPUTED_VALUE"""),5)</f>
        <v>5</v>
      </c>
      <c r="H1252" s="208">
        <v>150.44999999999999</v>
      </c>
      <c r="I1252" s="208"/>
      <c r="J1252" s="208" t="s">
        <v>121</v>
      </c>
      <c r="K1252" s="208"/>
      <c r="L1252" s="208" t="str">
        <v xml:space="preserve"> 150.45</v>
      </c>
      <c r="M1252" s="208" t="str">
        <v/>
      </c>
    </row>
    <row r="1253" spans="1:13" ht="14.4">
      <c r="A1253" s="199" t="str">
        <f ca="1">IFERROR(__xludf.DUMMYFUNCTION("""COMPUTED_VALUE"""),"M")</f>
        <v>M</v>
      </c>
      <c r="B1253" s="207" t="str">
        <f ca="1">IFERROR(__xludf.DUMMYFUNCTION("""COMPUTED_VALUE"""),"Gavin Taylor")</f>
        <v>Gavin Taylor</v>
      </c>
      <c r="C1253" s="199">
        <f ca="1">IFERROR(__xludf.DUMMYFUNCTION("""COMPUTED_VALUE"""),9)</f>
        <v>9</v>
      </c>
      <c r="D1253" s="199" t="str">
        <f ca="1">IFERROR(__xludf.DUMMYFUNCTION("""COMPUTED_VALUE"""),"B")</f>
        <v>B</v>
      </c>
      <c r="E1253" s="202" t="str">
        <f ca="1">IFERROR(__xludf.DUMMYFUNCTION("""COMPUTED_VALUE"""),"F")</f>
        <v>F</v>
      </c>
      <c r="F1253" s="202" t="str">
        <f ca="1">IFERROR(__xludf.DUMMYFUNCTION("""COMPUTED_VALUE"""),"J")</f>
        <v>J</v>
      </c>
      <c r="G1253" s="202">
        <f ca="1">IFERROR(__xludf.DUMMYFUNCTION("""COMPUTED_VALUE"""),7)</f>
        <v>7</v>
      </c>
      <c r="H1253" s="206"/>
      <c r="I1253" s="206"/>
      <c r="J1253" s="206"/>
      <c r="K1253" s="206"/>
      <c r="L1253" s="206" t="str">
        <v/>
      </c>
      <c r="M1253" s="206" t="str">
        <v/>
      </c>
    </row>
    <row r="1254" spans="1:13" ht="14.4">
      <c r="A1254" s="199" t="str">
        <f ca="1">IFERROR(__xludf.DUMMYFUNCTION("""COMPUTED_VALUE"""),"M")</f>
        <v>M</v>
      </c>
      <c r="B1254" s="207" t="str">
        <f ca="1">IFERROR(__xludf.DUMMYFUNCTION("""COMPUTED_VALUE"""),"Grant Evonuk")</f>
        <v>Grant Evonuk</v>
      </c>
      <c r="C1254" s="199">
        <f ca="1">IFERROR(__xludf.DUMMYFUNCTION("""COMPUTED_VALUE"""),9)</f>
        <v>9</v>
      </c>
      <c r="D1254" s="199" t="str">
        <f ca="1">IFERROR(__xludf.DUMMYFUNCTION("""COMPUTED_VALUE"""),"B")</f>
        <v>B</v>
      </c>
      <c r="E1254" s="202" t="str">
        <f ca="1">IFERROR(__xludf.DUMMYFUNCTION("""COMPUTED_VALUE"""),"F")</f>
        <v>F</v>
      </c>
      <c r="F1254" s="202" t="str">
        <f ca="1">IFERROR(__xludf.DUMMYFUNCTION("""COMPUTED_VALUE"""),"J")</f>
        <v>J</v>
      </c>
      <c r="G1254" s="202">
        <f ca="1">IFERROR(__xludf.DUMMYFUNCTION("""COMPUTED_VALUE"""),7)</f>
        <v>7</v>
      </c>
      <c r="H1254" s="208"/>
      <c r="I1254" s="208">
        <v>54.8</v>
      </c>
      <c r="J1254" s="208"/>
      <c r="K1254" s="208" t="s">
        <v>121</v>
      </c>
      <c r="L1254" s="208" t="str">
        <v xml:space="preserve"> 54.8</v>
      </c>
      <c r="M1254" s="208" t="str">
        <v/>
      </c>
    </row>
    <row r="1255" spans="1:13" ht="14.4">
      <c r="A1255" s="199" t="str">
        <f ca="1">IFERROR(__xludf.DUMMYFUNCTION("""COMPUTED_VALUE"""),"M")</f>
        <v>M</v>
      </c>
      <c r="B1255" s="207" t="str">
        <f ca="1">IFERROR(__xludf.DUMMYFUNCTION("""COMPUTED_VALUE"""),"Jayden Taylor")</f>
        <v>Jayden Taylor</v>
      </c>
      <c r="C1255" s="199">
        <f ca="1">IFERROR(__xludf.DUMMYFUNCTION("""COMPUTED_VALUE"""),8)</f>
        <v>8</v>
      </c>
      <c r="D1255" s="199" t="str">
        <f ca="1">IFERROR(__xludf.DUMMYFUNCTION("""COMPUTED_VALUE"""),"B")</f>
        <v>B</v>
      </c>
      <c r="E1255" s="202" t="str">
        <f ca="1">IFERROR(__xludf.DUMMYFUNCTION("""COMPUTED_VALUE"""),"F")</f>
        <v>F</v>
      </c>
      <c r="F1255" s="202" t="str">
        <f ca="1">IFERROR(__xludf.DUMMYFUNCTION("""COMPUTED_VALUE"""),"J")</f>
        <v>J</v>
      </c>
      <c r="G1255" s="202">
        <f ca="1">IFERROR(__xludf.DUMMYFUNCTION("""COMPUTED_VALUE"""),7)</f>
        <v>7</v>
      </c>
      <c r="H1255" s="208"/>
      <c r="I1255" s="208"/>
      <c r="J1255" s="208"/>
      <c r="K1255" s="208"/>
      <c r="L1255" s="208" t="str">
        <v/>
      </c>
      <c r="M1255" s="208" t="str">
        <v/>
      </c>
    </row>
    <row r="1256" spans="1:13" ht="14.4">
      <c r="A1256" s="199" t="str">
        <f ca="1">IFERROR(__xludf.DUMMYFUNCTION("""COMPUTED_VALUE"""),"M")</f>
        <v>M</v>
      </c>
      <c r="B1256" s="207" t="str">
        <f ca="1">IFERROR(__xludf.DUMMYFUNCTION("""COMPUTED_VALUE"""),"Liam Redington")</f>
        <v>Liam Redington</v>
      </c>
      <c r="C1256" s="199">
        <f ca="1">IFERROR(__xludf.DUMMYFUNCTION("""COMPUTED_VALUE"""),6)</f>
        <v>6</v>
      </c>
      <c r="D1256" s="199" t="str">
        <f ca="1">IFERROR(__xludf.DUMMYFUNCTION("""COMPUTED_VALUE"""),"B")</f>
        <v>B</v>
      </c>
      <c r="E1256" s="202" t="str">
        <f ca="1">IFERROR(__xludf.DUMMYFUNCTION("""COMPUTED_VALUE"""),"F")</f>
        <v>F</v>
      </c>
      <c r="F1256" s="202" t="str">
        <f ca="1">IFERROR(__xludf.DUMMYFUNCTION("""COMPUTED_VALUE"""),"J")</f>
        <v>J</v>
      </c>
      <c r="G1256" s="202">
        <f ca="1">IFERROR(__xludf.DUMMYFUNCTION("""COMPUTED_VALUE"""),7)</f>
        <v>7</v>
      </c>
      <c r="H1256" s="206"/>
      <c r="I1256" s="206">
        <v>28.1</v>
      </c>
      <c r="J1256" s="206"/>
      <c r="K1256" s="206" t="s">
        <v>121</v>
      </c>
      <c r="L1256" s="206" t="str">
        <v xml:space="preserve"> 28.1</v>
      </c>
      <c r="M1256" s="206" t="str">
        <v/>
      </c>
    </row>
    <row r="1257" spans="1:13" ht="14.4">
      <c r="A1257" s="199" t="str">
        <f ca="1">IFERROR(__xludf.DUMMYFUNCTION("""COMPUTED_VALUE"""),"M")</f>
        <v>M</v>
      </c>
      <c r="B1257" s="207" t="str">
        <f ca="1">IFERROR(__xludf.DUMMYFUNCTION("""COMPUTED_VALUE"""),"Max Molina Weir")</f>
        <v>Max Molina Weir</v>
      </c>
      <c r="C1257" s="199">
        <f ca="1">IFERROR(__xludf.DUMMYFUNCTION("""COMPUTED_VALUE"""),9)</f>
        <v>9</v>
      </c>
      <c r="D1257" s="199" t="str">
        <f ca="1">IFERROR(__xludf.DUMMYFUNCTION("""COMPUTED_VALUE"""),"B")</f>
        <v>B</v>
      </c>
      <c r="E1257" s="202" t="str">
        <f ca="1">IFERROR(__xludf.DUMMYFUNCTION("""COMPUTED_VALUE"""),"F")</f>
        <v>F</v>
      </c>
      <c r="F1257" s="202" t="str">
        <f ca="1">IFERROR(__xludf.DUMMYFUNCTION("""COMPUTED_VALUE"""),"J")</f>
        <v>J</v>
      </c>
      <c r="G1257" s="202">
        <f ca="1">IFERROR(__xludf.DUMMYFUNCTION("""COMPUTED_VALUE"""),7)</f>
        <v>7</v>
      </c>
      <c r="H1257" s="208"/>
      <c r="I1257" s="208">
        <v>27.35</v>
      </c>
      <c r="J1257" s="208"/>
      <c r="K1257" s="208" t="s">
        <v>121</v>
      </c>
      <c r="L1257" s="208" t="str">
        <v xml:space="preserve"> 27.35</v>
      </c>
      <c r="M1257" s="208" t="str">
        <v/>
      </c>
    </row>
    <row r="1258" spans="1:13" ht="14.4">
      <c r="A1258" s="199" t="str">
        <f ca="1">IFERROR(__xludf.DUMMYFUNCTION("""COMPUTED_VALUE"""),"M")</f>
        <v>M</v>
      </c>
      <c r="B1258" s="207" t="str">
        <f ca="1">IFERROR(__xludf.DUMMYFUNCTION("""COMPUTED_VALUE"""),"Merrick Nicoll")</f>
        <v>Merrick Nicoll</v>
      </c>
      <c r="C1258" s="199">
        <f ca="1">IFERROR(__xludf.DUMMYFUNCTION("""COMPUTED_VALUE"""),9)</f>
        <v>9</v>
      </c>
      <c r="D1258" s="199" t="str">
        <f ca="1">IFERROR(__xludf.DUMMYFUNCTION("""COMPUTED_VALUE"""),"B")</f>
        <v>B</v>
      </c>
      <c r="E1258" s="202" t="str">
        <f ca="1">IFERROR(__xludf.DUMMYFUNCTION("""COMPUTED_VALUE"""),"F")</f>
        <v>F</v>
      </c>
      <c r="F1258" s="202" t="str">
        <f ca="1">IFERROR(__xludf.DUMMYFUNCTION("""COMPUTED_VALUE"""),"J")</f>
        <v>J</v>
      </c>
      <c r="G1258" s="202">
        <f ca="1">IFERROR(__xludf.DUMMYFUNCTION("""COMPUTED_VALUE"""),7)</f>
        <v>7</v>
      </c>
      <c r="H1258" s="208"/>
      <c r="I1258" s="208"/>
      <c r="J1258" s="208"/>
      <c r="K1258" s="208"/>
      <c r="L1258" s="208" t="str">
        <v/>
      </c>
      <c r="M1258" s="208" t="str">
        <v/>
      </c>
    </row>
    <row r="1259" spans="1:13" ht="14.4">
      <c r="A1259" s="199" t="str">
        <f ca="1">IFERROR(__xludf.DUMMYFUNCTION("""COMPUTED_VALUE"""),"M")</f>
        <v>M</v>
      </c>
      <c r="B1259" s="207" t="str">
        <f ca="1">IFERROR(__xludf.DUMMYFUNCTION("""COMPUTED_VALUE"""),"Nicolas Hill")</f>
        <v>Nicolas Hill</v>
      </c>
      <c r="C1259" s="199">
        <f ca="1">IFERROR(__xludf.DUMMYFUNCTION("""COMPUTED_VALUE"""),9)</f>
        <v>9</v>
      </c>
      <c r="D1259" s="199" t="str">
        <f ca="1">IFERROR(__xludf.DUMMYFUNCTION("""COMPUTED_VALUE"""),"B")</f>
        <v>B</v>
      </c>
      <c r="E1259" s="202" t="str">
        <f ca="1">IFERROR(__xludf.DUMMYFUNCTION("""COMPUTED_VALUE"""),"F")</f>
        <v>F</v>
      </c>
      <c r="F1259" s="202" t="str">
        <f ca="1">IFERROR(__xludf.DUMMYFUNCTION("""COMPUTED_VALUE"""),"J")</f>
        <v>J</v>
      </c>
      <c r="G1259" s="202">
        <f ca="1">IFERROR(__xludf.DUMMYFUNCTION("""COMPUTED_VALUE"""),7)</f>
        <v>7</v>
      </c>
      <c r="H1259" s="206"/>
      <c r="I1259" s="206">
        <v>25.65</v>
      </c>
      <c r="J1259" s="206"/>
      <c r="K1259" s="206" t="s">
        <v>121</v>
      </c>
      <c r="L1259" s="206" t="str">
        <v xml:space="preserve"> 25.65</v>
      </c>
      <c r="M1259" s="206" t="str">
        <v/>
      </c>
    </row>
    <row r="1260" spans="1:13" ht="14.4">
      <c r="A1260" s="199" t="str">
        <f ca="1">IFERROR(__xludf.DUMMYFUNCTION("""COMPUTED_VALUE"""),"M")</f>
        <v>M</v>
      </c>
      <c r="B1260" s="207" t="str">
        <f ca="1">IFERROR(__xludf.DUMMYFUNCTION("""COMPUTED_VALUE"""),"Owen Molina Weir")</f>
        <v>Owen Molina Weir</v>
      </c>
      <c r="C1260" s="199">
        <f ca="1">IFERROR(__xludf.DUMMYFUNCTION("""COMPUTED_VALUE"""),9)</f>
        <v>9</v>
      </c>
      <c r="D1260" s="199" t="str">
        <f ca="1">IFERROR(__xludf.DUMMYFUNCTION("""COMPUTED_VALUE"""),"B")</f>
        <v>B</v>
      </c>
      <c r="E1260" s="202" t="str">
        <f ca="1">IFERROR(__xludf.DUMMYFUNCTION("""COMPUTED_VALUE"""),"F")</f>
        <v>F</v>
      </c>
      <c r="F1260" s="202" t="str">
        <f ca="1">IFERROR(__xludf.DUMMYFUNCTION("""COMPUTED_VALUE"""),"J")</f>
        <v>J</v>
      </c>
      <c r="G1260" s="202">
        <f ca="1">IFERROR(__xludf.DUMMYFUNCTION("""COMPUTED_VALUE"""),7)</f>
        <v>7</v>
      </c>
      <c r="H1260" s="206"/>
      <c r="I1260" s="206">
        <v>58.85</v>
      </c>
      <c r="J1260" s="206"/>
      <c r="K1260" s="206" t="s">
        <v>123</v>
      </c>
      <c r="L1260" s="206" t="str">
        <v xml:space="preserve"> -58.85</v>
      </c>
      <c r="M1260" s="206" t="str">
        <v>^</v>
      </c>
    </row>
    <row r="1261" spans="1:13" ht="14.4">
      <c r="A1261" s="199" t="str">
        <f ca="1">IFERROR(__xludf.DUMMYFUNCTION("""COMPUTED_VALUE"""),"M")</f>
        <v>M</v>
      </c>
      <c r="B1261" s="207" t="str">
        <f ca="1">IFERROR(__xludf.DUMMYFUNCTION("""COMPUTED_VALUE"""),"Adele Pino")</f>
        <v>Adele Pino</v>
      </c>
      <c r="C1261" s="199">
        <f ca="1">IFERROR(__xludf.DUMMYFUNCTION("""COMPUTED_VALUE"""),7)</f>
        <v>7</v>
      </c>
      <c r="D1261" s="199" t="str">
        <f ca="1">IFERROR(__xludf.DUMMYFUNCTION("""COMPUTED_VALUE"""),"G")</f>
        <v>G</v>
      </c>
      <c r="E1261" s="202" t="str">
        <f ca="1">IFERROR(__xludf.DUMMYFUNCTION("""COMPUTED_VALUE"""),"F")</f>
        <v>F</v>
      </c>
      <c r="F1261" s="202" t="str">
        <f ca="1">IFERROR(__xludf.DUMMYFUNCTION("""COMPUTED_VALUE"""),"J")</f>
        <v>J</v>
      </c>
      <c r="G1261" s="202">
        <f ca="1">IFERROR(__xludf.DUMMYFUNCTION("""COMPUTED_VALUE"""),7)</f>
        <v>7</v>
      </c>
      <c r="H1261" s="208">
        <v>25.35</v>
      </c>
      <c r="I1261" s="208"/>
      <c r="J1261" s="208" t="s">
        <v>121</v>
      </c>
      <c r="K1261" s="208"/>
      <c r="L1261" s="208" t="str">
        <v xml:space="preserve"> 25.35</v>
      </c>
      <c r="M1261" s="208" t="str">
        <v/>
      </c>
    </row>
    <row r="1262" spans="1:13" ht="14.4">
      <c r="A1262" s="199" t="str">
        <f ca="1">IFERROR(__xludf.DUMMYFUNCTION("""COMPUTED_VALUE"""),"M")</f>
        <v>M</v>
      </c>
      <c r="B1262" s="207" t="str">
        <f ca="1">IFERROR(__xludf.DUMMYFUNCTION("""COMPUTED_VALUE"""),"Alaina Pisco")</f>
        <v>Alaina Pisco</v>
      </c>
      <c r="C1262" s="199">
        <f ca="1">IFERROR(__xludf.DUMMYFUNCTION("""COMPUTED_VALUE"""),7)</f>
        <v>7</v>
      </c>
      <c r="D1262" s="199" t="str">
        <f ca="1">IFERROR(__xludf.DUMMYFUNCTION("""COMPUTED_VALUE"""),"G")</f>
        <v>G</v>
      </c>
      <c r="E1262" s="202" t="str">
        <f ca="1">IFERROR(__xludf.DUMMYFUNCTION("""COMPUTED_VALUE"""),"F")</f>
        <v>F</v>
      </c>
      <c r="F1262" s="202" t="str">
        <f ca="1">IFERROR(__xludf.DUMMYFUNCTION("""COMPUTED_VALUE"""),"J")</f>
        <v>J</v>
      </c>
      <c r="G1262" s="202">
        <f ca="1">IFERROR(__xludf.DUMMYFUNCTION("""COMPUTED_VALUE"""),7)</f>
        <v>7</v>
      </c>
      <c r="H1262" s="208"/>
      <c r="I1262" s="208"/>
      <c r="J1262" s="208"/>
      <c r="K1262" s="208"/>
      <c r="L1262" s="208" t="str">
        <v/>
      </c>
      <c r="M1262" s="208" t="str">
        <v/>
      </c>
    </row>
    <row r="1263" spans="1:13" ht="14.4">
      <c r="A1263" s="199" t="str">
        <f ca="1">IFERROR(__xludf.DUMMYFUNCTION("""COMPUTED_VALUE"""),"M")</f>
        <v>M</v>
      </c>
      <c r="B1263" s="207" t="str">
        <f ca="1">IFERROR(__xludf.DUMMYFUNCTION("""COMPUTED_VALUE"""),"Annabel Rider")</f>
        <v>Annabel Rider</v>
      </c>
      <c r="C1263" s="199">
        <f ca="1">IFERROR(__xludf.DUMMYFUNCTION("""COMPUTED_VALUE"""),7)</f>
        <v>7</v>
      </c>
      <c r="D1263" s="199" t="str">
        <f ca="1">IFERROR(__xludf.DUMMYFUNCTION("""COMPUTED_VALUE"""),"G")</f>
        <v>G</v>
      </c>
      <c r="E1263" s="202" t="str">
        <f ca="1">IFERROR(__xludf.DUMMYFUNCTION("""COMPUTED_VALUE"""),"F")</f>
        <v>F</v>
      </c>
      <c r="F1263" s="202" t="str">
        <f ca="1">IFERROR(__xludf.DUMMYFUNCTION("""COMPUTED_VALUE"""),"J")</f>
        <v>J</v>
      </c>
      <c r="G1263" s="202">
        <f ca="1">IFERROR(__xludf.DUMMYFUNCTION("""COMPUTED_VALUE"""),7)</f>
        <v>7</v>
      </c>
      <c r="H1263" s="208">
        <v>22.7</v>
      </c>
      <c r="I1263" s="208"/>
      <c r="J1263" s="208" t="s">
        <v>121</v>
      </c>
      <c r="K1263" s="208"/>
      <c r="L1263" s="208" t="str">
        <v xml:space="preserve"> 22.7</v>
      </c>
      <c r="M1263" s="208" t="str">
        <v/>
      </c>
    </row>
    <row r="1264" spans="1:13" ht="14.4">
      <c r="A1264" s="199" t="str">
        <f ca="1">IFERROR(__xludf.DUMMYFUNCTION("""COMPUTED_VALUE"""),"M")</f>
        <v>M</v>
      </c>
      <c r="B1264" s="207" t="str">
        <f ca="1">IFERROR(__xludf.DUMMYFUNCTION("""COMPUTED_VALUE"""),"Cara Tansey")</f>
        <v>Cara Tansey</v>
      </c>
      <c r="C1264" s="199">
        <f ca="1">IFERROR(__xludf.DUMMYFUNCTION("""COMPUTED_VALUE"""),6)</f>
        <v>6</v>
      </c>
      <c r="D1264" s="199" t="str">
        <f ca="1">IFERROR(__xludf.DUMMYFUNCTION("""COMPUTED_VALUE"""),"G")</f>
        <v>G</v>
      </c>
      <c r="E1264" s="202" t="str">
        <f ca="1">IFERROR(__xludf.DUMMYFUNCTION("""COMPUTED_VALUE"""),"F")</f>
        <v>F</v>
      </c>
      <c r="F1264" s="202" t="str">
        <f ca="1">IFERROR(__xludf.DUMMYFUNCTION("""COMPUTED_VALUE"""),"J")</f>
        <v>J</v>
      </c>
      <c r="G1264" s="202">
        <f ca="1">IFERROR(__xludf.DUMMYFUNCTION("""COMPUTED_VALUE"""),7)</f>
        <v>7</v>
      </c>
      <c r="H1264" s="206">
        <v>9.5</v>
      </c>
      <c r="I1264" s="206"/>
      <c r="J1264" s="206" t="s">
        <v>121</v>
      </c>
      <c r="K1264" s="206"/>
      <c r="L1264" s="206" t="str">
        <v xml:space="preserve"> 9.5</v>
      </c>
      <c r="M1264" s="206" t="str">
        <v/>
      </c>
    </row>
    <row r="1265" spans="1:13" ht="14.4">
      <c r="A1265" s="199" t="str">
        <f ca="1">IFERROR(__xludf.DUMMYFUNCTION("""COMPUTED_VALUE"""),"M")</f>
        <v>M</v>
      </c>
      <c r="B1265" s="207" t="str">
        <f ca="1">IFERROR(__xludf.DUMMYFUNCTION("""COMPUTED_VALUE"""),"Cara Tansy")</f>
        <v>Cara Tansy</v>
      </c>
      <c r="C1265" s="199">
        <f ca="1">IFERROR(__xludf.DUMMYFUNCTION("""COMPUTED_VALUE"""),6)</f>
        <v>6</v>
      </c>
      <c r="D1265" s="199" t="str">
        <f ca="1">IFERROR(__xludf.DUMMYFUNCTION("""COMPUTED_VALUE"""),"G")</f>
        <v>G</v>
      </c>
      <c r="E1265" s="202" t="str">
        <f ca="1">IFERROR(__xludf.DUMMYFUNCTION("""COMPUTED_VALUE"""),"F")</f>
        <v>F</v>
      </c>
      <c r="F1265" s="202" t="str">
        <f ca="1">IFERROR(__xludf.DUMMYFUNCTION("""COMPUTED_VALUE"""),"J")</f>
        <v>J</v>
      </c>
      <c r="G1265" s="202">
        <f ca="1">IFERROR(__xludf.DUMMYFUNCTION("""COMPUTED_VALUE"""),7)</f>
        <v>7</v>
      </c>
      <c r="H1265" s="208"/>
      <c r="I1265" s="208"/>
      <c r="J1265" s="208"/>
      <c r="K1265" s="208"/>
      <c r="L1265" s="208" t="str">
        <v/>
      </c>
      <c r="M1265" s="208" t="str">
        <v/>
      </c>
    </row>
    <row r="1266" spans="1:13" ht="14.4">
      <c r="A1266" s="199" t="str">
        <f ca="1">IFERROR(__xludf.DUMMYFUNCTION("""COMPUTED_VALUE"""),"M")</f>
        <v>M</v>
      </c>
      <c r="B1266" s="207" t="str">
        <f ca="1">IFERROR(__xludf.DUMMYFUNCTION("""COMPUTED_VALUE"""),"Catherine Redington")</f>
        <v>Catherine Redington</v>
      </c>
      <c r="C1266" s="199">
        <f ca="1">IFERROR(__xludf.DUMMYFUNCTION("""COMPUTED_VALUE"""),9)</f>
        <v>9</v>
      </c>
      <c r="D1266" s="199" t="str">
        <f ca="1">IFERROR(__xludf.DUMMYFUNCTION("""COMPUTED_VALUE"""),"G")</f>
        <v>G</v>
      </c>
      <c r="E1266" s="202" t="str">
        <f ca="1">IFERROR(__xludf.DUMMYFUNCTION("""COMPUTED_VALUE"""),"F")</f>
        <v>F</v>
      </c>
      <c r="F1266" s="202" t="str">
        <f ca="1">IFERROR(__xludf.DUMMYFUNCTION("""COMPUTED_VALUE"""),"J")</f>
        <v>J</v>
      </c>
      <c r="G1266" s="202">
        <f ca="1">IFERROR(__xludf.DUMMYFUNCTION("""COMPUTED_VALUE"""),7)</f>
        <v>7</v>
      </c>
      <c r="H1266" s="208">
        <v>46.45</v>
      </c>
      <c r="I1266" s="208"/>
      <c r="J1266" s="208" t="s">
        <v>121</v>
      </c>
      <c r="K1266" s="208"/>
      <c r="L1266" s="208" t="str">
        <v xml:space="preserve"> 46.45</v>
      </c>
      <c r="M1266" s="208" t="str">
        <v/>
      </c>
    </row>
    <row r="1267" spans="1:13" ht="14.4">
      <c r="A1267" s="199" t="str">
        <f ca="1">IFERROR(__xludf.DUMMYFUNCTION("""COMPUTED_VALUE"""),"M")</f>
        <v>M</v>
      </c>
      <c r="B1267" s="207" t="str">
        <f ca="1">IFERROR(__xludf.DUMMYFUNCTION("""COMPUTED_VALUE"""),"Catherine Rene")</f>
        <v>Catherine Rene</v>
      </c>
      <c r="C1267" s="199">
        <f ca="1">IFERROR(__xludf.DUMMYFUNCTION("""COMPUTED_VALUE"""),8)</f>
        <v>8</v>
      </c>
      <c r="D1267" s="199" t="str">
        <f ca="1">IFERROR(__xludf.DUMMYFUNCTION("""COMPUTED_VALUE"""),"G")</f>
        <v>G</v>
      </c>
      <c r="E1267" s="202" t="str">
        <f ca="1">IFERROR(__xludf.DUMMYFUNCTION("""COMPUTED_VALUE"""),"F")</f>
        <v>F</v>
      </c>
      <c r="F1267" s="202" t="str">
        <f ca="1">IFERROR(__xludf.DUMMYFUNCTION("""COMPUTED_VALUE"""),"J")</f>
        <v>J</v>
      </c>
      <c r="G1267" s="202">
        <f ca="1">IFERROR(__xludf.DUMMYFUNCTION("""COMPUTED_VALUE"""),7)</f>
        <v>7</v>
      </c>
      <c r="H1267" s="208"/>
      <c r="I1267" s="208"/>
      <c r="J1267" s="208"/>
      <c r="K1267" s="208"/>
      <c r="L1267" s="208" t="str">
        <v/>
      </c>
      <c r="M1267" s="208" t="str">
        <v/>
      </c>
    </row>
    <row r="1268" spans="1:13" ht="14.4">
      <c r="A1268" s="199" t="str">
        <f ca="1">IFERROR(__xludf.DUMMYFUNCTION("""COMPUTED_VALUE"""),"M")</f>
        <v>M</v>
      </c>
      <c r="B1268" s="207" t="str">
        <f ca="1">IFERROR(__xludf.DUMMYFUNCTION("""COMPUTED_VALUE"""),"Chloe Deng")</f>
        <v>Chloe Deng</v>
      </c>
      <c r="C1268" s="199">
        <f ca="1">IFERROR(__xludf.DUMMYFUNCTION("""COMPUTED_VALUE"""),9)</f>
        <v>9</v>
      </c>
      <c r="D1268" s="199" t="str">
        <f ca="1">IFERROR(__xludf.DUMMYFUNCTION("""COMPUTED_VALUE"""),"G")</f>
        <v>G</v>
      </c>
      <c r="E1268" s="202" t="str">
        <f ca="1">IFERROR(__xludf.DUMMYFUNCTION("""COMPUTED_VALUE"""),"F")</f>
        <v>F</v>
      </c>
      <c r="F1268" s="202" t="str">
        <f ca="1">IFERROR(__xludf.DUMMYFUNCTION("""COMPUTED_VALUE"""),"J")</f>
        <v>J</v>
      </c>
      <c r="G1268" s="202">
        <f ca="1">IFERROR(__xludf.DUMMYFUNCTION("""COMPUTED_VALUE"""),7)</f>
        <v>7</v>
      </c>
      <c r="H1268" s="208"/>
      <c r="I1268" s="208"/>
      <c r="J1268" s="208"/>
      <c r="K1268" s="208"/>
      <c r="L1268" s="208" t="str">
        <v/>
      </c>
      <c r="M1268" s="208" t="str">
        <v/>
      </c>
    </row>
    <row r="1269" spans="1:13" ht="14.4">
      <c r="A1269" s="199" t="str">
        <f ca="1">IFERROR(__xludf.DUMMYFUNCTION("""COMPUTED_VALUE"""),"M")</f>
        <v>M</v>
      </c>
      <c r="B1269" s="207" t="str">
        <f ca="1">IFERROR(__xludf.DUMMYFUNCTION("""COMPUTED_VALUE"""),"Claire Cashin")</f>
        <v>Claire Cashin</v>
      </c>
      <c r="C1269" s="199">
        <f ca="1">IFERROR(__xludf.DUMMYFUNCTION("""COMPUTED_VALUE"""),7)</f>
        <v>7</v>
      </c>
      <c r="D1269" s="199" t="str">
        <f ca="1">IFERROR(__xludf.DUMMYFUNCTION("""COMPUTED_VALUE"""),"G")</f>
        <v>G</v>
      </c>
      <c r="E1269" s="202" t="str">
        <f ca="1">IFERROR(__xludf.DUMMYFUNCTION("""COMPUTED_VALUE"""),"F")</f>
        <v>F</v>
      </c>
      <c r="F1269" s="202" t="str">
        <f ca="1">IFERROR(__xludf.DUMMYFUNCTION("""COMPUTED_VALUE"""),"J")</f>
        <v>J</v>
      </c>
      <c r="G1269" s="202">
        <f ca="1">IFERROR(__xludf.DUMMYFUNCTION("""COMPUTED_VALUE"""),7)</f>
        <v>7</v>
      </c>
      <c r="H1269" s="208">
        <v>22.1</v>
      </c>
      <c r="I1269" s="208"/>
      <c r="J1269" s="208" t="s">
        <v>121</v>
      </c>
      <c r="K1269" s="208"/>
      <c r="L1269" s="208" t="str">
        <v xml:space="preserve"> 22.1</v>
      </c>
      <c r="M1269" s="208" t="str">
        <v/>
      </c>
    </row>
    <row r="1270" spans="1:13" ht="14.4">
      <c r="A1270" s="199" t="str">
        <f ca="1">IFERROR(__xludf.DUMMYFUNCTION("""COMPUTED_VALUE"""),"M")</f>
        <v>M</v>
      </c>
      <c r="B1270" s="207" t="str">
        <f ca="1">IFERROR(__xludf.DUMMYFUNCTION("""COMPUTED_VALUE"""),"Donna Grenias")</f>
        <v>Donna Grenias</v>
      </c>
      <c r="C1270" s="199">
        <f ca="1">IFERROR(__xludf.DUMMYFUNCTION("""COMPUTED_VALUE"""),10)</f>
        <v>10</v>
      </c>
      <c r="D1270" s="199" t="str">
        <f ca="1">IFERROR(__xludf.DUMMYFUNCTION("""COMPUTED_VALUE"""),"G")</f>
        <v>G</v>
      </c>
      <c r="E1270" s="202" t="str">
        <f ca="1">IFERROR(__xludf.DUMMYFUNCTION("""COMPUTED_VALUE"""),"F")</f>
        <v>F</v>
      </c>
      <c r="F1270" s="202" t="str">
        <f ca="1">IFERROR(__xludf.DUMMYFUNCTION("""COMPUTED_VALUE"""),"J")</f>
        <v>J</v>
      </c>
      <c r="G1270" s="202">
        <f ca="1">IFERROR(__xludf.DUMMYFUNCTION("""COMPUTED_VALUE"""),7)</f>
        <v>7</v>
      </c>
      <c r="H1270" s="208"/>
      <c r="I1270" s="208"/>
      <c r="J1270" s="208"/>
      <c r="K1270" s="208"/>
      <c r="L1270" s="208" t="str">
        <v/>
      </c>
      <c r="M1270" s="208" t="str">
        <v/>
      </c>
    </row>
    <row r="1271" spans="1:13" ht="14.4">
      <c r="A1271" s="199" t="str">
        <f ca="1">IFERROR(__xludf.DUMMYFUNCTION("""COMPUTED_VALUE"""),"M")</f>
        <v>M</v>
      </c>
      <c r="B1271" s="207" t="str">
        <f ca="1">IFERROR(__xludf.DUMMYFUNCTION("""COMPUTED_VALUE"""),"Emily Wills")</f>
        <v>Emily Wills</v>
      </c>
      <c r="C1271" s="199">
        <f ca="1">IFERROR(__xludf.DUMMYFUNCTION("""COMPUTED_VALUE"""),9)</f>
        <v>9</v>
      </c>
      <c r="D1271" s="199" t="str">
        <f ca="1">IFERROR(__xludf.DUMMYFUNCTION("""COMPUTED_VALUE"""),"G")</f>
        <v>G</v>
      </c>
      <c r="E1271" s="202" t="str">
        <f ca="1">IFERROR(__xludf.DUMMYFUNCTION("""COMPUTED_VALUE"""),"F")</f>
        <v>F</v>
      </c>
      <c r="F1271" s="202" t="str">
        <f ca="1">IFERROR(__xludf.DUMMYFUNCTION("""COMPUTED_VALUE"""),"J")</f>
        <v>J</v>
      </c>
      <c r="G1271" s="202">
        <f ca="1">IFERROR(__xludf.DUMMYFUNCTION("""COMPUTED_VALUE"""),7)</f>
        <v>7</v>
      </c>
      <c r="H1271" s="208">
        <v>22.85</v>
      </c>
      <c r="I1271" s="208"/>
      <c r="J1271" s="208" t="s">
        <v>121</v>
      </c>
      <c r="K1271" s="208"/>
      <c r="L1271" s="208" t="str">
        <v xml:space="preserve"> 22.85</v>
      </c>
      <c r="M1271" s="208" t="str">
        <v/>
      </c>
    </row>
    <row r="1272" spans="1:13" ht="14.4">
      <c r="A1272" s="199" t="str">
        <f ca="1">IFERROR(__xludf.DUMMYFUNCTION("""COMPUTED_VALUE"""),"M")</f>
        <v>M</v>
      </c>
      <c r="B1272" s="207" t="str">
        <f ca="1">IFERROR(__xludf.DUMMYFUNCTION("""COMPUTED_VALUE"""),"Joanna Halper")</f>
        <v>Joanna Halper</v>
      </c>
      <c r="C1272" s="199">
        <f ca="1">IFERROR(__xludf.DUMMYFUNCTION("""COMPUTED_VALUE"""),7)</f>
        <v>7</v>
      </c>
      <c r="D1272" s="199" t="str">
        <f ca="1">IFERROR(__xludf.DUMMYFUNCTION("""COMPUTED_VALUE"""),"G")</f>
        <v>G</v>
      </c>
      <c r="E1272" s="202" t="str">
        <f ca="1">IFERROR(__xludf.DUMMYFUNCTION("""COMPUTED_VALUE"""),"F")</f>
        <v>F</v>
      </c>
      <c r="F1272" s="202" t="str">
        <f ca="1">IFERROR(__xludf.DUMMYFUNCTION("""COMPUTED_VALUE"""),"J")</f>
        <v>J</v>
      </c>
      <c r="G1272" s="202">
        <f ca="1">IFERROR(__xludf.DUMMYFUNCTION("""COMPUTED_VALUE"""),7)</f>
        <v>7</v>
      </c>
      <c r="H1272" s="208"/>
      <c r="I1272" s="208"/>
      <c r="J1272" s="208"/>
      <c r="K1272" s="208"/>
      <c r="L1272" s="208" t="str">
        <v/>
      </c>
      <c r="M1272" s="208" t="str">
        <v/>
      </c>
    </row>
    <row r="1273" spans="1:13" ht="14.4">
      <c r="A1273" s="199" t="str">
        <f ca="1">IFERROR(__xludf.DUMMYFUNCTION("""COMPUTED_VALUE"""),"M")</f>
        <v>M</v>
      </c>
      <c r="B1273" s="207" t="str">
        <f ca="1">IFERROR(__xludf.DUMMYFUNCTION("""COMPUTED_VALUE"""),"Juliet Tetreault")</f>
        <v>Juliet Tetreault</v>
      </c>
      <c r="C1273" s="199">
        <f ca="1">IFERROR(__xludf.DUMMYFUNCTION("""COMPUTED_VALUE"""),8)</f>
        <v>8</v>
      </c>
      <c r="D1273" s="199" t="str">
        <f ca="1">IFERROR(__xludf.DUMMYFUNCTION("""COMPUTED_VALUE"""),"G")</f>
        <v>G</v>
      </c>
      <c r="E1273" s="202" t="str">
        <f ca="1">IFERROR(__xludf.DUMMYFUNCTION("""COMPUTED_VALUE"""),"F")</f>
        <v>F</v>
      </c>
      <c r="F1273" s="202" t="str">
        <f ca="1">IFERROR(__xludf.DUMMYFUNCTION("""COMPUTED_VALUE"""),"J")</f>
        <v>J</v>
      </c>
      <c r="G1273" s="202">
        <f ca="1">IFERROR(__xludf.DUMMYFUNCTION("""COMPUTED_VALUE"""),7)</f>
        <v>7</v>
      </c>
      <c r="H1273" s="208">
        <v>34.75</v>
      </c>
      <c r="I1273" s="208"/>
      <c r="J1273" s="208" t="s">
        <v>121</v>
      </c>
      <c r="K1273" s="208"/>
      <c r="L1273" s="208" t="str">
        <v xml:space="preserve"> 34.75</v>
      </c>
      <c r="M1273" s="208" t="str">
        <v/>
      </c>
    </row>
    <row r="1274" spans="1:13" ht="14.4">
      <c r="A1274" s="199" t="str">
        <f ca="1">IFERROR(__xludf.DUMMYFUNCTION("""COMPUTED_VALUE"""),"M")</f>
        <v>M</v>
      </c>
      <c r="B1274" s="207" t="str">
        <f ca="1">IFERROR(__xludf.DUMMYFUNCTION("""COMPUTED_VALUE"""),"Kate Evonuk")</f>
        <v>Kate Evonuk</v>
      </c>
      <c r="C1274" s="199">
        <f ca="1">IFERROR(__xludf.DUMMYFUNCTION("""COMPUTED_VALUE"""),10)</f>
        <v>10</v>
      </c>
      <c r="D1274" s="199" t="str">
        <f ca="1">IFERROR(__xludf.DUMMYFUNCTION("""COMPUTED_VALUE"""),"G")</f>
        <v>G</v>
      </c>
      <c r="E1274" s="202" t="str">
        <f ca="1">IFERROR(__xludf.DUMMYFUNCTION("""COMPUTED_VALUE"""),"F")</f>
        <v>F</v>
      </c>
      <c r="F1274" s="202" t="str">
        <f ca="1">IFERROR(__xludf.DUMMYFUNCTION("""COMPUTED_VALUE"""),"J")</f>
        <v>J</v>
      </c>
      <c r="G1274" s="202">
        <f ca="1">IFERROR(__xludf.DUMMYFUNCTION("""COMPUTED_VALUE"""),7)</f>
        <v>7</v>
      </c>
      <c r="H1274" s="208">
        <v>47.1</v>
      </c>
      <c r="I1274" s="208"/>
      <c r="J1274" s="208" t="s">
        <v>121</v>
      </c>
      <c r="K1274" s="208"/>
      <c r="L1274" s="208" t="str">
        <v xml:space="preserve"> 47.1</v>
      </c>
      <c r="M1274" s="208" t="str">
        <v/>
      </c>
    </row>
    <row r="1275" spans="1:13" ht="14.4">
      <c r="A1275" s="199" t="str">
        <f ca="1">IFERROR(__xludf.DUMMYFUNCTION("""COMPUTED_VALUE"""),"M")</f>
        <v>M</v>
      </c>
      <c r="B1275" s="207" t="str">
        <f ca="1">IFERROR(__xludf.DUMMYFUNCTION("""COMPUTED_VALUE"""),"Kree Setliff")</f>
        <v>Kree Setliff</v>
      </c>
      <c r="C1275" s="199">
        <f ca="1">IFERROR(__xludf.DUMMYFUNCTION("""COMPUTED_VALUE"""),7)</f>
        <v>7</v>
      </c>
      <c r="D1275" s="199" t="str">
        <f ca="1">IFERROR(__xludf.DUMMYFUNCTION("""COMPUTED_VALUE"""),"G")</f>
        <v>G</v>
      </c>
      <c r="E1275" s="202" t="str">
        <f ca="1">IFERROR(__xludf.DUMMYFUNCTION("""COMPUTED_VALUE"""),"F")</f>
        <v>F</v>
      </c>
      <c r="F1275" s="202" t="str">
        <f ca="1">IFERROR(__xludf.DUMMYFUNCTION("""COMPUTED_VALUE"""),"J")</f>
        <v>J</v>
      </c>
      <c r="G1275" s="202">
        <f ca="1">IFERROR(__xludf.DUMMYFUNCTION("""COMPUTED_VALUE"""),7)</f>
        <v>7</v>
      </c>
      <c r="H1275" s="208">
        <v>31.4</v>
      </c>
      <c r="I1275" s="208"/>
      <c r="J1275" s="208" t="s">
        <v>121</v>
      </c>
      <c r="K1275" s="208"/>
      <c r="L1275" s="208" t="str">
        <v xml:space="preserve"> 31.4</v>
      </c>
      <c r="M1275" s="208" t="str">
        <v/>
      </c>
    </row>
    <row r="1276" spans="1:13" ht="14.4">
      <c r="A1276" s="199" t="str">
        <f ca="1">IFERROR(__xludf.DUMMYFUNCTION("""COMPUTED_VALUE"""),"M")</f>
        <v>M</v>
      </c>
      <c r="B1276" s="207" t="str">
        <f ca="1">IFERROR(__xludf.DUMMYFUNCTION("""COMPUTED_VALUE"""),"Leila White")</f>
        <v>Leila White</v>
      </c>
      <c r="C1276" s="199">
        <f ca="1">IFERROR(__xludf.DUMMYFUNCTION("""COMPUTED_VALUE"""),7)</f>
        <v>7</v>
      </c>
      <c r="D1276" s="199" t="str">
        <f ca="1">IFERROR(__xludf.DUMMYFUNCTION("""COMPUTED_VALUE"""),"G")</f>
        <v>G</v>
      </c>
      <c r="E1276" s="202" t="str">
        <f ca="1">IFERROR(__xludf.DUMMYFUNCTION("""COMPUTED_VALUE"""),"F")</f>
        <v>F</v>
      </c>
      <c r="F1276" s="202" t="str">
        <f ca="1">IFERROR(__xludf.DUMMYFUNCTION("""COMPUTED_VALUE"""),"J")</f>
        <v>J</v>
      </c>
      <c r="G1276" s="202">
        <f ca="1">IFERROR(__xludf.DUMMYFUNCTION("""COMPUTED_VALUE"""),7)</f>
        <v>7</v>
      </c>
      <c r="H1276" s="208">
        <v>30.8</v>
      </c>
      <c r="I1276" s="208"/>
      <c r="J1276" s="208" t="s">
        <v>121</v>
      </c>
      <c r="K1276" s="208"/>
      <c r="L1276" s="208" t="str">
        <v xml:space="preserve"> 30.8</v>
      </c>
      <c r="M1276" s="208" t="str">
        <v/>
      </c>
    </row>
    <row r="1277" spans="1:13" ht="14.4">
      <c r="A1277" s="199" t="str">
        <f ca="1">IFERROR(__xludf.DUMMYFUNCTION("""COMPUTED_VALUE"""),"M")</f>
        <v>M</v>
      </c>
      <c r="B1277" s="207" t="str">
        <f ca="1">IFERROR(__xludf.DUMMYFUNCTION("""COMPUTED_VALUE"""),"Maggie Levi")</f>
        <v>Maggie Levi</v>
      </c>
      <c r="C1277" s="199">
        <f ca="1">IFERROR(__xludf.DUMMYFUNCTION("""COMPUTED_VALUE"""),10)</f>
        <v>10</v>
      </c>
      <c r="D1277" s="199" t="str">
        <f ca="1">IFERROR(__xludf.DUMMYFUNCTION("""COMPUTED_VALUE"""),"G")</f>
        <v>G</v>
      </c>
      <c r="E1277" s="202" t="str">
        <f ca="1">IFERROR(__xludf.DUMMYFUNCTION("""COMPUTED_VALUE"""),"F")</f>
        <v>F</v>
      </c>
      <c r="F1277" s="202" t="str">
        <f ca="1">IFERROR(__xludf.DUMMYFUNCTION("""COMPUTED_VALUE"""),"J")</f>
        <v>J</v>
      </c>
      <c r="G1277" s="202">
        <f ca="1">IFERROR(__xludf.DUMMYFUNCTION("""COMPUTED_VALUE"""),7)</f>
        <v>7</v>
      </c>
      <c r="H1277" s="206">
        <v>56.4</v>
      </c>
      <c r="I1277" s="206"/>
      <c r="J1277" s="206" t="s">
        <v>121</v>
      </c>
      <c r="K1277" s="206"/>
      <c r="L1277" s="206" t="str">
        <v xml:space="preserve"> 56.4</v>
      </c>
      <c r="M1277" s="206" t="str">
        <v/>
      </c>
    </row>
    <row r="1278" spans="1:13" ht="14.4">
      <c r="A1278" s="199" t="str">
        <f ca="1">IFERROR(__xludf.DUMMYFUNCTION("""COMPUTED_VALUE"""),"M")</f>
        <v>M</v>
      </c>
      <c r="B1278" s="207" t="str">
        <f ca="1">IFERROR(__xludf.DUMMYFUNCTION("""COMPUTED_VALUE"""),"Magnolia Johnston")</f>
        <v>Magnolia Johnston</v>
      </c>
      <c r="C1278" s="199">
        <f ca="1">IFERROR(__xludf.DUMMYFUNCTION("""COMPUTED_VALUE"""),10)</f>
        <v>10</v>
      </c>
      <c r="D1278" s="199" t="str">
        <f ca="1">IFERROR(__xludf.DUMMYFUNCTION("""COMPUTED_VALUE"""),"G")</f>
        <v>G</v>
      </c>
      <c r="E1278" s="202" t="str">
        <f ca="1">IFERROR(__xludf.DUMMYFUNCTION("""COMPUTED_VALUE"""),"F")</f>
        <v>F</v>
      </c>
      <c r="F1278" s="202" t="str">
        <f ca="1">IFERROR(__xludf.DUMMYFUNCTION("""COMPUTED_VALUE"""),"J")</f>
        <v>J</v>
      </c>
      <c r="G1278" s="202">
        <f ca="1">IFERROR(__xludf.DUMMYFUNCTION("""COMPUTED_VALUE"""),7)</f>
        <v>7</v>
      </c>
      <c r="H1278" s="208"/>
      <c r="I1278" s="208"/>
      <c r="J1278" s="208"/>
      <c r="K1278" s="208"/>
      <c r="L1278" s="208" t="str">
        <v/>
      </c>
      <c r="M1278" s="208" t="str">
        <v/>
      </c>
    </row>
    <row r="1279" spans="1:13" ht="14.4">
      <c r="A1279" s="199" t="str">
        <f ca="1">IFERROR(__xludf.DUMMYFUNCTION("""COMPUTED_VALUE"""),"M")</f>
        <v>M</v>
      </c>
      <c r="B1279" s="207" t="str">
        <f ca="1">IFERROR(__xludf.DUMMYFUNCTION("""COMPUTED_VALUE"""),"Maya Gonzalez")</f>
        <v>Maya Gonzalez</v>
      </c>
      <c r="C1279" s="199">
        <f ca="1">IFERROR(__xludf.DUMMYFUNCTION("""COMPUTED_VALUE"""),8)</f>
        <v>8</v>
      </c>
      <c r="D1279" s="199" t="str">
        <f ca="1">IFERROR(__xludf.DUMMYFUNCTION("""COMPUTED_VALUE"""),"G")</f>
        <v>G</v>
      </c>
      <c r="E1279" s="202" t="str">
        <f ca="1">IFERROR(__xludf.DUMMYFUNCTION("""COMPUTED_VALUE"""),"F")</f>
        <v>F</v>
      </c>
      <c r="F1279" s="202" t="str">
        <f ca="1">IFERROR(__xludf.DUMMYFUNCTION("""COMPUTED_VALUE"""),"J")</f>
        <v>J</v>
      </c>
      <c r="G1279" s="202">
        <f ca="1">IFERROR(__xludf.DUMMYFUNCTION("""COMPUTED_VALUE"""),7)</f>
        <v>7</v>
      </c>
      <c r="H1279" s="208"/>
      <c r="I1279" s="208"/>
      <c r="J1279" s="208"/>
      <c r="K1279" s="208"/>
      <c r="L1279" s="208" t="str">
        <v/>
      </c>
      <c r="M1279" s="208" t="str">
        <v/>
      </c>
    </row>
    <row r="1280" spans="1:13" ht="14.4">
      <c r="A1280" s="199" t="str">
        <f ca="1">IFERROR(__xludf.DUMMYFUNCTION("""COMPUTED_VALUE"""),"M")</f>
        <v>M</v>
      </c>
      <c r="B1280" s="207" t="str">
        <f ca="1">IFERROR(__xludf.DUMMYFUNCTION("""COMPUTED_VALUE"""),"Sophia Kemp")</f>
        <v>Sophia Kemp</v>
      </c>
      <c r="C1280" s="199">
        <f ca="1">IFERROR(__xludf.DUMMYFUNCTION("""COMPUTED_VALUE"""),10)</f>
        <v>10</v>
      </c>
      <c r="D1280" s="199" t="str">
        <f ca="1">IFERROR(__xludf.DUMMYFUNCTION("""COMPUTED_VALUE"""),"G")</f>
        <v>G</v>
      </c>
      <c r="E1280" s="202" t="str">
        <f ca="1">IFERROR(__xludf.DUMMYFUNCTION("""COMPUTED_VALUE"""),"F")</f>
        <v>F</v>
      </c>
      <c r="F1280" s="202" t="str">
        <f ca="1">IFERROR(__xludf.DUMMYFUNCTION("""COMPUTED_VALUE"""),"J")</f>
        <v>J</v>
      </c>
      <c r="G1280" s="202">
        <f ca="1">IFERROR(__xludf.DUMMYFUNCTION("""COMPUTED_VALUE"""),7)</f>
        <v>7</v>
      </c>
      <c r="H1280" s="206"/>
      <c r="I1280" s="206"/>
      <c r="J1280" s="206"/>
      <c r="K1280" s="206"/>
      <c r="L1280" s="206" t="str">
        <v/>
      </c>
      <c r="M1280" s="206" t="str">
        <v/>
      </c>
    </row>
    <row r="1281" spans="1:13" ht="14.4">
      <c r="A1281" s="199" t="str">
        <f ca="1">IFERROR(__xludf.DUMMYFUNCTION("""COMPUTED_VALUE"""),"M")</f>
        <v>M</v>
      </c>
      <c r="B1281" s="207" t="str">
        <f ca="1">IFERROR(__xludf.DUMMYFUNCTION("""COMPUTED_VALUE"""),"Braydon West")</f>
        <v>Braydon West</v>
      </c>
      <c r="C1281" s="199">
        <f ca="1">IFERROR(__xludf.DUMMYFUNCTION("""COMPUTED_VALUE"""),13)</f>
        <v>13</v>
      </c>
      <c r="D1281" s="199" t="str">
        <f ca="1">IFERROR(__xludf.DUMMYFUNCTION("""COMPUTED_VALUE"""),"B")</f>
        <v>B</v>
      </c>
      <c r="E1281" s="202" t="str">
        <f ca="1">IFERROR(__xludf.DUMMYFUNCTION("""COMPUTED_VALUE"""),"I")</f>
        <v>I</v>
      </c>
      <c r="F1281" s="202" t="str">
        <f ca="1">IFERROR(__xludf.DUMMYFUNCTION("""COMPUTED_VALUE"""),"S")</f>
        <v>S</v>
      </c>
      <c r="G1281" s="202">
        <f ca="1">IFERROR(__xludf.DUMMYFUNCTION("""COMPUTED_VALUE"""),7)</f>
        <v>7</v>
      </c>
      <c r="H1281" s="206"/>
      <c r="I1281" s="206"/>
      <c r="J1281" s="206"/>
      <c r="K1281" s="206"/>
      <c r="L1281" s="206" t="str">
        <v/>
      </c>
      <c r="M1281" s="206" t="str">
        <v/>
      </c>
    </row>
    <row r="1282" spans="1:13" ht="14.4">
      <c r="A1282" s="199" t="str">
        <f ca="1">IFERROR(__xludf.DUMMYFUNCTION("""COMPUTED_VALUE"""),"M")</f>
        <v>M</v>
      </c>
      <c r="B1282" s="207" t="str">
        <f ca="1">IFERROR(__xludf.DUMMYFUNCTION("""COMPUTED_VALUE"""),"Brenden McGinley")</f>
        <v>Brenden McGinley</v>
      </c>
      <c r="C1282" s="199">
        <f ca="1">IFERROR(__xludf.DUMMYFUNCTION("""COMPUTED_VALUE"""),13)</f>
        <v>13</v>
      </c>
      <c r="D1282" s="199" t="str">
        <f ca="1">IFERROR(__xludf.DUMMYFUNCTION("""COMPUTED_VALUE"""),"B")</f>
        <v>B</v>
      </c>
      <c r="E1282" s="202" t="str">
        <f ca="1">IFERROR(__xludf.DUMMYFUNCTION("""COMPUTED_VALUE"""),"I")</f>
        <v>I</v>
      </c>
      <c r="F1282" s="202" t="str">
        <f ca="1">IFERROR(__xludf.DUMMYFUNCTION("""COMPUTED_VALUE"""),"S")</f>
        <v>S</v>
      </c>
      <c r="G1282" s="202">
        <f ca="1">IFERROR(__xludf.DUMMYFUNCTION("""COMPUTED_VALUE"""),7)</f>
        <v>7</v>
      </c>
      <c r="H1282" s="208"/>
      <c r="I1282" s="208"/>
      <c r="J1282" s="208"/>
      <c r="K1282" s="208"/>
      <c r="L1282" s="208" t="str">
        <v/>
      </c>
      <c r="M1282" s="208" t="str">
        <v/>
      </c>
    </row>
    <row r="1283" spans="1:13" ht="14.4">
      <c r="A1283" s="199" t="str">
        <f ca="1">IFERROR(__xludf.DUMMYFUNCTION("""COMPUTED_VALUE"""),"M")</f>
        <v>M</v>
      </c>
      <c r="B1283" s="207" t="str">
        <f ca="1">IFERROR(__xludf.DUMMYFUNCTION("""COMPUTED_VALUE"""),"Darius VanDyck")</f>
        <v>Darius VanDyck</v>
      </c>
      <c r="C1283" s="199">
        <f ca="1">IFERROR(__xludf.DUMMYFUNCTION("""COMPUTED_VALUE"""),14)</f>
        <v>14</v>
      </c>
      <c r="D1283" s="199" t="str">
        <f ca="1">IFERROR(__xludf.DUMMYFUNCTION("""COMPUTED_VALUE"""),"B")</f>
        <v>B</v>
      </c>
      <c r="E1283" s="202" t="str">
        <f ca="1">IFERROR(__xludf.DUMMYFUNCTION("""COMPUTED_VALUE"""),"I")</f>
        <v>I</v>
      </c>
      <c r="F1283" s="202" t="str">
        <f ca="1">IFERROR(__xludf.DUMMYFUNCTION("""COMPUTED_VALUE"""),"S")</f>
        <v>S</v>
      </c>
      <c r="G1283" s="202">
        <f ca="1">IFERROR(__xludf.DUMMYFUNCTION("""COMPUTED_VALUE"""),7)</f>
        <v>7</v>
      </c>
      <c r="H1283" s="206"/>
      <c r="I1283" s="206"/>
      <c r="J1283" s="206"/>
      <c r="K1283" s="206"/>
      <c r="L1283" s="206" t="str">
        <v/>
      </c>
      <c r="M1283" s="206" t="str">
        <v/>
      </c>
    </row>
    <row r="1284" spans="1:13" ht="14.4">
      <c r="A1284" s="199" t="str">
        <f ca="1">IFERROR(__xludf.DUMMYFUNCTION("""COMPUTED_VALUE"""),"M")</f>
        <v>M</v>
      </c>
      <c r="B1284" s="207" t="str">
        <f ca="1">IFERROR(__xludf.DUMMYFUNCTION("""COMPUTED_VALUE"""),"Dexter Tetreault")</f>
        <v>Dexter Tetreault</v>
      </c>
      <c r="C1284" s="199">
        <f ca="1">IFERROR(__xludf.DUMMYFUNCTION("""COMPUTED_VALUE"""),13)</f>
        <v>13</v>
      </c>
      <c r="D1284" s="199" t="str">
        <f ca="1">IFERROR(__xludf.DUMMYFUNCTION("""COMPUTED_VALUE"""),"B")</f>
        <v>B</v>
      </c>
      <c r="E1284" s="202" t="str">
        <f ca="1">IFERROR(__xludf.DUMMYFUNCTION("""COMPUTED_VALUE"""),"I")</f>
        <v>I</v>
      </c>
      <c r="F1284" s="202" t="str">
        <f ca="1">IFERROR(__xludf.DUMMYFUNCTION("""COMPUTED_VALUE"""),"S")</f>
        <v>S</v>
      </c>
      <c r="G1284" s="202">
        <f ca="1">IFERROR(__xludf.DUMMYFUNCTION("""COMPUTED_VALUE"""),7)</f>
        <v>7</v>
      </c>
      <c r="H1284" s="206"/>
      <c r="I1284" s="206">
        <v>89.95</v>
      </c>
      <c r="J1284" s="206"/>
      <c r="K1284" s="206" t="s">
        <v>121</v>
      </c>
      <c r="L1284" s="206" t="str">
        <v xml:space="preserve"> 89.95</v>
      </c>
      <c r="M1284" s="206" t="str">
        <v/>
      </c>
    </row>
    <row r="1285" spans="1:13" ht="14.4">
      <c r="A1285" s="199" t="str">
        <f ca="1">IFERROR(__xludf.DUMMYFUNCTION("""COMPUTED_VALUE"""),"M")</f>
        <v>M</v>
      </c>
      <c r="B1285" s="207" t="str">
        <f ca="1">IFERROR(__xludf.DUMMYFUNCTION("""COMPUTED_VALUE"""),"Henry Levi")</f>
        <v>Henry Levi</v>
      </c>
      <c r="C1285" s="199">
        <f ca="1">IFERROR(__xludf.DUMMYFUNCTION("""COMPUTED_VALUE"""),14)</f>
        <v>14</v>
      </c>
      <c r="D1285" s="199" t="str">
        <f ca="1">IFERROR(__xludf.DUMMYFUNCTION("""COMPUTED_VALUE"""),"B")</f>
        <v>B</v>
      </c>
      <c r="E1285" s="202" t="str">
        <f ca="1">IFERROR(__xludf.DUMMYFUNCTION("""COMPUTED_VALUE"""),"I")</f>
        <v>I</v>
      </c>
      <c r="F1285" s="202" t="str">
        <f ca="1">IFERROR(__xludf.DUMMYFUNCTION("""COMPUTED_VALUE"""),"S")</f>
        <v>S</v>
      </c>
      <c r="G1285" s="202">
        <f ca="1">IFERROR(__xludf.DUMMYFUNCTION("""COMPUTED_VALUE"""),7)</f>
        <v>7</v>
      </c>
      <c r="H1285" s="208"/>
      <c r="I1285" s="208">
        <v>116.65</v>
      </c>
      <c r="J1285" s="208"/>
      <c r="K1285" s="208" t="s">
        <v>121</v>
      </c>
      <c r="L1285" s="208" t="str">
        <v xml:space="preserve"> 116.65</v>
      </c>
      <c r="M1285" s="208" t="str">
        <v/>
      </c>
    </row>
    <row r="1286" spans="1:13" ht="14.4">
      <c r="A1286" s="199" t="str">
        <f ca="1">IFERROR(__xludf.DUMMYFUNCTION("""COMPUTED_VALUE"""),"M")</f>
        <v>M</v>
      </c>
      <c r="B1286" s="207" t="str">
        <f ca="1">IFERROR(__xludf.DUMMYFUNCTION("""COMPUTED_VALUE"""),"Samantha Eldred")</f>
        <v>Samantha Eldred</v>
      </c>
      <c r="C1286" s="199">
        <f ca="1">IFERROR(__xludf.DUMMYFUNCTION("""COMPUTED_VALUE"""),13)</f>
        <v>13</v>
      </c>
      <c r="D1286" s="199" t="str">
        <f ca="1">IFERROR(__xludf.DUMMYFUNCTION("""COMPUTED_VALUE"""),"G")</f>
        <v>G</v>
      </c>
      <c r="E1286" s="202" t="str">
        <f ca="1">IFERROR(__xludf.DUMMYFUNCTION("""COMPUTED_VALUE"""),"I")</f>
        <v>I</v>
      </c>
      <c r="F1286" s="202" t="str">
        <f ca="1">IFERROR(__xludf.DUMMYFUNCTION("""COMPUTED_VALUE"""),"S")</f>
        <v>S</v>
      </c>
      <c r="G1286" s="202">
        <f ca="1">IFERROR(__xludf.DUMMYFUNCTION("""COMPUTED_VALUE"""),7)</f>
        <v>7</v>
      </c>
      <c r="H1286" s="208">
        <v>107.3</v>
      </c>
      <c r="I1286" s="208"/>
      <c r="J1286" s="208" t="s">
        <v>121</v>
      </c>
      <c r="K1286" s="208"/>
      <c r="L1286" s="208" t="str">
        <v xml:space="preserve"> 107.3</v>
      </c>
      <c r="M1286" s="208" t="str">
        <v/>
      </c>
    </row>
    <row r="1287" spans="1:13" ht="14.4">
      <c r="A1287" s="199" t="str">
        <f ca="1">IFERROR(__xludf.DUMMYFUNCTION("""COMPUTED_VALUE"""),"M")</f>
        <v>M</v>
      </c>
      <c r="B1287" s="207" t="str">
        <f ca="1">IFERROR(__xludf.DUMMYFUNCTION("""COMPUTED_VALUE"""),"Susan Wang Andera")</f>
        <v>Susan Wang Andera</v>
      </c>
      <c r="C1287" s="199">
        <f ca="1">IFERROR(__xludf.DUMMYFUNCTION("""COMPUTED_VALUE"""),13)</f>
        <v>13</v>
      </c>
      <c r="D1287" s="199" t="str">
        <f ca="1">IFERROR(__xludf.DUMMYFUNCTION("""COMPUTED_VALUE"""),"G")</f>
        <v>G</v>
      </c>
      <c r="E1287" s="202" t="str">
        <f ca="1">IFERROR(__xludf.DUMMYFUNCTION("""COMPUTED_VALUE"""),"I")</f>
        <v>I</v>
      </c>
      <c r="F1287" s="202" t="str">
        <f ca="1">IFERROR(__xludf.DUMMYFUNCTION("""COMPUTED_VALUE"""),"S")</f>
        <v>S</v>
      </c>
      <c r="G1287" s="202">
        <f ca="1">IFERROR(__xludf.DUMMYFUNCTION("""COMPUTED_VALUE"""),7)</f>
        <v>7</v>
      </c>
      <c r="H1287" s="208">
        <v>91.65</v>
      </c>
      <c r="I1287" s="208"/>
      <c r="J1287" s="208" t="s">
        <v>121</v>
      </c>
      <c r="K1287" s="208"/>
      <c r="L1287" s="208" t="str">
        <v xml:space="preserve"> 91.65</v>
      </c>
      <c r="M1287" s="208" t="str">
        <v/>
      </c>
    </row>
    <row r="1288" spans="1:13" ht="14.4">
      <c r="A1288" s="199" t="str">
        <f ca="1">IFERROR(__xludf.DUMMYFUNCTION("""COMPUTED_VALUE"""),"M")</f>
        <v>M</v>
      </c>
      <c r="B1288" s="207" t="str">
        <f ca="1">IFERROR(__xludf.DUMMYFUNCTION("""COMPUTED_VALUE"""),"Alannah Murphy")</f>
        <v>Alannah Murphy</v>
      </c>
      <c r="C1288" s="199">
        <f ca="1">IFERROR(__xludf.DUMMYFUNCTION("""COMPUTED_VALUE"""),11)</f>
        <v>11</v>
      </c>
      <c r="D1288" s="199" t="str">
        <f ca="1">IFERROR(__xludf.DUMMYFUNCTION("""COMPUTED_VALUE"""),"G")</f>
        <v>G</v>
      </c>
      <c r="E1288" s="202" t="str">
        <f ca="1">IFERROR(__xludf.DUMMYFUNCTION("""COMPUTED_VALUE"""),"J")</f>
        <v>J</v>
      </c>
      <c r="F1288" s="202" t="str">
        <f ca="1">IFERROR(__xludf.DUMMYFUNCTION("""COMPUTED_VALUE"""),"I")</f>
        <v>I</v>
      </c>
      <c r="G1288" s="202">
        <f ca="1">IFERROR(__xludf.DUMMYFUNCTION("""COMPUTED_VALUE"""),7)</f>
        <v>7</v>
      </c>
      <c r="H1288" s="206"/>
      <c r="I1288" s="206"/>
      <c r="J1288" s="206"/>
      <c r="K1288" s="206"/>
      <c r="L1288" s="206" t="str">
        <v/>
      </c>
      <c r="M1288" s="206" t="str">
        <v/>
      </c>
    </row>
    <row r="1289" spans="1:13" ht="14.4">
      <c r="A1289" s="199" t="str">
        <f ca="1">IFERROR(__xludf.DUMMYFUNCTION("""COMPUTED_VALUE"""),"M")</f>
        <v>M</v>
      </c>
      <c r="B1289" s="207" t="str">
        <f ca="1">IFERROR(__xludf.DUMMYFUNCTION("""COMPUTED_VALUE"""),"Annabel Kemp")</f>
        <v>Annabel Kemp</v>
      </c>
      <c r="C1289" s="199">
        <f ca="1">IFERROR(__xludf.DUMMYFUNCTION("""COMPUTED_VALUE"""),12)</f>
        <v>12</v>
      </c>
      <c r="D1289" s="199" t="str">
        <f ca="1">IFERROR(__xludf.DUMMYFUNCTION("""COMPUTED_VALUE"""),"G")</f>
        <v>G</v>
      </c>
      <c r="E1289" s="202" t="str">
        <f ca="1">IFERROR(__xludf.DUMMYFUNCTION("""COMPUTED_VALUE"""),"J")</f>
        <v>J</v>
      </c>
      <c r="F1289" s="202" t="str">
        <f ca="1">IFERROR(__xludf.DUMMYFUNCTION("""COMPUTED_VALUE"""),"I")</f>
        <v>I</v>
      </c>
      <c r="G1289" s="202">
        <f ca="1">IFERROR(__xludf.DUMMYFUNCTION("""COMPUTED_VALUE"""),7)</f>
        <v>7</v>
      </c>
      <c r="H1289" s="206"/>
      <c r="I1289" s="206"/>
      <c r="J1289" s="206"/>
      <c r="K1289" s="206"/>
      <c r="L1289" s="206" t="str">
        <v/>
      </c>
      <c r="M1289" s="206" t="str">
        <v/>
      </c>
    </row>
    <row r="1290" spans="1:13" ht="14.4">
      <c r="A1290" s="199" t="str">
        <f ca="1">IFERROR(__xludf.DUMMYFUNCTION("""COMPUTED_VALUE"""),"M")</f>
        <v>M</v>
      </c>
      <c r="B1290" s="207" t="str">
        <f ca="1">IFERROR(__xludf.DUMMYFUNCTION("""COMPUTED_VALUE"""),"Charlotte Menge")</f>
        <v>Charlotte Menge</v>
      </c>
      <c r="C1290" s="199">
        <f ca="1">IFERROR(__xludf.DUMMYFUNCTION("""COMPUTED_VALUE"""),11)</f>
        <v>11</v>
      </c>
      <c r="D1290" s="199" t="str">
        <f ca="1">IFERROR(__xludf.DUMMYFUNCTION("""COMPUTED_VALUE"""),"G")</f>
        <v>G</v>
      </c>
      <c r="E1290" s="202" t="str">
        <f ca="1">IFERROR(__xludf.DUMMYFUNCTION("""COMPUTED_VALUE"""),"J")</f>
        <v>J</v>
      </c>
      <c r="F1290" s="202" t="str">
        <f ca="1">IFERROR(__xludf.DUMMYFUNCTION("""COMPUTED_VALUE"""),"I")</f>
        <v>I</v>
      </c>
      <c r="G1290" s="202">
        <f ca="1">IFERROR(__xludf.DUMMYFUNCTION("""COMPUTED_VALUE"""),7)</f>
        <v>7</v>
      </c>
      <c r="H1290" s="206"/>
      <c r="I1290" s="206"/>
      <c r="J1290" s="206"/>
      <c r="K1290" s="206"/>
      <c r="L1290" s="206" t="str">
        <v/>
      </c>
      <c r="M1290" s="206" t="str">
        <v/>
      </c>
    </row>
    <row r="1291" spans="1:13" ht="14.4">
      <c r="A1291" s="199" t="str">
        <f ca="1">IFERROR(__xludf.DUMMYFUNCTION("""COMPUTED_VALUE"""),"M")</f>
        <v>M</v>
      </c>
      <c r="B1291" s="207" t="str">
        <f ca="1">IFERROR(__xludf.DUMMYFUNCTION("""COMPUTED_VALUE"""),"Emery Mize")</f>
        <v>Emery Mize</v>
      </c>
      <c r="C1291" s="199">
        <f ca="1">IFERROR(__xludf.DUMMYFUNCTION("""COMPUTED_VALUE"""),11)</f>
        <v>11</v>
      </c>
      <c r="D1291" s="199" t="str">
        <f ca="1">IFERROR(__xludf.DUMMYFUNCTION("""COMPUTED_VALUE"""),"G")</f>
        <v>G</v>
      </c>
      <c r="E1291" s="202" t="str">
        <f ca="1">IFERROR(__xludf.DUMMYFUNCTION("""COMPUTED_VALUE"""),"J")</f>
        <v>J</v>
      </c>
      <c r="F1291" s="202" t="str">
        <f ca="1">IFERROR(__xludf.DUMMYFUNCTION("""COMPUTED_VALUE"""),"I")</f>
        <v>I</v>
      </c>
      <c r="G1291" s="202">
        <f ca="1">IFERROR(__xludf.DUMMYFUNCTION("""COMPUTED_VALUE"""),7)</f>
        <v>7</v>
      </c>
      <c r="H1291" s="208">
        <v>64.599999999999994</v>
      </c>
      <c r="I1291" s="208"/>
      <c r="J1291" s="208" t="s">
        <v>121</v>
      </c>
      <c r="K1291" s="208"/>
      <c r="L1291" s="208" t="str">
        <v xml:space="preserve"> 64.6</v>
      </c>
      <c r="M1291" s="208" t="str">
        <v/>
      </c>
    </row>
    <row r="1292" spans="1:13" ht="14.4">
      <c r="A1292" s="199" t="str">
        <f ca="1">IFERROR(__xludf.DUMMYFUNCTION("""COMPUTED_VALUE"""),"M")</f>
        <v>M</v>
      </c>
      <c r="B1292" s="207" t="str">
        <f ca="1">IFERROR(__xludf.DUMMYFUNCTION("""COMPUTED_VALUE"""),"Eva Schwenzer")</f>
        <v>Eva Schwenzer</v>
      </c>
      <c r="C1292" s="199">
        <f ca="1">IFERROR(__xludf.DUMMYFUNCTION("""COMPUTED_VALUE"""),11)</f>
        <v>11</v>
      </c>
      <c r="D1292" s="199" t="str">
        <f ca="1">IFERROR(__xludf.DUMMYFUNCTION("""COMPUTED_VALUE"""),"G")</f>
        <v>G</v>
      </c>
      <c r="E1292" s="202" t="str">
        <f ca="1">IFERROR(__xludf.DUMMYFUNCTION("""COMPUTED_VALUE"""),"J")</f>
        <v>J</v>
      </c>
      <c r="F1292" s="202" t="str">
        <f ca="1">IFERROR(__xludf.DUMMYFUNCTION("""COMPUTED_VALUE"""),"I")</f>
        <v>I</v>
      </c>
      <c r="G1292" s="202">
        <f ca="1">IFERROR(__xludf.DUMMYFUNCTION("""COMPUTED_VALUE"""),7)</f>
        <v>7</v>
      </c>
      <c r="H1292" s="206"/>
      <c r="I1292" s="206"/>
      <c r="J1292" s="206"/>
      <c r="K1292" s="206"/>
      <c r="L1292" s="206" t="str">
        <v/>
      </c>
      <c r="M1292" s="206" t="str">
        <v/>
      </c>
    </row>
    <row r="1293" spans="1:13" ht="14.4">
      <c r="A1293" s="199" t="str">
        <f ca="1">IFERROR(__xludf.DUMMYFUNCTION("""COMPUTED_VALUE"""),"M")</f>
        <v>M</v>
      </c>
      <c r="B1293" s="207" t="str">
        <f ca="1">IFERROR(__xludf.DUMMYFUNCTION("""COMPUTED_VALUE"""),"Isla McRobbie")</f>
        <v>Isla McRobbie</v>
      </c>
      <c r="C1293" s="199">
        <f ca="1">IFERROR(__xludf.DUMMYFUNCTION("""COMPUTED_VALUE"""),11)</f>
        <v>11</v>
      </c>
      <c r="D1293" s="199" t="str">
        <f ca="1">IFERROR(__xludf.DUMMYFUNCTION("""COMPUTED_VALUE"""),"G")</f>
        <v>G</v>
      </c>
      <c r="E1293" s="202" t="str">
        <f ca="1">IFERROR(__xludf.DUMMYFUNCTION("""COMPUTED_VALUE"""),"J")</f>
        <v>J</v>
      </c>
      <c r="F1293" s="202" t="str">
        <f ca="1">IFERROR(__xludf.DUMMYFUNCTION("""COMPUTED_VALUE"""),"I")</f>
        <v>I</v>
      </c>
      <c r="G1293" s="202">
        <f ca="1">IFERROR(__xludf.DUMMYFUNCTION("""COMPUTED_VALUE"""),7)</f>
        <v>7</v>
      </c>
      <c r="H1293" s="206"/>
      <c r="I1293" s="206"/>
      <c r="J1293" s="206"/>
      <c r="K1293" s="206"/>
      <c r="L1293" s="206" t="str">
        <v/>
      </c>
      <c r="M1293" s="206" t="str">
        <v/>
      </c>
    </row>
    <row r="1294" spans="1:13" ht="14.4">
      <c r="A1294" s="199" t="str">
        <f ca="1">IFERROR(__xludf.DUMMYFUNCTION("""COMPUTED_VALUE"""),"M")</f>
        <v>M</v>
      </c>
      <c r="B1294" s="207" t="str">
        <f ca="1">IFERROR(__xludf.DUMMYFUNCTION("""COMPUTED_VALUE"""),"Lila Hollerieth")</f>
        <v>Lila Hollerieth</v>
      </c>
      <c r="C1294" s="199">
        <f ca="1">IFERROR(__xludf.DUMMYFUNCTION("""COMPUTED_VALUE"""),11)</f>
        <v>11</v>
      </c>
      <c r="D1294" s="199" t="str">
        <f ca="1">IFERROR(__xludf.DUMMYFUNCTION("""COMPUTED_VALUE"""),"G")</f>
        <v>G</v>
      </c>
      <c r="E1294" s="202" t="str">
        <f ca="1">IFERROR(__xludf.DUMMYFUNCTION("""COMPUTED_VALUE"""),"J")</f>
        <v>J</v>
      </c>
      <c r="F1294" s="202" t="str">
        <f ca="1">IFERROR(__xludf.DUMMYFUNCTION("""COMPUTED_VALUE"""),"I")</f>
        <v>I</v>
      </c>
      <c r="G1294" s="202">
        <f ca="1">IFERROR(__xludf.DUMMYFUNCTION("""COMPUTED_VALUE"""),7)</f>
        <v>7</v>
      </c>
      <c r="H1294" s="208"/>
      <c r="I1294" s="208"/>
      <c r="J1294" s="208"/>
      <c r="K1294" s="208"/>
      <c r="L1294" s="208" t="str">
        <v/>
      </c>
      <c r="M1294" s="208" t="str">
        <v/>
      </c>
    </row>
    <row r="1295" spans="1:13" ht="14.4">
      <c r="A1295" s="199" t="str">
        <f ca="1">IFERROR(__xludf.DUMMYFUNCTION("""COMPUTED_VALUE"""),"M")</f>
        <v>M</v>
      </c>
      <c r="B1295" s="207" t="str">
        <f ca="1">IFERROR(__xludf.DUMMYFUNCTION("""COMPUTED_VALUE"""),"Lydia Tetreault")</f>
        <v>Lydia Tetreault</v>
      </c>
      <c r="C1295" s="199">
        <f ca="1">IFERROR(__xludf.DUMMYFUNCTION("""COMPUTED_VALUE"""),11)</f>
        <v>11</v>
      </c>
      <c r="D1295" s="199" t="str">
        <f ca="1">IFERROR(__xludf.DUMMYFUNCTION("""COMPUTED_VALUE"""),"G")</f>
        <v>G</v>
      </c>
      <c r="E1295" s="202" t="str">
        <f ca="1">IFERROR(__xludf.DUMMYFUNCTION("""COMPUTED_VALUE"""),"J")</f>
        <v>J</v>
      </c>
      <c r="F1295" s="202" t="str">
        <f ca="1">IFERROR(__xludf.DUMMYFUNCTION("""COMPUTED_VALUE"""),"I")</f>
        <v>I</v>
      </c>
      <c r="G1295" s="202">
        <f ca="1">IFERROR(__xludf.DUMMYFUNCTION("""COMPUTED_VALUE"""),7)</f>
        <v>7</v>
      </c>
      <c r="H1295" s="208">
        <v>73.900000000000006</v>
      </c>
      <c r="I1295" s="208"/>
      <c r="J1295" s="208" t="s">
        <v>121</v>
      </c>
      <c r="K1295" s="208"/>
      <c r="L1295" s="208" t="str">
        <v xml:space="preserve"> 73.9</v>
      </c>
      <c r="M1295" s="208" t="str">
        <v/>
      </c>
    </row>
    <row r="1296" spans="1:13" ht="14.4">
      <c r="A1296" s="199" t="str">
        <f ca="1">IFERROR(__xludf.DUMMYFUNCTION("""COMPUTED_VALUE"""),"M")</f>
        <v>M</v>
      </c>
      <c r="B1296" s="207" t="str">
        <f ca="1">IFERROR(__xludf.DUMMYFUNCTION("""COMPUTED_VALUE"""),"Meghan McGinley")</f>
        <v>Meghan McGinley</v>
      </c>
      <c r="C1296" s="199">
        <f ca="1">IFERROR(__xludf.DUMMYFUNCTION("""COMPUTED_VALUE"""),11)</f>
        <v>11</v>
      </c>
      <c r="D1296" s="199" t="str">
        <f ca="1">IFERROR(__xludf.DUMMYFUNCTION("""COMPUTED_VALUE"""),"G")</f>
        <v>G</v>
      </c>
      <c r="E1296" s="202" t="str">
        <f ca="1">IFERROR(__xludf.DUMMYFUNCTION("""COMPUTED_VALUE"""),"J")</f>
        <v>J</v>
      </c>
      <c r="F1296" s="202" t="str">
        <f ca="1">IFERROR(__xludf.DUMMYFUNCTION("""COMPUTED_VALUE"""),"I")</f>
        <v>I</v>
      </c>
      <c r="G1296" s="202">
        <f ca="1">IFERROR(__xludf.DUMMYFUNCTION("""COMPUTED_VALUE"""),7)</f>
        <v>7</v>
      </c>
      <c r="H1296" s="208"/>
      <c r="I1296" s="208"/>
      <c r="J1296" s="208"/>
      <c r="K1296" s="208"/>
      <c r="L1296" s="208" t="str">
        <v/>
      </c>
      <c r="M1296" s="208" t="str">
        <v/>
      </c>
    </row>
    <row r="1297" spans="1:13" ht="14.4">
      <c r="A1297" s="199" t="str">
        <f ca="1">IFERROR(__xludf.DUMMYFUNCTION("""COMPUTED_VALUE"""),"M")</f>
        <v>M</v>
      </c>
      <c r="B1297" s="207" t="str">
        <f ca="1">IFERROR(__xludf.DUMMYFUNCTION("""COMPUTED_VALUE"""),"Payton Kiessling")</f>
        <v>Payton Kiessling</v>
      </c>
      <c r="C1297" s="199">
        <f ca="1">IFERROR(__xludf.DUMMYFUNCTION("""COMPUTED_VALUE"""),11)</f>
        <v>11</v>
      </c>
      <c r="D1297" s="199" t="str">
        <f ca="1">IFERROR(__xludf.DUMMYFUNCTION("""COMPUTED_VALUE"""),"G")</f>
        <v>G</v>
      </c>
      <c r="E1297" s="202" t="str">
        <f ca="1">IFERROR(__xludf.DUMMYFUNCTION("""COMPUTED_VALUE"""),"J")</f>
        <v>J</v>
      </c>
      <c r="F1297" s="202" t="str">
        <f ca="1">IFERROR(__xludf.DUMMYFUNCTION("""COMPUTED_VALUE"""),"I")</f>
        <v>I</v>
      </c>
      <c r="G1297" s="202">
        <f ca="1">IFERROR(__xludf.DUMMYFUNCTION("""COMPUTED_VALUE"""),7)</f>
        <v>7</v>
      </c>
      <c r="H1297" s="208"/>
      <c r="I1297" s="208"/>
      <c r="J1297" s="208"/>
      <c r="K1297" s="208"/>
      <c r="L1297" s="208" t="str">
        <v/>
      </c>
      <c r="M1297" s="208" t="str">
        <v/>
      </c>
    </row>
    <row r="1298" spans="1:13" ht="14.4">
      <c r="A1298" s="199" t="str">
        <f ca="1">IFERROR(__xludf.DUMMYFUNCTION("""COMPUTED_VALUE"""),"M")</f>
        <v>M</v>
      </c>
      <c r="B1298" s="207" t="str">
        <f ca="1">IFERROR(__xludf.DUMMYFUNCTION("""COMPUTED_VALUE"""),"Stina Nystrom")</f>
        <v>Stina Nystrom</v>
      </c>
      <c r="C1298" s="199">
        <f ca="1">IFERROR(__xludf.DUMMYFUNCTION("""COMPUTED_VALUE"""),11)</f>
        <v>11</v>
      </c>
      <c r="D1298" s="199" t="str">
        <f ca="1">IFERROR(__xludf.DUMMYFUNCTION("""COMPUTED_VALUE"""),"G")</f>
        <v>G</v>
      </c>
      <c r="E1298" s="202" t="str">
        <f ca="1">IFERROR(__xludf.DUMMYFUNCTION("""COMPUTED_VALUE"""),"J")</f>
        <v>J</v>
      </c>
      <c r="F1298" s="202" t="str">
        <f ca="1">IFERROR(__xludf.DUMMYFUNCTION("""COMPUTED_VALUE"""),"I")</f>
        <v>I</v>
      </c>
      <c r="G1298" s="202">
        <f ca="1">IFERROR(__xludf.DUMMYFUNCTION("""COMPUTED_VALUE"""),7)</f>
        <v>7</v>
      </c>
      <c r="H1298" s="208">
        <v>68.650000000000006</v>
      </c>
      <c r="I1298" s="208"/>
      <c r="J1298" s="208" t="s">
        <v>121</v>
      </c>
      <c r="K1298" s="208"/>
      <c r="L1298" s="208" t="str">
        <v xml:space="preserve"> 68.65</v>
      </c>
      <c r="M1298" s="208" t="str">
        <v/>
      </c>
    </row>
    <row r="1299" spans="1:13" ht="14.4">
      <c r="A1299" s="199" t="str">
        <f ca="1">IFERROR(__xludf.DUMMYFUNCTION("""COMPUTED_VALUE"""),"M")</f>
        <v>M</v>
      </c>
      <c r="B1299" s="207" t="str">
        <f ca="1">IFERROR(__xludf.DUMMYFUNCTION("""COMPUTED_VALUE"""),"Cyril Rudnev")</f>
        <v>Cyril Rudnev</v>
      </c>
      <c r="C1299" s="199">
        <f ca="1">IFERROR(__xludf.DUMMYFUNCTION("""COMPUTED_VALUE"""),17)</f>
        <v>17</v>
      </c>
      <c r="D1299" s="199" t="str">
        <f ca="1">IFERROR(__xludf.DUMMYFUNCTION("""COMPUTED_VALUE"""),"B")</f>
        <v>B</v>
      </c>
      <c r="E1299" s="202" t="str">
        <f ca="1">IFERROR(__xludf.DUMMYFUNCTION("""COMPUTED_VALUE"""),"S")</f>
        <v>S</v>
      </c>
      <c r="F1299" s="202" t="str">
        <f ca="1">IFERROR(__xludf.DUMMYFUNCTION("""COMPUTED_VALUE"""),"S")</f>
        <v>S</v>
      </c>
      <c r="G1299" s="202">
        <f ca="1">IFERROR(__xludf.DUMMYFUNCTION("""COMPUTED_VALUE"""),7)</f>
        <v>7</v>
      </c>
      <c r="H1299" s="208"/>
      <c r="I1299" s="208"/>
      <c r="J1299" s="208"/>
      <c r="K1299" s="208"/>
      <c r="L1299" s="208" t="str">
        <v/>
      </c>
      <c r="M1299" s="208" t="str">
        <v/>
      </c>
    </row>
    <row r="1300" spans="1:13" ht="14.4">
      <c r="A1300" s="199" t="str">
        <f ca="1">IFERROR(__xludf.DUMMYFUNCTION("""COMPUTED_VALUE"""),"M")</f>
        <v>M</v>
      </c>
      <c r="B1300" s="207" t="str">
        <f ca="1">IFERROR(__xludf.DUMMYFUNCTION("""COMPUTED_VALUE"""),"Eian Murphy")</f>
        <v>Eian Murphy</v>
      </c>
      <c r="C1300" s="199">
        <f ca="1">IFERROR(__xludf.DUMMYFUNCTION("""COMPUTED_VALUE"""),16)</f>
        <v>16</v>
      </c>
      <c r="D1300" s="199" t="str">
        <f ca="1">IFERROR(__xludf.DUMMYFUNCTION("""COMPUTED_VALUE"""),"B")</f>
        <v>B</v>
      </c>
      <c r="E1300" s="202" t="str">
        <f ca="1">IFERROR(__xludf.DUMMYFUNCTION("""COMPUTED_VALUE"""),"S")</f>
        <v>S</v>
      </c>
      <c r="F1300" s="202" t="str">
        <f ca="1">IFERROR(__xludf.DUMMYFUNCTION("""COMPUTED_VALUE"""),"S")</f>
        <v>S</v>
      </c>
      <c r="G1300" s="202">
        <f ca="1">IFERROR(__xludf.DUMMYFUNCTION("""COMPUTED_VALUE"""),7)</f>
        <v>7</v>
      </c>
      <c r="H1300" s="208"/>
      <c r="I1300" s="208">
        <v>155.65</v>
      </c>
      <c r="J1300" s="208"/>
      <c r="K1300" s="208" t="s">
        <v>121</v>
      </c>
      <c r="L1300" s="208" t="str">
        <v xml:space="preserve"> 155.65</v>
      </c>
      <c r="M1300" s="208" t="str">
        <v/>
      </c>
    </row>
    <row r="1301" spans="1:13" ht="14.4">
      <c r="A1301" s="199" t="str">
        <f ca="1">IFERROR(__xludf.DUMMYFUNCTION("""COMPUTED_VALUE"""),"M")</f>
        <v>M</v>
      </c>
      <c r="B1301" s="207" t="str">
        <f ca="1">IFERROR(__xludf.DUMMYFUNCTION("""COMPUTED_VALUE"""),"Rohan McCarthy")</f>
        <v>Rohan McCarthy</v>
      </c>
      <c r="C1301" s="199">
        <f ca="1">IFERROR(__xludf.DUMMYFUNCTION("""COMPUTED_VALUE"""),16)</f>
        <v>16</v>
      </c>
      <c r="D1301" s="199" t="str">
        <f ca="1">IFERROR(__xludf.DUMMYFUNCTION("""COMPUTED_VALUE"""),"B")</f>
        <v>B</v>
      </c>
      <c r="E1301" s="202" t="str">
        <f ca="1">IFERROR(__xludf.DUMMYFUNCTION("""COMPUTED_VALUE"""),"S")</f>
        <v>S</v>
      </c>
      <c r="F1301" s="202" t="str">
        <f ca="1">IFERROR(__xludf.DUMMYFUNCTION("""COMPUTED_VALUE"""),"S")</f>
        <v>S</v>
      </c>
      <c r="G1301" s="202">
        <f ca="1">IFERROR(__xludf.DUMMYFUNCTION("""COMPUTED_VALUE"""),7)</f>
        <v>7</v>
      </c>
      <c r="H1301" s="206"/>
      <c r="I1301" s="206">
        <v>143</v>
      </c>
      <c r="J1301" s="206"/>
      <c r="K1301" s="206" t="s">
        <v>121</v>
      </c>
      <c r="L1301" s="206" t="str">
        <v xml:space="preserve"> 143</v>
      </c>
      <c r="M1301" s="206" t="str">
        <v/>
      </c>
    </row>
    <row r="1302" spans="1:13" ht="14.4">
      <c r="A1302" s="199" t="str">
        <f ca="1">IFERROR(__xludf.DUMMYFUNCTION("""COMPUTED_VALUE"""),"M")</f>
        <v>M</v>
      </c>
      <c r="B1302" s="207" t="str">
        <f ca="1">IFERROR(__xludf.DUMMYFUNCTION("""COMPUTED_VALUE"""),"Sally Harrington")</f>
        <v>Sally Harrington</v>
      </c>
      <c r="C1302" s="199">
        <f ca="1">IFERROR(__xludf.DUMMYFUNCTION("""COMPUTED_VALUE"""),16)</f>
        <v>16</v>
      </c>
      <c r="D1302" s="199" t="str">
        <f ca="1">IFERROR(__xludf.DUMMYFUNCTION("""COMPUTED_VALUE"""),"G")</f>
        <v>G</v>
      </c>
      <c r="E1302" s="202" t="str">
        <f ca="1">IFERROR(__xludf.DUMMYFUNCTION("""COMPUTED_VALUE"""),"S")</f>
        <v>S</v>
      </c>
      <c r="F1302" s="202" t="str">
        <f ca="1">IFERROR(__xludf.DUMMYFUNCTION("""COMPUTED_VALUE"""),"S")</f>
        <v>S</v>
      </c>
      <c r="G1302" s="202">
        <f ca="1">IFERROR(__xludf.DUMMYFUNCTION("""COMPUTED_VALUE"""),7)</f>
        <v>7</v>
      </c>
      <c r="H1302" s="208">
        <v>199.2</v>
      </c>
      <c r="I1302" s="208"/>
      <c r="J1302" s="208" t="s">
        <v>121</v>
      </c>
      <c r="K1302" s="208"/>
      <c r="L1302" s="208" t="str">
        <v xml:space="preserve"> 199.2</v>
      </c>
      <c r="M1302" s="208" t="str">
        <v/>
      </c>
    </row>
    <row r="1303" spans="1:13" ht="14.4">
      <c r="A1303" s="199" t="str">
        <f ca="1">IFERROR(__xludf.DUMMYFUNCTION("""COMPUTED_VALUE"""),"M")</f>
        <v>M</v>
      </c>
      <c r="B1303" s="207" t="str">
        <f ca="1">IFERROR(__xludf.DUMMYFUNCTION("""COMPUTED_VALUE"""),"Sammy McKnight")</f>
        <v>Sammy McKnight</v>
      </c>
      <c r="C1303" s="199">
        <f ca="1">IFERROR(__xludf.DUMMYFUNCTION("""COMPUTED_VALUE"""),16)</f>
        <v>16</v>
      </c>
      <c r="D1303" s="199" t="str">
        <f ca="1">IFERROR(__xludf.DUMMYFUNCTION("""COMPUTED_VALUE"""),"G")</f>
        <v>G</v>
      </c>
      <c r="E1303" s="202" t="str">
        <f ca="1">IFERROR(__xludf.DUMMYFUNCTION("""COMPUTED_VALUE"""),"S")</f>
        <v>S</v>
      </c>
      <c r="F1303" s="202" t="str">
        <f ca="1">IFERROR(__xludf.DUMMYFUNCTION("""COMPUTED_VALUE"""),"S")</f>
        <v>S</v>
      </c>
      <c r="G1303" s="202">
        <f ca="1">IFERROR(__xludf.DUMMYFUNCTION("""COMPUTED_VALUE"""),7)</f>
        <v>7</v>
      </c>
      <c r="H1303" s="208">
        <v>130.9</v>
      </c>
      <c r="I1303" s="208"/>
      <c r="J1303" s="208" t="s">
        <v>121</v>
      </c>
      <c r="K1303" s="208"/>
      <c r="L1303" s="208" t="str">
        <v xml:space="preserve"> 130.9</v>
      </c>
      <c r="M1303" s="208" t="str">
        <v/>
      </c>
    </row>
    <row r="1304" spans="1:13" ht="14.4">
      <c r="A1304" s="199" t="str">
        <f ca="1">IFERROR(__xludf.DUMMYFUNCTION("""COMPUTED_VALUE"""),"M")</f>
        <v>M</v>
      </c>
      <c r="B1304" s="207" t="str">
        <f ca="1">IFERROR(__xludf.DUMMYFUNCTION("""COMPUTED_VALUE"""),"Sofia Nystrom")</f>
        <v>Sofia Nystrom</v>
      </c>
      <c r="C1304" s="199">
        <f ca="1">IFERROR(__xludf.DUMMYFUNCTION("""COMPUTED_VALUE"""),15)</f>
        <v>15</v>
      </c>
      <c r="D1304" s="199" t="str">
        <f ca="1">IFERROR(__xludf.DUMMYFUNCTION("""COMPUTED_VALUE"""),"G")</f>
        <v>G</v>
      </c>
      <c r="E1304" s="202" t="str">
        <f ca="1">IFERROR(__xludf.DUMMYFUNCTION("""COMPUTED_VALUE"""),"S")</f>
        <v>S</v>
      </c>
      <c r="F1304" s="202" t="str">
        <f ca="1">IFERROR(__xludf.DUMMYFUNCTION("""COMPUTED_VALUE"""),"S")</f>
        <v>S</v>
      </c>
      <c r="G1304" s="202">
        <f ca="1">IFERROR(__xludf.DUMMYFUNCTION("""COMPUTED_VALUE"""),7)</f>
        <v>7</v>
      </c>
      <c r="H1304" s="206">
        <v>130.69999999999999</v>
      </c>
      <c r="I1304" s="206"/>
      <c r="J1304" s="206" t="s">
        <v>121</v>
      </c>
      <c r="K1304" s="206"/>
      <c r="L1304" s="206" t="str">
        <v xml:space="preserve"> 130.7</v>
      </c>
      <c r="M1304" s="206" t="str">
        <v/>
      </c>
    </row>
    <row r="1305" spans="1:13" ht="14.4">
      <c r="A1305" s="199" t="str">
        <f ca="1">IFERROR(__xludf.DUMMYFUNCTION("""COMPUTED_VALUE"""),"MHC")</f>
        <v>MHC</v>
      </c>
      <c r="B1305" s="207" t="str">
        <f ca="1">IFERROR(__xludf.DUMMYFUNCTION("""COMPUTED_VALUE"""),"Austin Lant")</f>
        <v>Austin Lant</v>
      </c>
      <c r="C1305" s="199">
        <f ca="1">IFERROR(__xludf.DUMMYFUNCTION("""COMPUTED_VALUE"""),9)</f>
        <v>9</v>
      </c>
      <c r="D1305" s="199" t="str">
        <f ca="1">IFERROR(__xludf.DUMMYFUNCTION("""COMPUTED_VALUE"""),"B")</f>
        <v>B</v>
      </c>
      <c r="E1305" s="202" t="str">
        <f ca="1">IFERROR(__xludf.DUMMYFUNCTION("""COMPUTED_VALUE"""),"F")</f>
        <v>F</v>
      </c>
      <c r="F1305" s="202" t="str">
        <f ca="1">IFERROR(__xludf.DUMMYFUNCTION("""COMPUTED_VALUE"""),"J")</f>
        <v>J</v>
      </c>
      <c r="G1305" s="202">
        <f ca="1">IFERROR(__xludf.DUMMYFUNCTION("""COMPUTED_VALUE"""),2)</f>
        <v>2</v>
      </c>
      <c r="H1305" s="206"/>
      <c r="I1305" s="206">
        <v>27.6</v>
      </c>
      <c r="J1305" s="206"/>
      <c r="K1305" s="206" t="s">
        <v>121</v>
      </c>
      <c r="L1305" s="206" t="str">
        <v xml:space="preserve"> 27.6</v>
      </c>
      <c r="M1305" s="206" t="str">
        <v/>
      </c>
    </row>
    <row r="1306" spans="1:13" ht="14.4">
      <c r="A1306" s="199" t="str">
        <f ca="1">IFERROR(__xludf.DUMMYFUNCTION("""COMPUTED_VALUE"""),"MHC")</f>
        <v>MHC</v>
      </c>
      <c r="B1306" s="207" t="str">
        <f ca="1">IFERROR(__xludf.DUMMYFUNCTION("""COMPUTED_VALUE"""),"Ben Carrado")</f>
        <v>Ben Carrado</v>
      </c>
      <c r="C1306" s="199">
        <f ca="1">IFERROR(__xludf.DUMMYFUNCTION("""COMPUTED_VALUE"""),6)</f>
        <v>6</v>
      </c>
      <c r="D1306" s="199" t="str">
        <f ca="1">IFERROR(__xludf.DUMMYFUNCTION("""COMPUTED_VALUE"""),"B")</f>
        <v>B</v>
      </c>
      <c r="E1306" s="202" t="str">
        <f ca="1">IFERROR(__xludf.DUMMYFUNCTION("""COMPUTED_VALUE"""),"F")</f>
        <v>F</v>
      </c>
      <c r="F1306" s="202" t="str">
        <f ca="1">IFERROR(__xludf.DUMMYFUNCTION("""COMPUTED_VALUE"""),"J")</f>
        <v>J</v>
      </c>
      <c r="G1306" s="202">
        <f ca="1">IFERROR(__xludf.DUMMYFUNCTION("""COMPUTED_VALUE"""),2)</f>
        <v>2</v>
      </c>
      <c r="H1306" s="208"/>
      <c r="I1306" s="208"/>
      <c r="J1306" s="208"/>
      <c r="K1306" s="208"/>
      <c r="L1306" s="208" t="str">
        <v/>
      </c>
      <c r="M1306" s="208" t="str">
        <v/>
      </c>
    </row>
    <row r="1307" spans="1:13" ht="14.4">
      <c r="A1307" s="199" t="str">
        <f ca="1">IFERROR(__xludf.DUMMYFUNCTION("""COMPUTED_VALUE"""),"MHC")</f>
        <v>MHC</v>
      </c>
      <c r="B1307" s="207" t="str">
        <f ca="1">IFERROR(__xludf.DUMMYFUNCTION("""COMPUTED_VALUE"""),"Henry Eustis")</f>
        <v>Henry Eustis</v>
      </c>
      <c r="C1307" s="199">
        <f ca="1">IFERROR(__xludf.DUMMYFUNCTION("""COMPUTED_VALUE"""),6)</f>
        <v>6</v>
      </c>
      <c r="D1307" s="199" t="str">
        <f ca="1">IFERROR(__xludf.DUMMYFUNCTION("""COMPUTED_VALUE"""),"B")</f>
        <v>B</v>
      </c>
      <c r="E1307" s="202" t="str">
        <f ca="1">IFERROR(__xludf.DUMMYFUNCTION("""COMPUTED_VALUE"""),"F")</f>
        <v>F</v>
      </c>
      <c r="F1307" s="202" t="str">
        <f ca="1">IFERROR(__xludf.DUMMYFUNCTION("""COMPUTED_VALUE"""),"J")</f>
        <v>J</v>
      </c>
      <c r="G1307" s="202">
        <f ca="1">IFERROR(__xludf.DUMMYFUNCTION("""COMPUTED_VALUE"""),2)</f>
        <v>2</v>
      </c>
      <c r="H1307" s="206"/>
      <c r="I1307" s="206"/>
      <c r="J1307" s="206"/>
      <c r="K1307" s="206"/>
      <c r="L1307" s="206" t="str">
        <v/>
      </c>
      <c r="M1307" s="206" t="str">
        <v/>
      </c>
    </row>
    <row r="1308" spans="1:13" ht="14.4">
      <c r="A1308" s="199" t="str">
        <f ca="1">IFERROR(__xludf.DUMMYFUNCTION("""COMPUTED_VALUE"""),"MHC")</f>
        <v>MHC</v>
      </c>
      <c r="B1308" s="207" t="str">
        <f ca="1">IFERROR(__xludf.DUMMYFUNCTION("""COMPUTED_VALUE"""),"Henry Raak")</f>
        <v>Henry Raak</v>
      </c>
      <c r="C1308" s="199">
        <f ca="1">IFERROR(__xludf.DUMMYFUNCTION("""COMPUTED_VALUE"""),10)</f>
        <v>10</v>
      </c>
      <c r="D1308" s="199" t="str">
        <f ca="1">IFERROR(__xludf.DUMMYFUNCTION("""COMPUTED_VALUE"""),"B")</f>
        <v>B</v>
      </c>
      <c r="E1308" s="202" t="str">
        <f ca="1">IFERROR(__xludf.DUMMYFUNCTION("""COMPUTED_VALUE"""),"F")</f>
        <v>F</v>
      </c>
      <c r="F1308" s="202" t="str">
        <f ca="1">IFERROR(__xludf.DUMMYFUNCTION("""COMPUTED_VALUE"""),"J")</f>
        <v>J</v>
      </c>
      <c r="G1308" s="202">
        <f ca="1">IFERROR(__xludf.DUMMYFUNCTION("""COMPUTED_VALUE"""),2)</f>
        <v>2</v>
      </c>
      <c r="H1308" s="208"/>
      <c r="I1308" s="208"/>
      <c r="J1308" s="208"/>
      <c r="K1308" s="208"/>
      <c r="L1308" s="208" t="str">
        <v/>
      </c>
      <c r="M1308" s="208" t="str">
        <v/>
      </c>
    </row>
    <row r="1309" spans="1:13" ht="14.4">
      <c r="A1309" s="199" t="str">
        <f ca="1">IFERROR(__xludf.DUMMYFUNCTION("""COMPUTED_VALUE"""),"MHC")</f>
        <v>MHC</v>
      </c>
      <c r="B1309" s="207" t="str">
        <f ca="1">IFERROR(__xludf.DUMMYFUNCTION("""COMPUTED_VALUE"""),"Kalvin Kramer")</f>
        <v>Kalvin Kramer</v>
      </c>
      <c r="C1309" s="199">
        <f ca="1">IFERROR(__xludf.DUMMYFUNCTION("""COMPUTED_VALUE"""),6)</f>
        <v>6</v>
      </c>
      <c r="D1309" s="199" t="str">
        <f ca="1">IFERROR(__xludf.DUMMYFUNCTION("""COMPUTED_VALUE"""),"B")</f>
        <v>B</v>
      </c>
      <c r="E1309" s="202" t="str">
        <f ca="1">IFERROR(__xludf.DUMMYFUNCTION("""COMPUTED_VALUE"""),"F")</f>
        <v>F</v>
      </c>
      <c r="F1309" s="202" t="str">
        <f ca="1">IFERROR(__xludf.DUMMYFUNCTION("""COMPUTED_VALUE"""),"J")</f>
        <v>J</v>
      </c>
      <c r="G1309" s="202">
        <f ca="1">IFERROR(__xludf.DUMMYFUNCTION("""COMPUTED_VALUE"""),2)</f>
        <v>2</v>
      </c>
      <c r="H1309" s="208"/>
      <c r="I1309" s="208"/>
      <c r="J1309" s="208"/>
      <c r="K1309" s="208"/>
      <c r="L1309" s="208" t="str">
        <v/>
      </c>
      <c r="M1309" s="208" t="str">
        <v/>
      </c>
    </row>
    <row r="1310" spans="1:13" ht="14.4">
      <c r="A1310" s="199" t="str">
        <f ca="1">IFERROR(__xludf.DUMMYFUNCTION("""COMPUTED_VALUE"""),"MHC")</f>
        <v>MHC</v>
      </c>
      <c r="B1310" s="207" t="str">
        <f ca="1">IFERROR(__xludf.DUMMYFUNCTION("""COMPUTED_VALUE"""),"Kambron Kramer")</f>
        <v>Kambron Kramer</v>
      </c>
      <c r="C1310" s="199">
        <f ca="1">IFERROR(__xludf.DUMMYFUNCTION("""COMPUTED_VALUE"""),9)</f>
        <v>9</v>
      </c>
      <c r="D1310" s="199" t="str">
        <f ca="1">IFERROR(__xludf.DUMMYFUNCTION("""COMPUTED_VALUE"""),"B")</f>
        <v>B</v>
      </c>
      <c r="E1310" s="202" t="str">
        <f ca="1">IFERROR(__xludf.DUMMYFUNCTION("""COMPUTED_VALUE"""),"F")</f>
        <v>F</v>
      </c>
      <c r="F1310" s="202" t="str">
        <f ca="1">IFERROR(__xludf.DUMMYFUNCTION("""COMPUTED_VALUE"""),"J")</f>
        <v>J</v>
      </c>
      <c r="G1310" s="202">
        <f ca="1">IFERROR(__xludf.DUMMYFUNCTION("""COMPUTED_VALUE"""),2)</f>
        <v>2</v>
      </c>
      <c r="H1310" s="206"/>
      <c r="I1310" s="206"/>
      <c r="J1310" s="206"/>
      <c r="K1310" s="206"/>
      <c r="L1310" s="206" t="str">
        <v/>
      </c>
      <c r="M1310" s="206" t="str">
        <v/>
      </c>
    </row>
    <row r="1311" spans="1:13" ht="14.4">
      <c r="A1311" s="199" t="str">
        <f ca="1">IFERROR(__xludf.DUMMYFUNCTION("""COMPUTED_VALUE"""),"MHC")</f>
        <v>MHC</v>
      </c>
      <c r="B1311" s="207" t="str">
        <f ca="1">IFERROR(__xludf.DUMMYFUNCTION("""COMPUTED_VALUE"""),"Keegan Kurtzhals")</f>
        <v>Keegan Kurtzhals</v>
      </c>
      <c r="C1311" s="199">
        <f ca="1">IFERROR(__xludf.DUMMYFUNCTION("""COMPUTED_VALUE"""),10)</f>
        <v>10</v>
      </c>
      <c r="D1311" s="199" t="str">
        <f ca="1">IFERROR(__xludf.DUMMYFUNCTION("""COMPUTED_VALUE"""),"B")</f>
        <v>B</v>
      </c>
      <c r="E1311" s="202" t="str">
        <f ca="1">IFERROR(__xludf.DUMMYFUNCTION("""COMPUTED_VALUE"""),"F")</f>
        <v>F</v>
      </c>
      <c r="F1311" s="202" t="str">
        <f ca="1">IFERROR(__xludf.DUMMYFUNCTION("""COMPUTED_VALUE"""),"J")</f>
        <v>J</v>
      </c>
      <c r="G1311" s="202">
        <f ca="1">IFERROR(__xludf.DUMMYFUNCTION("""COMPUTED_VALUE"""),2)</f>
        <v>2</v>
      </c>
      <c r="H1311" s="208"/>
      <c r="I1311" s="208"/>
      <c r="J1311" s="208"/>
      <c r="K1311" s="208"/>
      <c r="L1311" s="208" t="str">
        <v/>
      </c>
      <c r="M1311" s="208" t="str">
        <v/>
      </c>
    </row>
    <row r="1312" spans="1:13" ht="14.4">
      <c r="A1312" s="199" t="str">
        <f ca="1">IFERROR(__xludf.DUMMYFUNCTION("""COMPUTED_VALUE"""),"MHC")</f>
        <v>MHC</v>
      </c>
      <c r="B1312" s="207" t="str">
        <f ca="1">IFERROR(__xludf.DUMMYFUNCTION("""COMPUTED_VALUE"""),"Kolton Kurtzhals")</f>
        <v>Kolton Kurtzhals</v>
      </c>
      <c r="C1312" s="199">
        <f ca="1">IFERROR(__xludf.DUMMYFUNCTION("""COMPUTED_VALUE"""),8)</f>
        <v>8</v>
      </c>
      <c r="D1312" s="199" t="str">
        <f ca="1">IFERROR(__xludf.DUMMYFUNCTION("""COMPUTED_VALUE"""),"B")</f>
        <v>B</v>
      </c>
      <c r="E1312" s="202" t="str">
        <f ca="1">IFERROR(__xludf.DUMMYFUNCTION("""COMPUTED_VALUE"""),"F")</f>
        <v>F</v>
      </c>
      <c r="F1312" s="202" t="str">
        <f ca="1">IFERROR(__xludf.DUMMYFUNCTION("""COMPUTED_VALUE"""),"J")</f>
        <v>J</v>
      </c>
      <c r="G1312" s="202">
        <f ca="1">IFERROR(__xludf.DUMMYFUNCTION("""COMPUTED_VALUE"""),2)</f>
        <v>2</v>
      </c>
      <c r="H1312" s="208"/>
      <c r="I1312" s="208"/>
      <c r="J1312" s="208"/>
      <c r="K1312" s="208"/>
      <c r="L1312" s="208" t="str">
        <v/>
      </c>
      <c r="M1312" s="208" t="str">
        <v/>
      </c>
    </row>
    <row r="1313" spans="1:13" ht="14.4">
      <c r="A1313" s="199" t="str">
        <f ca="1">IFERROR(__xludf.DUMMYFUNCTION("""COMPUTED_VALUE"""),"MHC")</f>
        <v>MHC</v>
      </c>
      <c r="B1313" s="207" t="str">
        <f ca="1">IFERROR(__xludf.DUMMYFUNCTION("""COMPUTED_VALUE"""),"Owen Eustis")</f>
        <v>Owen Eustis</v>
      </c>
      <c r="C1313" s="199">
        <f ca="1">IFERROR(__xludf.DUMMYFUNCTION("""COMPUTED_VALUE"""),7)</f>
        <v>7</v>
      </c>
      <c r="D1313" s="199" t="str">
        <f ca="1">IFERROR(__xludf.DUMMYFUNCTION("""COMPUTED_VALUE"""),"B")</f>
        <v>B</v>
      </c>
      <c r="E1313" s="202" t="str">
        <f ca="1">IFERROR(__xludf.DUMMYFUNCTION("""COMPUTED_VALUE"""),"F")</f>
        <v>F</v>
      </c>
      <c r="F1313" s="202" t="str">
        <f ca="1">IFERROR(__xludf.DUMMYFUNCTION("""COMPUTED_VALUE"""),"J")</f>
        <v>J</v>
      </c>
      <c r="G1313" s="202">
        <f ca="1">IFERROR(__xludf.DUMMYFUNCTION("""COMPUTED_VALUE"""),2)</f>
        <v>2</v>
      </c>
      <c r="H1313" s="206"/>
      <c r="I1313" s="206"/>
      <c r="J1313" s="206"/>
      <c r="K1313" s="206"/>
      <c r="L1313" s="206" t="str">
        <v/>
      </c>
      <c r="M1313" s="206" t="str">
        <v/>
      </c>
    </row>
    <row r="1314" spans="1:13" ht="14.4">
      <c r="A1314" s="199" t="str">
        <f ca="1">IFERROR(__xludf.DUMMYFUNCTION("""COMPUTED_VALUE"""),"MHC")</f>
        <v>MHC</v>
      </c>
      <c r="B1314" s="207" t="str">
        <f ca="1">IFERROR(__xludf.DUMMYFUNCTION("""COMPUTED_VALUE"""),"Sam Carrado")</f>
        <v>Sam Carrado</v>
      </c>
      <c r="C1314" s="199">
        <f ca="1">IFERROR(__xludf.DUMMYFUNCTION("""COMPUTED_VALUE"""),10)</f>
        <v>10</v>
      </c>
      <c r="D1314" s="199" t="str">
        <f ca="1">IFERROR(__xludf.DUMMYFUNCTION("""COMPUTED_VALUE"""),"B")</f>
        <v>B</v>
      </c>
      <c r="E1314" s="202" t="str">
        <f ca="1">IFERROR(__xludf.DUMMYFUNCTION("""COMPUTED_VALUE"""),"F")</f>
        <v>F</v>
      </c>
      <c r="F1314" s="202" t="str">
        <f ca="1">IFERROR(__xludf.DUMMYFUNCTION("""COMPUTED_VALUE"""),"J")</f>
        <v>J</v>
      </c>
      <c r="G1314" s="202">
        <f ca="1">IFERROR(__xludf.DUMMYFUNCTION("""COMPUTED_VALUE"""),2)</f>
        <v>2</v>
      </c>
      <c r="H1314" s="208"/>
      <c r="I1314" s="208">
        <v>45.8</v>
      </c>
      <c r="J1314" s="208"/>
      <c r="K1314" s="208" t="s">
        <v>121</v>
      </c>
      <c r="L1314" s="208" t="str">
        <v xml:space="preserve"> 45.8</v>
      </c>
      <c r="M1314" s="208" t="str">
        <v/>
      </c>
    </row>
    <row r="1315" spans="1:13" ht="14.4">
      <c r="A1315" s="199" t="str">
        <f ca="1">IFERROR(__xludf.DUMMYFUNCTION("""COMPUTED_VALUE"""),"MHC")</f>
        <v>MHC</v>
      </c>
      <c r="B1315" s="207" t="str">
        <f ca="1">IFERROR(__xludf.DUMMYFUNCTION("""COMPUTED_VALUE"""),"Thomas Bergeron")</f>
        <v>Thomas Bergeron</v>
      </c>
      <c r="C1315" s="199">
        <f ca="1">IFERROR(__xludf.DUMMYFUNCTION("""COMPUTED_VALUE"""),10)</f>
        <v>10</v>
      </c>
      <c r="D1315" s="199" t="str">
        <f ca="1">IFERROR(__xludf.DUMMYFUNCTION("""COMPUTED_VALUE"""),"B")</f>
        <v>B</v>
      </c>
      <c r="E1315" s="202" t="str">
        <f ca="1">IFERROR(__xludf.DUMMYFUNCTION("""COMPUTED_VALUE"""),"F")</f>
        <v>F</v>
      </c>
      <c r="F1315" s="202" t="str">
        <f ca="1">IFERROR(__xludf.DUMMYFUNCTION("""COMPUTED_VALUE"""),"J")</f>
        <v>J</v>
      </c>
      <c r="G1315" s="202">
        <f ca="1">IFERROR(__xludf.DUMMYFUNCTION("""COMPUTED_VALUE"""),2)</f>
        <v>2</v>
      </c>
      <c r="H1315" s="206"/>
      <c r="I1315" s="206"/>
      <c r="J1315" s="206"/>
      <c r="K1315" s="206"/>
      <c r="L1315" s="206" t="str">
        <v/>
      </c>
      <c r="M1315" s="206" t="str">
        <v/>
      </c>
    </row>
    <row r="1316" spans="1:13" ht="14.4">
      <c r="A1316" s="199" t="str">
        <f ca="1">IFERROR(__xludf.DUMMYFUNCTION("""COMPUTED_VALUE"""),"MHC")</f>
        <v>MHC</v>
      </c>
      <c r="B1316" s="207" t="str">
        <f ca="1">IFERROR(__xludf.DUMMYFUNCTION("""COMPUTED_VALUE"""),"Zachary Bergeron")</f>
        <v>Zachary Bergeron</v>
      </c>
      <c r="C1316" s="199">
        <f ca="1">IFERROR(__xludf.DUMMYFUNCTION("""COMPUTED_VALUE"""),9)</f>
        <v>9</v>
      </c>
      <c r="D1316" s="199" t="str">
        <f ca="1">IFERROR(__xludf.DUMMYFUNCTION("""COMPUTED_VALUE"""),"B")</f>
        <v>B</v>
      </c>
      <c r="E1316" s="202" t="str">
        <f ca="1">IFERROR(__xludf.DUMMYFUNCTION("""COMPUTED_VALUE"""),"F")</f>
        <v>F</v>
      </c>
      <c r="F1316" s="202" t="str">
        <f ca="1">IFERROR(__xludf.DUMMYFUNCTION("""COMPUTED_VALUE"""),"J")</f>
        <v>J</v>
      </c>
      <c r="G1316" s="202">
        <f ca="1">IFERROR(__xludf.DUMMYFUNCTION("""COMPUTED_VALUE"""),2)</f>
        <v>2</v>
      </c>
      <c r="H1316" s="206"/>
      <c r="I1316" s="206"/>
      <c r="J1316" s="206"/>
      <c r="K1316" s="206"/>
      <c r="L1316" s="206" t="str">
        <v/>
      </c>
      <c r="M1316" s="206" t="str">
        <v/>
      </c>
    </row>
    <row r="1317" spans="1:13" ht="14.4">
      <c r="A1317" s="199" t="str">
        <f ca="1">IFERROR(__xludf.DUMMYFUNCTION("""COMPUTED_VALUE"""),"MHC")</f>
        <v>MHC</v>
      </c>
      <c r="B1317" s="207" t="str">
        <f ca="1">IFERROR(__xludf.DUMMYFUNCTION("""COMPUTED_VALUE"""),"AJ Keane")</f>
        <v>AJ Keane</v>
      </c>
      <c r="C1317" s="199">
        <f ca="1">IFERROR(__xludf.DUMMYFUNCTION("""COMPUTED_VALUE"""),7)</f>
        <v>7</v>
      </c>
      <c r="D1317" s="199" t="str">
        <f ca="1">IFERROR(__xludf.DUMMYFUNCTION("""COMPUTED_VALUE"""),"G")</f>
        <v>G</v>
      </c>
      <c r="E1317" s="202" t="str">
        <f ca="1">IFERROR(__xludf.DUMMYFUNCTION("""COMPUTED_VALUE"""),"F")</f>
        <v>F</v>
      </c>
      <c r="F1317" s="202" t="str">
        <f ca="1">IFERROR(__xludf.DUMMYFUNCTION("""COMPUTED_VALUE"""),"J")</f>
        <v>J</v>
      </c>
      <c r="G1317" s="202">
        <f ca="1">IFERROR(__xludf.DUMMYFUNCTION("""COMPUTED_VALUE"""),2)</f>
        <v>2</v>
      </c>
      <c r="H1317" s="208">
        <v>35</v>
      </c>
      <c r="I1317" s="208"/>
      <c r="J1317" s="208" t="s">
        <v>121</v>
      </c>
      <c r="K1317" s="208"/>
      <c r="L1317" s="208" t="str">
        <v xml:space="preserve"> 35</v>
      </c>
      <c r="M1317" s="208" t="str">
        <v/>
      </c>
    </row>
    <row r="1318" spans="1:13" ht="14.4">
      <c r="A1318" s="199" t="str">
        <f ca="1">IFERROR(__xludf.DUMMYFUNCTION("""COMPUTED_VALUE"""),"MHC")</f>
        <v>MHC</v>
      </c>
      <c r="B1318" s="207" t="str">
        <f ca="1">IFERROR(__xludf.DUMMYFUNCTION("""COMPUTED_VALUE"""),"Delaney Payne")</f>
        <v>Delaney Payne</v>
      </c>
      <c r="C1318" s="199">
        <f ca="1">IFERROR(__xludf.DUMMYFUNCTION("""COMPUTED_VALUE"""),8)</f>
        <v>8</v>
      </c>
      <c r="D1318" s="199" t="str">
        <f ca="1">IFERROR(__xludf.DUMMYFUNCTION("""COMPUTED_VALUE"""),"G")</f>
        <v>G</v>
      </c>
      <c r="E1318" s="202" t="str">
        <f ca="1">IFERROR(__xludf.DUMMYFUNCTION("""COMPUTED_VALUE"""),"F")</f>
        <v>F</v>
      </c>
      <c r="F1318" s="202" t="str">
        <f ca="1">IFERROR(__xludf.DUMMYFUNCTION("""COMPUTED_VALUE"""),"J")</f>
        <v>J</v>
      </c>
      <c r="G1318" s="202">
        <f ca="1">IFERROR(__xludf.DUMMYFUNCTION("""COMPUTED_VALUE"""),2)</f>
        <v>2</v>
      </c>
      <c r="H1318" s="206"/>
      <c r="I1318" s="206"/>
      <c r="J1318" s="206"/>
      <c r="K1318" s="206"/>
      <c r="L1318" s="206" t="str">
        <v/>
      </c>
      <c r="M1318" s="206" t="str">
        <v/>
      </c>
    </row>
    <row r="1319" spans="1:13" ht="14.4">
      <c r="A1319" s="199" t="str">
        <f ca="1">IFERROR(__xludf.DUMMYFUNCTION("""COMPUTED_VALUE"""),"MHC")</f>
        <v>MHC</v>
      </c>
      <c r="B1319" s="207" t="str">
        <f ca="1">IFERROR(__xludf.DUMMYFUNCTION("""COMPUTED_VALUE"""),"Faye Bias")</f>
        <v>Faye Bias</v>
      </c>
      <c r="C1319" s="199">
        <f ca="1">IFERROR(__xludf.DUMMYFUNCTION("""COMPUTED_VALUE"""),6)</f>
        <v>6</v>
      </c>
      <c r="D1319" s="199" t="str">
        <f ca="1">IFERROR(__xludf.DUMMYFUNCTION("""COMPUTED_VALUE"""),"G")</f>
        <v>G</v>
      </c>
      <c r="E1319" s="202" t="str">
        <f ca="1">IFERROR(__xludf.DUMMYFUNCTION("""COMPUTED_VALUE"""),"F")</f>
        <v>F</v>
      </c>
      <c r="F1319" s="202" t="str">
        <f ca="1">IFERROR(__xludf.DUMMYFUNCTION("""COMPUTED_VALUE"""),"J")</f>
        <v>J</v>
      </c>
      <c r="G1319" s="202">
        <f ca="1">IFERROR(__xludf.DUMMYFUNCTION("""COMPUTED_VALUE"""),2)</f>
        <v>2</v>
      </c>
      <c r="H1319" s="208"/>
      <c r="I1319" s="208"/>
      <c r="J1319" s="208"/>
      <c r="K1319" s="208"/>
      <c r="L1319" s="208" t="str">
        <v/>
      </c>
      <c r="M1319" s="208" t="str">
        <v/>
      </c>
    </row>
    <row r="1320" spans="1:13" ht="14.4">
      <c r="A1320" s="199" t="str">
        <f ca="1">IFERROR(__xludf.DUMMYFUNCTION("""COMPUTED_VALUE"""),"MHC")</f>
        <v>MHC</v>
      </c>
      <c r="B1320" s="207" t="str">
        <f ca="1">IFERROR(__xludf.DUMMYFUNCTION("""COMPUTED_VALUE"""),"Macy Bias")</f>
        <v>Macy Bias</v>
      </c>
      <c r="C1320" s="199">
        <f ca="1">IFERROR(__xludf.DUMMYFUNCTION("""COMPUTED_VALUE"""),8)</f>
        <v>8</v>
      </c>
      <c r="D1320" s="199" t="str">
        <f ca="1">IFERROR(__xludf.DUMMYFUNCTION("""COMPUTED_VALUE"""),"G")</f>
        <v>G</v>
      </c>
      <c r="E1320" s="202" t="str">
        <f ca="1">IFERROR(__xludf.DUMMYFUNCTION("""COMPUTED_VALUE"""),"F")</f>
        <v>F</v>
      </c>
      <c r="F1320" s="202" t="str">
        <f ca="1">IFERROR(__xludf.DUMMYFUNCTION("""COMPUTED_VALUE"""),"J")</f>
        <v>J</v>
      </c>
      <c r="G1320" s="202">
        <f ca="1">IFERROR(__xludf.DUMMYFUNCTION("""COMPUTED_VALUE"""),2)</f>
        <v>2</v>
      </c>
      <c r="H1320" s="206">
        <v>24.85</v>
      </c>
      <c r="I1320" s="206"/>
      <c r="J1320" s="206" t="s">
        <v>121</v>
      </c>
      <c r="K1320" s="206"/>
      <c r="L1320" s="206" t="str">
        <v xml:space="preserve"> 24.85</v>
      </c>
      <c r="M1320" s="206" t="str">
        <v/>
      </c>
    </row>
    <row r="1321" spans="1:13" ht="14.4">
      <c r="A1321" s="199" t="str">
        <f ca="1">IFERROR(__xludf.DUMMYFUNCTION("""COMPUTED_VALUE"""),"MHC")</f>
        <v>MHC</v>
      </c>
      <c r="B1321" s="207" t="str">
        <f ca="1">IFERROR(__xludf.DUMMYFUNCTION("""COMPUTED_VALUE"""),"Rachel MacDonald")</f>
        <v>Rachel MacDonald</v>
      </c>
      <c r="C1321" s="199">
        <f ca="1">IFERROR(__xludf.DUMMYFUNCTION("""COMPUTED_VALUE"""),9)</f>
        <v>9</v>
      </c>
      <c r="D1321" s="199" t="str">
        <f ca="1">IFERROR(__xludf.DUMMYFUNCTION("""COMPUTED_VALUE"""),"G")</f>
        <v>G</v>
      </c>
      <c r="E1321" s="202" t="str">
        <f ca="1">IFERROR(__xludf.DUMMYFUNCTION("""COMPUTED_VALUE"""),"F")</f>
        <v>F</v>
      </c>
      <c r="F1321" s="202" t="str">
        <f ca="1">IFERROR(__xludf.DUMMYFUNCTION("""COMPUTED_VALUE"""),"J")</f>
        <v>J</v>
      </c>
      <c r="G1321" s="202">
        <f ca="1">IFERROR(__xludf.DUMMYFUNCTION("""COMPUTED_VALUE"""),2)</f>
        <v>2</v>
      </c>
      <c r="H1321" s="208">
        <v>37.1</v>
      </c>
      <c r="I1321" s="208"/>
      <c r="J1321" s="208" t="s">
        <v>121</v>
      </c>
      <c r="K1321" s="208"/>
      <c r="L1321" s="208" t="str">
        <v xml:space="preserve"> 37.1</v>
      </c>
      <c r="M1321" s="208" t="str">
        <v/>
      </c>
    </row>
    <row r="1322" spans="1:13" ht="14.4">
      <c r="A1322" s="199" t="str">
        <f ca="1">IFERROR(__xludf.DUMMYFUNCTION("""COMPUTED_VALUE"""),"MHC")</f>
        <v>MHC</v>
      </c>
      <c r="B1322" s="207" t="str">
        <f ca="1">IFERROR(__xludf.DUMMYFUNCTION("""COMPUTED_VALUE"""),"Reagan Marm")</f>
        <v>Reagan Marm</v>
      </c>
      <c r="C1322" s="199">
        <f ca="1">IFERROR(__xludf.DUMMYFUNCTION("""COMPUTED_VALUE"""),9)</f>
        <v>9</v>
      </c>
      <c r="D1322" s="199" t="str">
        <f ca="1">IFERROR(__xludf.DUMMYFUNCTION("""COMPUTED_VALUE"""),"G")</f>
        <v>G</v>
      </c>
      <c r="E1322" s="202" t="str">
        <f ca="1">IFERROR(__xludf.DUMMYFUNCTION("""COMPUTED_VALUE"""),"F")</f>
        <v>F</v>
      </c>
      <c r="F1322" s="202" t="str">
        <f ca="1">IFERROR(__xludf.DUMMYFUNCTION("""COMPUTED_VALUE"""),"J")</f>
        <v>J</v>
      </c>
      <c r="G1322" s="202">
        <f ca="1">IFERROR(__xludf.DUMMYFUNCTION("""COMPUTED_VALUE"""),2)</f>
        <v>2</v>
      </c>
      <c r="H1322" s="208"/>
      <c r="I1322" s="208"/>
      <c r="J1322" s="208"/>
      <c r="K1322" s="208"/>
      <c r="L1322" s="208" t="str">
        <v/>
      </c>
      <c r="M1322" s="208" t="str">
        <v/>
      </c>
    </row>
    <row r="1323" spans="1:13" ht="14.4">
      <c r="A1323" s="199" t="str">
        <f ca="1">IFERROR(__xludf.DUMMYFUNCTION("""COMPUTED_VALUE"""),"MHC")</f>
        <v>MHC</v>
      </c>
      <c r="B1323" s="207" t="str">
        <f ca="1">IFERROR(__xludf.DUMMYFUNCTION("""COMPUTED_VALUE"""),"Jem Morgan")</f>
        <v>Jem Morgan</v>
      </c>
      <c r="C1323" s="199">
        <f ca="1">IFERROR(__xludf.DUMMYFUNCTION("""COMPUTED_VALUE"""),14)</f>
        <v>14</v>
      </c>
      <c r="D1323" s="199" t="str">
        <f ca="1">IFERROR(__xludf.DUMMYFUNCTION("""COMPUTED_VALUE"""),"B")</f>
        <v>B</v>
      </c>
      <c r="E1323" s="202" t="str">
        <f ca="1">IFERROR(__xludf.DUMMYFUNCTION("""COMPUTED_VALUE"""),"I")</f>
        <v>I</v>
      </c>
      <c r="F1323" s="202" t="str">
        <f ca="1">IFERROR(__xludf.DUMMYFUNCTION("""COMPUTED_VALUE"""),"S")</f>
        <v>S</v>
      </c>
      <c r="G1323" s="202">
        <f ca="1">IFERROR(__xludf.DUMMYFUNCTION("""COMPUTED_VALUE"""),2)</f>
        <v>2</v>
      </c>
      <c r="H1323" s="208"/>
      <c r="I1323" s="208">
        <v>86.15</v>
      </c>
      <c r="J1323" s="208"/>
      <c r="K1323" s="208" t="s">
        <v>121</v>
      </c>
      <c r="L1323" s="208" t="str">
        <v xml:space="preserve"> 86.15</v>
      </c>
      <c r="M1323" s="208" t="str">
        <v/>
      </c>
    </row>
    <row r="1324" spans="1:13" ht="14.4">
      <c r="A1324" s="199" t="str">
        <f ca="1">IFERROR(__xludf.DUMMYFUNCTION("""COMPUTED_VALUE"""),"MHC")</f>
        <v>MHC</v>
      </c>
      <c r="B1324" s="207" t="str">
        <f ca="1">IFERROR(__xludf.DUMMYFUNCTION("""COMPUTED_VALUE"""),"Elise Wendy")</f>
        <v>Elise Wendy</v>
      </c>
      <c r="C1324" s="199">
        <f ca="1">IFERROR(__xludf.DUMMYFUNCTION("""COMPUTED_VALUE"""),14)</f>
        <v>14</v>
      </c>
      <c r="D1324" s="199" t="str">
        <f ca="1">IFERROR(__xludf.DUMMYFUNCTION("""COMPUTED_VALUE"""),"G")</f>
        <v>G</v>
      </c>
      <c r="E1324" s="202" t="str">
        <f ca="1">IFERROR(__xludf.DUMMYFUNCTION("""COMPUTED_VALUE"""),"I")</f>
        <v>I</v>
      </c>
      <c r="F1324" s="202" t="str">
        <f ca="1">IFERROR(__xludf.DUMMYFUNCTION("""COMPUTED_VALUE"""),"S")</f>
        <v>S</v>
      </c>
      <c r="G1324" s="202">
        <f ca="1">IFERROR(__xludf.DUMMYFUNCTION("""COMPUTED_VALUE"""),2)</f>
        <v>2</v>
      </c>
      <c r="H1324" s="208">
        <v>84.75</v>
      </c>
      <c r="I1324" s="208"/>
      <c r="J1324" s="208" t="s">
        <v>121</v>
      </c>
      <c r="K1324" s="208"/>
      <c r="L1324" s="208" t="str">
        <v xml:space="preserve"> 84.75</v>
      </c>
      <c r="M1324" s="208" t="str">
        <v/>
      </c>
    </row>
    <row r="1325" spans="1:13" ht="14.4">
      <c r="A1325" s="199" t="str">
        <f ca="1">IFERROR(__xludf.DUMMYFUNCTION("""COMPUTED_VALUE"""),"MHC")</f>
        <v>MHC</v>
      </c>
      <c r="B1325" s="207" t="str">
        <f ca="1">IFERROR(__xludf.DUMMYFUNCTION("""COMPUTED_VALUE"""),"Hillary Keane")</f>
        <v>Hillary Keane</v>
      </c>
      <c r="C1325" s="199">
        <f ca="1">IFERROR(__xludf.DUMMYFUNCTION("""COMPUTED_VALUE"""),13)</f>
        <v>13</v>
      </c>
      <c r="D1325" s="199" t="str">
        <f ca="1">IFERROR(__xludf.DUMMYFUNCTION("""COMPUTED_VALUE"""),"G")</f>
        <v>G</v>
      </c>
      <c r="E1325" s="202" t="str">
        <f ca="1">IFERROR(__xludf.DUMMYFUNCTION("""COMPUTED_VALUE"""),"I")</f>
        <v>I</v>
      </c>
      <c r="F1325" s="202" t="str">
        <f ca="1">IFERROR(__xludf.DUMMYFUNCTION("""COMPUTED_VALUE"""),"S")</f>
        <v>S</v>
      </c>
      <c r="G1325" s="202">
        <f ca="1">IFERROR(__xludf.DUMMYFUNCTION("""COMPUTED_VALUE"""),2)</f>
        <v>2</v>
      </c>
      <c r="H1325" s="206"/>
      <c r="I1325" s="206"/>
      <c r="J1325" s="206"/>
      <c r="K1325" s="206"/>
      <c r="L1325" s="206" t="str">
        <v/>
      </c>
      <c r="M1325" s="206" t="str">
        <v/>
      </c>
    </row>
    <row r="1326" spans="1:13" ht="14.4">
      <c r="A1326" s="199" t="str">
        <f ca="1">IFERROR(__xludf.DUMMYFUNCTION("""COMPUTED_VALUE"""),"MHC")</f>
        <v>MHC</v>
      </c>
      <c r="B1326" s="207" t="str">
        <f ca="1">IFERROR(__xludf.DUMMYFUNCTION("""COMPUTED_VALUE"""),"Lacey Lussier")</f>
        <v>Lacey Lussier</v>
      </c>
      <c r="C1326" s="199">
        <f ca="1">IFERROR(__xludf.DUMMYFUNCTION("""COMPUTED_VALUE"""),13)</f>
        <v>13</v>
      </c>
      <c r="D1326" s="199" t="str">
        <f ca="1">IFERROR(__xludf.DUMMYFUNCTION("""COMPUTED_VALUE"""),"G")</f>
        <v>G</v>
      </c>
      <c r="E1326" s="202" t="str">
        <f ca="1">IFERROR(__xludf.DUMMYFUNCTION("""COMPUTED_VALUE"""),"I")</f>
        <v>I</v>
      </c>
      <c r="F1326" s="202" t="str">
        <f ca="1">IFERROR(__xludf.DUMMYFUNCTION("""COMPUTED_VALUE"""),"S")</f>
        <v>S</v>
      </c>
      <c r="G1326" s="202">
        <f ca="1">IFERROR(__xludf.DUMMYFUNCTION("""COMPUTED_VALUE"""),2)</f>
        <v>2</v>
      </c>
      <c r="H1326" s="208">
        <v>89.6</v>
      </c>
      <c r="I1326" s="208"/>
      <c r="J1326" s="208" t="s">
        <v>121</v>
      </c>
      <c r="K1326" s="208"/>
      <c r="L1326" s="208" t="str">
        <v xml:space="preserve"> 89.6</v>
      </c>
      <c r="M1326" s="208" t="str">
        <v/>
      </c>
    </row>
    <row r="1327" spans="1:13" ht="14.4">
      <c r="A1327" s="199" t="str">
        <f ca="1">IFERROR(__xludf.DUMMYFUNCTION("""COMPUTED_VALUE"""),"MHC")</f>
        <v>MHC</v>
      </c>
      <c r="B1327" s="207" t="str">
        <f ca="1">IFERROR(__xludf.DUMMYFUNCTION("""COMPUTED_VALUE"""),"Tabitha Thomas")</f>
        <v>Tabitha Thomas</v>
      </c>
      <c r="C1327" s="199">
        <f ca="1">IFERROR(__xludf.DUMMYFUNCTION("""COMPUTED_VALUE"""),14)</f>
        <v>14</v>
      </c>
      <c r="D1327" s="199" t="str">
        <f ca="1">IFERROR(__xludf.DUMMYFUNCTION("""COMPUTED_VALUE"""),"G")</f>
        <v>G</v>
      </c>
      <c r="E1327" s="202" t="str">
        <f ca="1">IFERROR(__xludf.DUMMYFUNCTION("""COMPUTED_VALUE"""),"I")</f>
        <v>I</v>
      </c>
      <c r="F1327" s="202" t="str">
        <f ca="1">IFERROR(__xludf.DUMMYFUNCTION("""COMPUTED_VALUE"""),"S")</f>
        <v>S</v>
      </c>
      <c r="G1327" s="202">
        <f ca="1">IFERROR(__xludf.DUMMYFUNCTION("""COMPUTED_VALUE"""),2)</f>
        <v>2</v>
      </c>
      <c r="H1327" s="206">
        <v>63.05</v>
      </c>
      <c r="I1327" s="206"/>
      <c r="J1327" s="206" t="s">
        <v>121</v>
      </c>
      <c r="K1327" s="206"/>
      <c r="L1327" s="206" t="str">
        <v xml:space="preserve"> 63.05</v>
      </c>
      <c r="M1327" s="206" t="str">
        <v/>
      </c>
    </row>
    <row r="1328" spans="1:13" ht="14.4">
      <c r="A1328" s="199" t="str">
        <f ca="1">IFERROR(__xludf.DUMMYFUNCTION("""COMPUTED_VALUE"""),"MHC")</f>
        <v>MHC</v>
      </c>
      <c r="B1328" s="207" t="str">
        <f ca="1">IFERROR(__xludf.DUMMYFUNCTION("""COMPUTED_VALUE"""),"Barnaby Lant")</f>
        <v>Barnaby Lant</v>
      </c>
      <c r="C1328" s="199">
        <f ca="1">IFERROR(__xludf.DUMMYFUNCTION("""COMPUTED_VALUE"""),12)</f>
        <v>12</v>
      </c>
      <c r="D1328" s="199" t="str">
        <f ca="1">IFERROR(__xludf.DUMMYFUNCTION("""COMPUTED_VALUE"""),"B")</f>
        <v>B</v>
      </c>
      <c r="E1328" s="202" t="str">
        <f ca="1">IFERROR(__xludf.DUMMYFUNCTION("""COMPUTED_VALUE"""),"J")</f>
        <v>J</v>
      </c>
      <c r="F1328" s="202" t="str">
        <f ca="1">IFERROR(__xludf.DUMMYFUNCTION("""COMPUTED_VALUE"""),"I")</f>
        <v>I</v>
      </c>
      <c r="G1328" s="202">
        <f ca="1">IFERROR(__xludf.DUMMYFUNCTION("""COMPUTED_VALUE"""),2)</f>
        <v>2</v>
      </c>
      <c r="H1328" s="206"/>
      <c r="I1328" s="206">
        <v>78.400000000000006</v>
      </c>
      <c r="J1328" s="206"/>
      <c r="K1328" s="206" t="s">
        <v>121</v>
      </c>
      <c r="L1328" s="206" t="str">
        <v xml:space="preserve"> 78.4</v>
      </c>
      <c r="M1328" s="206" t="str">
        <v/>
      </c>
    </row>
    <row r="1329" spans="1:13" ht="14.4">
      <c r="A1329" s="199" t="str">
        <f ca="1">IFERROR(__xludf.DUMMYFUNCTION("""COMPUTED_VALUE"""),"MHC")</f>
        <v>MHC</v>
      </c>
      <c r="B1329" s="207" t="str">
        <f ca="1">IFERROR(__xludf.DUMMYFUNCTION("""COMPUTED_VALUE"""),"Drake Karsadi")</f>
        <v>Drake Karsadi</v>
      </c>
      <c r="C1329" s="199">
        <f ca="1">IFERROR(__xludf.DUMMYFUNCTION("""COMPUTED_VALUE"""),11)</f>
        <v>11</v>
      </c>
      <c r="D1329" s="199" t="str">
        <f ca="1">IFERROR(__xludf.DUMMYFUNCTION("""COMPUTED_VALUE"""),"B")</f>
        <v>B</v>
      </c>
      <c r="E1329" s="202" t="str">
        <f ca="1">IFERROR(__xludf.DUMMYFUNCTION("""COMPUTED_VALUE"""),"J")</f>
        <v>J</v>
      </c>
      <c r="F1329" s="202" t="str">
        <f ca="1">IFERROR(__xludf.DUMMYFUNCTION("""COMPUTED_VALUE"""),"I")</f>
        <v>I</v>
      </c>
      <c r="G1329" s="202">
        <f ca="1">IFERROR(__xludf.DUMMYFUNCTION("""COMPUTED_VALUE"""),2)</f>
        <v>2</v>
      </c>
      <c r="H1329" s="206"/>
      <c r="I1329" s="206">
        <v>40.799999999999997</v>
      </c>
      <c r="J1329" s="206"/>
      <c r="K1329" s="206" t="s">
        <v>121</v>
      </c>
      <c r="L1329" s="206" t="str">
        <v xml:space="preserve"> 40.8</v>
      </c>
      <c r="M1329" s="206" t="str">
        <v/>
      </c>
    </row>
    <row r="1330" spans="1:13" ht="14.4">
      <c r="A1330" s="199" t="str">
        <f ca="1">IFERROR(__xludf.DUMMYFUNCTION("""COMPUTED_VALUE"""),"MHC")</f>
        <v>MHC</v>
      </c>
      <c r="B1330" s="207" t="str">
        <f ca="1">IFERROR(__xludf.DUMMYFUNCTION("""COMPUTED_VALUE"""),"Owen Thomas")</f>
        <v>Owen Thomas</v>
      </c>
      <c r="C1330" s="199">
        <f ca="1">IFERROR(__xludf.DUMMYFUNCTION("""COMPUTED_VALUE"""),11)</f>
        <v>11</v>
      </c>
      <c r="D1330" s="199" t="str">
        <f ca="1">IFERROR(__xludf.DUMMYFUNCTION("""COMPUTED_VALUE"""),"B")</f>
        <v>B</v>
      </c>
      <c r="E1330" s="202" t="str">
        <f ca="1">IFERROR(__xludf.DUMMYFUNCTION("""COMPUTED_VALUE"""),"J")</f>
        <v>J</v>
      </c>
      <c r="F1330" s="202" t="str">
        <f ca="1">IFERROR(__xludf.DUMMYFUNCTION("""COMPUTED_VALUE"""),"I")</f>
        <v>I</v>
      </c>
      <c r="G1330" s="202">
        <f ca="1">IFERROR(__xludf.DUMMYFUNCTION("""COMPUTED_VALUE"""),2)</f>
        <v>2</v>
      </c>
      <c r="H1330" s="208"/>
      <c r="I1330" s="208">
        <v>83.55</v>
      </c>
      <c r="J1330" s="208"/>
      <c r="K1330" s="208" t="s">
        <v>121</v>
      </c>
      <c r="L1330" s="208" t="str">
        <v xml:space="preserve"> 83.55</v>
      </c>
      <c r="M1330" s="208" t="str">
        <v/>
      </c>
    </row>
    <row r="1331" spans="1:13" ht="14.4">
      <c r="A1331" s="199" t="str">
        <f ca="1">IFERROR(__xludf.DUMMYFUNCTION("""COMPUTED_VALUE"""),"MHC")</f>
        <v>MHC</v>
      </c>
      <c r="B1331" s="207" t="str">
        <f ca="1">IFERROR(__xludf.DUMMYFUNCTION("""COMPUTED_VALUE"""),"Allison Duffield")</f>
        <v>Allison Duffield</v>
      </c>
      <c r="C1331" s="199">
        <f ca="1">IFERROR(__xludf.DUMMYFUNCTION("""COMPUTED_VALUE"""),12)</f>
        <v>12</v>
      </c>
      <c r="D1331" s="199" t="str">
        <f ca="1">IFERROR(__xludf.DUMMYFUNCTION("""COMPUTED_VALUE"""),"G")</f>
        <v>G</v>
      </c>
      <c r="E1331" s="202" t="str">
        <f ca="1">IFERROR(__xludf.DUMMYFUNCTION("""COMPUTED_VALUE"""),"J")</f>
        <v>J</v>
      </c>
      <c r="F1331" s="202" t="str">
        <f ca="1">IFERROR(__xludf.DUMMYFUNCTION("""COMPUTED_VALUE"""),"I")</f>
        <v>I</v>
      </c>
      <c r="G1331" s="202">
        <f ca="1">IFERROR(__xludf.DUMMYFUNCTION("""COMPUTED_VALUE"""),2)</f>
        <v>2</v>
      </c>
      <c r="H1331" s="206">
        <v>64.099999999999994</v>
      </c>
      <c r="I1331" s="206"/>
      <c r="J1331" s="206" t="s">
        <v>121</v>
      </c>
      <c r="K1331" s="206"/>
      <c r="L1331" s="206" t="str">
        <v xml:space="preserve"> 64.1</v>
      </c>
      <c r="M1331" s="206" t="str">
        <v/>
      </c>
    </row>
    <row r="1332" spans="1:13" ht="14.4">
      <c r="A1332" s="199" t="str">
        <f ca="1">IFERROR(__xludf.DUMMYFUNCTION("""COMPUTED_VALUE"""),"MHC")</f>
        <v>MHC</v>
      </c>
      <c r="B1332" s="207" t="str">
        <f ca="1">IFERROR(__xludf.DUMMYFUNCTION("""COMPUTED_VALUE"""),"Caitlin Christensen")</f>
        <v>Caitlin Christensen</v>
      </c>
      <c r="C1332" s="199">
        <f ca="1">IFERROR(__xludf.DUMMYFUNCTION("""COMPUTED_VALUE"""),11)</f>
        <v>11</v>
      </c>
      <c r="D1332" s="199" t="str">
        <f ca="1">IFERROR(__xludf.DUMMYFUNCTION("""COMPUTED_VALUE"""),"G")</f>
        <v>G</v>
      </c>
      <c r="E1332" s="202" t="str">
        <f ca="1">IFERROR(__xludf.DUMMYFUNCTION("""COMPUTED_VALUE"""),"J")</f>
        <v>J</v>
      </c>
      <c r="F1332" s="202" t="str">
        <f ca="1">IFERROR(__xludf.DUMMYFUNCTION("""COMPUTED_VALUE"""),"I")</f>
        <v>I</v>
      </c>
      <c r="G1332" s="202">
        <f ca="1">IFERROR(__xludf.DUMMYFUNCTION("""COMPUTED_VALUE"""),2)</f>
        <v>2</v>
      </c>
      <c r="H1332" s="208"/>
      <c r="I1332" s="208"/>
      <c r="J1332" s="208"/>
      <c r="K1332" s="208"/>
      <c r="L1332" s="208" t="str">
        <v/>
      </c>
      <c r="M1332" s="208" t="str">
        <v/>
      </c>
    </row>
    <row r="1333" spans="1:13" ht="14.4">
      <c r="A1333" s="199" t="str">
        <f ca="1">IFERROR(__xludf.DUMMYFUNCTION("""COMPUTED_VALUE"""),"MHC")</f>
        <v>MHC</v>
      </c>
      <c r="B1333" s="207" t="str">
        <f ca="1">IFERROR(__xludf.DUMMYFUNCTION("""COMPUTED_VALUE"""),"Isabella Roca")</f>
        <v>Isabella Roca</v>
      </c>
      <c r="C1333" s="199">
        <f ca="1">IFERROR(__xludf.DUMMYFUNCTION("""COMPUTED_VALUE"""),12)</f>
        <v>12</v>
      </c>
      <c r="D1333" s="199" t="str">
        <f ca="1">IFERROR(__xludf.DUMMYFUNCTION("""COMPUTED_VALUE"""),"G")</f>
        <v>G</v>
      </c>
      <c r="E1333" s="202" t="str">
        <f ca="1">IFERROR(__xludf.DUMMYFUNCTION("""COMPUTED_VALUE"""),"J")</f>
        <v>J</v>
      </c>
      <c r="F1333" s="202" t="str">
        <f ca="1">IFERROR(__xludf.DUMMYFUNCTION("""COMPUTED_VALUE"""),"I")</f>
        <v>I</v>
      </c>
      <c r="G1333" s="202">
        <f ca="1">IFERROR(__xludf.DUMMYFUNCTION("""COMPUTED_VALUE"""),2)</f>
        <v>2</v>
      </c>
      <c r="H1333" s="208">
        <v>89.1</v>
      </c>
      <c r="I1333" s="208"/>
      <c r="J1333" s="208" t="s">
        <v>121</v>
      </c>
      <c r="K1333" s="208"/>
      <c r="L1333" s="208" t="str">
        <v xml:space="preserve"> 89.1</v>
      </c>
      <c r="M1333" s="208" t="str">
        <v/>
      </c>
    </row>
    <row r="1334" spans="1:13" ht="14.4">
      <c r="A1334" s="199" t="str">
        <f ca="1">IFERROR(__xludf.DUMMYFUNCTION("""COMPUTED_VALUE"""),"MHC")</f>
        <v>MHC</v>
      </c>
      <c r="B1334" s="207" t="str">
        <f ca="1">IFERROR(__xludf.DUMMYFUNCTION("""COMPUTED_VALUE"""),"Lillian MacDonald")</f>
        <v>Lillian MacDonald</v>
      </c>
      <c r="C1334" s="199">
        <f ca="1">IFERROR(__xludf.DUMMYFUNCTION("""COMPUTED_VALUE"""),12)</f>
        <v>12</v>
      </c>
      <c r="D1334" s="199" t="str">
        <f ca="1">IFERROR(__xludf.DUMMYFUNCTION("""COMPUTED_VALUE"""),"G")</f>
        <v>G</v>
      </c>
      <c r="E1334" s="202" t="str">
        <f ca="1">IFERROR(__xludf.DUMMYFUNCTION("""COMPUTED_VALUE"""),"J")</f>
        <v>J</v>
      </c>
      <c r="F1334" s="202" t="str">
        <f ca="1">IFERROR(__xludf.DUMMYFUNCTION("""COMPUTED_VALUE"""),"I")</f>
        <v>I</v>
      </c>
      <c r="G1334" s="202">
        <f ca="1">IFERROR(__xludf.DUMMYFUNCTION("""COMPUTED_VALUE"""),2)</f>
        <v>2</v>
      </c>
      <c r="H1334" s="208"/>
      <c r="I1334" s="208"/>
      <c r="J1334" s="208"/>
      <c r="K1334" s="208"/>
      <c r="L1334" s="208" t="str">
        <v/>
      </c>
      <c r="M1334" s="208" t="str">
        <v/>
      </c>
    </row>
    <row r="1335" spans="1:13" ht="14.4">
      <c r="A1335" s="199" t="str">
        <f ca="1">IFERROR(__xludf.DUMMYFUNCTION("""COMPUTED_VALUE"""),"MHC")</f>
        <v>MHC</v>
      </c>
      <c r="B1335" s="207" t="str">
        <f ca="1">IFERROR(__xludf.DUMMYFUNCTION("""COMPUTED_VALUE"""),"Remington Hall")</f>
        <v>Remington Hall</v>
      </c>
      <c r="C1335" s="199">
        <f ca="1">IFERROR(__xludf.DUMMYFUNCTION("""COMPUTED_VALUE"""),11)</f>
        <v>11</v>
      </c>
      <c r="D1335" s="199" t="str">
        <f ca="1">IFERROR(__xludf.DUMMYFUNCTION("""COMPUTED_VALUE"""),"G")</f>
        <v>G</v>
      </c>
      <c r="E1335" s="202" t="str">
        <f ca="1">IFERROR(__xludf.DUMMYFUNCTION("""COMPUTED_VALUE"""),"J")</f>
        <v>J</v>
      </c>
      <c r="F1335" s="202" t="str">
        <f ca="1">IFERROR(__xludf.DUMMYFUNCTION("""COMPUTED_VALUE"""),"I")</f>
        <v>I</v>
      </c>
      <c r="G1335" s="202">
        <f ca="1">IFERROR(__xludf.DUMMYFUNCTION("""COMPUTED_VALUE"""),2)</f>
        <v>2</v>
      </c>
      <c r="H1335" s="208"/>
      <c r="I1335" s="208"/>
      <c r="J1335" s="208"/>
      <c r="K1335" s="208"/>
      <c r="L1335" s="208" t="str">
        <v/>
      </c>
      <c r="M1335" s="208" t="str">
        <v/>
      </c>
    </row>
    <row r="1336" spans="1:13" ht="14.4">
      <c r="A1336" s="199" t="str">
        <f ca="1">IFERROR(__xludf.DUMMYFUNCTION("""COMPUTED_VALUE"""),"MHC")</f>
        <v>MHC</v>
      </c>
      <c r="B1336" s="207" t="str">
        <f ca="1">IFERROR(__xludf.DUMMYFUNCTION("""COMPUTED_VALUE"""),"Tabby Fulmer")</f>
        <v>Tabby Fulmer</v>
      </c>
      <c r="C1336" s="199">
        <f ca="1">IFERROR(__xludf.DUMMYFUNCTION("""COMPUTED_VALUE"""),11)</f>
        <v>11</v>
      </c>
      <c r="D1336" s="199" t="str">
        <f ca="1">IFERROR(__xludf.DUMMYFUNCTION("""COMPUTED_VALUE"""),"G")</f>
        <v>G</v>
      </c>
      <c r="E1336" s="202" t="str">
        <f ca="1">IFERROR(__xludf.DUMMYFUNCTION("""COMPUTED_VALUE"""),"J")</f>
        <v>J</v>
      </c>
      <c r="F1336" s="202" t="str">
        <f ca="1">IFERROR(__xludf.DUMMYFUNCTION("""COMPUTED_VALUE"""),"I")</f>
        <v>I</v>
      </c>
      <c r="G1336" s="202">
        <f ca="1">IFERROR(__xludf.DUMMYFUNCTION("""COMPUTED_VALUE"""),2)</f>
        <v>2</v>
      </c>
      <c r="H1336" s="208"/>
      <c r="I1336" s="208"/>
      <c r="J1336" s="208"/>
      <c r="K1336" s="208"/>
      <c r="L1336" s="208" t="str">
        <v/>
      </c>
      <c r="M1336" s="208" t="str">
        <v/>
      </c>
    </row>
    <row r="1337" spans="1:13" ht="14.4">
      <c r="A1337" s="199" t="str">
        <f ca="1">IFERROR(__xludf.DUMMYFUNCTION("""COMPUTED_VALUE"""),"MHC")</f>
        <v>MHC</v>
      </c>
      <c r="B1337" s="207" t="str">
        <f ca="1">IFERROR(__xludf.DUMMYFUNCTION("""COMPUTED_VALUE"""),"Jacob Fisher")</f>
        <v>Jacob Fisher</v>
      </c>
      <c r="C1337" s="199">
        <f ca="1">IFERROR(__xludf.DUMMYFUNCTION("""COMPUTED_VALUE"""),16)</f>
        <v>16</v>
      </c>
      <c r="D1337" s="199" t="str">
        <f ca="1">IFERROR(__xludf.DUMMYFUNCTION("""COMPUTED_VALUE"""),"B")</f>
        <v>B</v>
      </c>
      <c r="E1337" s="202" t="str">
        <f ca="1">IFERROR(__xludf.DUMMYFUNCTION("""COMPUTED_VALUE"""),"S")</f>
        <v>S</v>
      </c>
      <c r="F1337" s="202" t="str">
        <f ca="1">IFERROR(__xludf.DUMMYFUNCTION("""COMPUTED_VALUE"""),"S")</f>
        <v>S</v>
      </c>
      <c r="G1337" s="202">
        <f ca="1">IFERROR(__xludf.DUMMYFUNCTION("""COMPUTED_VALUE"""),2)</f>
        <v>2</v>
      </c>
      <c r="H1337" s="208"/>
      <c r="I1337" s="208">
        <v>258.3</v>
      </c>
      <c r="J1337" s="208"/>
      <c r="K1337" s="208" t="s">
        <v>121</v>
      </c>
      <c r="L1337" s="208" t="str">
        <v xml:space="preserve"> 258.3</v>
      </c>
      <c r="M1337" s="208" t="str">
        <v/>
      </c>
    </row>
    <row r="1338" spans="1:13" ht="14.4">
      <c r="A1338" s="199" t="str">
        <f ca="1">IFERROR(__xludf.DUMMYFUNCTION("""COMPUTED_VALUE"""),"MHC")</f>
        <v>MHC</v>
      </c>
      <c r="B1338" s="207" t="str">
        <f ca="1">IFERROR(__xludf.DUMMYFUNCTION("""COMPUTED_VALUE"""),"Ryan Duffield")</f>
        <v>Ryan Duffield</v>
      </c>
      <c r="C1338" s="199">
        <f ca="1">IFERROR(__xludf.DUMMYFUNCTION("""COMPUTED_VALUE"""),15)</f>
        <v>15</v>
      </c>
      <c r="D1338" s="199" t="str">
        <f ca="1">IFERROR(__xludf.DUMMYFUNCTION("""COMPUTED_VALUE"""),"B")</f>
        <v>B</v>
      </c>
      <c r="E1338" s="202" t="str">
        <f ca="1">IFERROR(__xludf.DUMMYFUNCTION("""COMPUTED_VALUE"""),"S")</f>
        <v>S</v>
      </c>
      <c r="F1338" s="202" t="str">
        <f ca="1">IFERROR(__xludf.DUMMYFUNCTION("""COMPUTED_VALUE"""),"S")</f>
        <v>S</v>
      </c>
      <c r="G1338" s="202">
        <f ca="1">IFERROR(__xludf.DUMMYFUNCTION("""COMPUTED_VALUE"""),2)</f>
        <v>2</v>
      </c>
      <c r="H1338" s="208"/>
      <c r="I1338" s="208">
        <v>117.7</v>
      </c>
      <c r="J1338" s="208"/>
      <c r="K1338" s="208" t="s">
        <v>121</v>
      </c>
      <c r="L1338" s="208" t="str">
        <v xml:space="preserve"> 117.7</v>
      </c>
      <c r="M1338" s="208" t="str">
        <v/>
      </c>
    </row>
    <row r="1339" spans="1:13" ht="14.4">
      <c r="A1339" s="199" t="str">
        <f ca="1">IFERROR(__xludf.DUMMYFUNCTION("""COMPUTED_VALUE"""),"MHC")</f>
        <v>MHC</v>
      </c>
      <c r="B1339" s="207" t="str">
        <f ca="1">IFERROR(__xludf.DUMMYFUNCTION("""COMPUTED_VALUE"""),"Clara Barron")</f>
        <v>Clara Barron</v>
      </c>
      <c r="C1339" s="199">
        <f ca="1">IFERROR(__xludf.DUMMYFUNCTION("""COMPUTED_VALUE"""),16)</f>
        <v>16</v>
      </c>
      <c r="D1339" s="199" t="str">
        <f ca="1">IFERROR(__xludf.DUMMYFUNCTION("""COMPUTED_VALUE"""),"G")</f>
        <v>G</v>
      </c>
      <c r="E1339" s="202" t="str">
        <f ca="1">IFERROR(__xludf.DUMMYFUNCTION("""COMPUTED_VALUE"""),"S")</f>
        <v>S</v>
      </c>
      <c r="F1339" s="202" t="str">
        <f ca="1">IFERROR(__xludf.DUMMYFUNCTION("""COMPUTED_VALUE"""),"S")</f>
        <v>S</v>
      </c>
      <c r="G1339" s="202">
        <f ca="1">IFERROR(__xludf.DUMMYFUNCTION("""COMPUTED_VALUE"""),2)</f>
        <v>2</v>
      </c>
      <c r="H1339" s="208"/>
      <c r="I1339" s="208"/>
      <c r="J1339" s="208"/>
      <c r="K1339" s="208"/>
      <c r="L1339" s="208" t="str">
        <v/>
      </c>
      <c r="M1339" s="208" t="str">
        <v/>
      </c>
    </row>
    <row r="1340" spans="1:13" ht="14.4">
      <c r="A1340" s="199" t="str">
        <f ca="1">IFERROR(__xludf.DUMMYFUNCTION("""COMPUTED_VALUE"""),"MHC")</f>
        <v>MHC</v>
      </c>
      <c r="B1340" s="207" t="str">
        <f ca="1">IFERROR(__xludf.DUMMYFUNCTION("""COMPUTED_VALUE"""),"Miah Fisher")</f>
        <v>Miah Fisher</v>
      </c>
      <c r="C1340" s="199">
        <f ca="1">IFERROR(__xludf.DUMMYFUNCTION("""COMPUTED_VALUE"""),18)</f>
        <v>18</v>
      </c>
      <c r="D1340" s="199" t="str">
        <f ca="1">IFERROR(__xludf.DUMMYFUNCTION("""COMPUTED_VALUE"""),"G")</f>
        <v>G</v>
      </c>
      <c r="E1340" s="202" t="str">
        <f ca="1">IFERROR(__xludf.DUMMYFUNCTION("""COMPUTED_VALUE"""),"S")</f>
        <v>S</v>
      </c>
      <c r="F1340" s="202" t="str">
        <f ca="1">IFERROR(__xludf.DUMMYFUNCTION("""COMPUTED_VALUE"""),"S")</f>
        <v>S</v>
      </c>
      <c r="G1340" s="202">
        <f ca="1">IFERROR(__xludf.DUMMYFUNCTION("""COMPUTED_VALUE"""),2)</f>
        <v>2</v>
      </c>
      <c r="H1340" s="206">
        <v>219.9</v>
      </c>
      <c r="I1340" s="206"/>
      <c r="J1340" s="206" t="s">
        <v>121</v>
      </c>
      <c r="K1340" s="206"/>
      <c r="L1340" s="206" t="str">
        <v xml:space="preserve"> 219.9</v>
      </c>
      <c r="M1340" s="206" t="str">
        <v/>
      </c>
    </row>
    <row r="1341" spans="1:13" ht="14.4">
      <c r="A1341" s="199" t="str">
        <f ca="1">IFERROR(__xludf.DUMMYFUNCTION("""COMPUTED_VALUE"""),"MHC")</f>
        <v>MHC</v>
      </c>
      <c r="B1341" s="207" t="str">
        <f ca="1">IFERROR(__xludf.DUMMYFUNCTION("""COMPUTED_VALUE"""),"Zoe Askins")</f>
        <v>Zoe Askins</v>
      </c>
      <c r="C1341" s="199">
        <f ca="1">IFERROR(__xludf.DUMMYFUNCTION("""COMPUTED_VALUE"""),15)</f>
        <v>15</v>
      </c>
      <c r="D1341" s="199" t="str">
        <f ca="1">IFERROR(__xludf.DUMMYFUNCTION("""COMPUTED_VALUE"""),"G")</f>
        <v>G</v>
      </c>
      <c r="E1341" s="202" t="str">
        <f ca="1">IFERROR(__xludf.DUMMYFUNCTION("""COMPUTED_VALUE"""),"S")</f>
        <v>S</v>
      </c>
      <c r="F1341" s="202" t="str">
        <f ca="1">IFERROR(__xludf.DUMMYFUNCTION("""COMPUTED_VALUE"""),"S")</f>
        <v>S</v>
      </c>
      <c r="G1341" s="202">
        <f ca="1">IFERROR(__xludf.DUMMYFUNCTION("""COMPUTED_VALUE"""),2)</f>
        <v>2</v>
      </c>
      <c r="H1341" s="208">
        <v>114.2</v>
      </c>
      <c r="I1341" s="208"/>
      <c r="J1341" s="208" t="s">
        <v>121</v>
      </c>
      <c r="K1341" s="208"/>
      <c r="L1341" s="208" t="str">
        <v xml:space="preserve"> 114.2</v>
      </c>
      <c r="M1341" s="208" t="str">
        <v/>
      </c>
    </row>
    <row r="1342" spans="1:13" ht="14.4">
      <c r="A1342" s="199" t="str">
        <f ca="1">IFERROR(__xludf.DUMMYFUNCTION("""COMPUTED_VALUE"""),"NS")</f>
        <v>NS</v>
      </c>
      <c r="B1342" s="207" t="str">
        <f ca="1">IFERROR(__xludf.DUMMYFUNCTION("""COMPUTED_VALUE"""),"Ethan Dalrymple")</f>
        <v>Ethan Dalrymple</v>
      </c>
      <c r="C1342" s="199">
        <f ca="1">IFERROR(__xludf.DUMMYFUNCTION("""COMPUTED_VALUE"""),9)</f>
        <v>9</v>
      </c>
      <c r="D1342" s="199" t="str">
        <f ca="1">IFERROR(__xludf.DUMMYFUNCTION("""COMPUTED_VALUE"""),"B")</f>
        <v>B</v>
      </c>
      <c r="E1342" s="202" t="str">
        <f ca="1">IFERROR(__xludf.DUMMYFUNCTION("""COMPUTED_VALUE"""),"F")</f>
        <v>F</v>
      </c>
      <c r="F1342" s="202" t="str">
        <f ca="1">IFERROR(__xludf.DUMMYFUNCTION("""COMPUTED_VALUE"""),"J")</f>
        <v>J</v>
      </c>
      <c r="G1342" s="202">
        <f ca="1">IFERROR(__xludf.DUMMYFUNCTION("""COMPUTED_VALUE"""),8)</f>
        <v>8</v>
      </c>
      <c r="H1342" s="208"/>
      <c r="I1342" s="208">
        <v>65.8</v>
      </c>
      <c r="J1342" s="208"/>
      <c r="K1342" s="208" t="s">
        <v>121</v>
      </c>
      <c r="L1342" s="208" t="str">
        <v xml:space="preserve"> 65.8</v>
      </c>
      <c r="M1342" s="208" t="str">
        <v/>
      </c>
    </row>
    <row r="1343" spans="1:13" ht="14.4">
      <c r="A1343" s="199" t="str">
        <f ca="1">IFERROR(__xludf.DUMMYFUNCTION("""COMPUTED_VALUE"""),"NS")</f>
        <v>NS</v>
      </c>
      <c r="B1343" s="207" t="str">
        <f ca="1">IFERROR(__xludf.DUMMYFUNCTION("""COMPUTED_VALUE"""),"Jasper Albers")</f>
        <v>Jasper Albers</v>
      </c>
      <c r="C1343" s="199">
        <f ca="1">IFERROR(__xludf.DUMMYFUNCTION("""COMPUTED_VALUE"""),5)</f>
        <v>5</v>
      </c>
      <c r="D1343" s="199" t="str">
        <f ca="1">IFERROR(__xludf.DUMMYFUNCTION("""COMPUTED_VALUE"""),"B")</f>
        <v>B</v>
      </c>
      <c r="E1343" s="202" t="str">
        <f ca="1">IFERROR(__xludf.DUMMYFUNCTION("""COMPUTED_VALUE"""),"F")</f>
        <v>F</v>
      </c>
      <c r="F1343" s="202" t="str">
        <f ca="1">IFERROR(__xludf.DUMMYFUNCTION("""COMPUTED_VALUE"""),"J")</f>
        <v>J</v>
      </c>
      <c r="G1343" s="202">
        <f ca="1">IFERROR(__xludf.DUMMYFUNCTION("""COMPUTED_VALUE"""),8)</f>
        <v>8</v>
      </c>
      <c r="H1343" s="208"/>
      <c r="I1343" s="208"/>
      <c r="J1343" s="208"/>
      <c r="K1343" s="208"/>
      <c r="L1343" s="208" t="str">
        <v/>
      </c>
      <c r="M1343" s="208" t="str">
        <v/>
      </c>
    </row>
    <row r="1344" spans="1:13" ht="14.4">
      <c r="A1344" s="199" t="str">
        <f ca="1">IFERROR(__xludf.DUMMYFUNCTION("""COMPUTED_VALUE"""),"NS")</f>
        <v>NS</v>
      </c>
      <c r="B1344" s="207" t="str">
        <f ca="1">IFERROR(__xludf.DUMMYFUNCTION("""COMPUTED_VALUE"""),"Keegan Sgro")</f>
        <v>Keegan Sgro</v>
      </c>
      <c r="C1344" s="199">
        <f ca="1">IFERROR(__xludf.DUMMYFUNCTION("""COMPUTED_VALUE"""),10)</f>
        <v>10</v>
      </c>
      <c r="D1344" s="199" t="str">
        <f ca="1">IFERROR(__xludf.DUMMYFUNCTION("""COMPUTED_VALUE"""),"B")</f>
        <v>B</v>
      </c>
      <c r="E1344" s="202" t="str">
        <f ca="1">IFERROR(__xludf.DUMMYFUNCTION("""COMPUTED_VALUE"""),"F")</f>
        <v>F</v>
      </c>
      <c r="F1344" s="202" t="str">
        <f ca="1">IFERROR(__xludf.DUMMYFUNCTION("""COMPUTED_VALUE"""),"J")</f>
        <v>J</v>
      </c>
      <c r="G1344" s="202">
        <f ca="1">IFERROR(__xludf.DUMMYFUNCTION("""COMPUTED_VALUE"""),8)</f>
        <v>8</v>
      </c>
      <c r="H1344" s="208"/>
      <c r="I1344" s="208"/>
      <c r="J1344" s="208"/>
      <c r="K1344" s="208"/>
      <c r="L1344" s="208" t="str">
        <v/>
      </c>
      <c r="M1344" s="208" t="str">
        <v/>
      </c>
    </row>
    <row r="1345" spans="1:13" ht="14.4">
      <c r="A1345" s="199" t="str">
        <f ca="1">IFERROR(__xludf.DUMMYFUNCTION("""COMPUTED_VALUE"""),"NS")</f>
        <v>NS</v>
      </c>
      <c r="B1345" s="207" t="str">
        <f ca="1">IFERROR(__xludf.DUMMYFUNCTION("""COMPUTED_VALUE"""),"Matthew Perez")</f>
        <v>Matthew Perez</v>
      </c>
      <c r="C1345" s="199">
        <f ca="1">IFERROR(__xludf.DUMMYFUNCTION("""COMPUTED_VALUE"""),7)</f>
        <v>7</v>
      </c>
      <c r="D1345" s="199" t="str">
        <f ca="1">IFERROR(__xludf.DUMMYFUNCTION("""COMPUTED_VALUE"""),"B")</f>
        <v>B</v>
      </c>
      <c r="E1345" s="202" t="str">
        <f ca="1">IFERROR(__xludf.DUMMYFUNCTION("""COMPUTED_VALUE"""),"F")</f>
        <v>F</v>
      </c>
      <c r="F1345" s="202" t="str">
        <f ca="1">IFERROR(__xludf.DUMMYFUNCTION("""COMPUTED_VALUE"""),"J")</f>
        <v>J</v>
      </c>
      <c r="G1345" s="202">
        <f ca="1">IFERROR(__xludf.DUMMYFUNCTION("""COMPUTED_VALUE"""),8)</f>
        <v>8</v>
      </c>
      <c r="H1345" s="208"/>
      <c r="I1345" s="208"/>
      <c r="J1345" s="208"/>
      <c r="K1345" s="208"/>
      <c r="L1345" s="208" t="str">
        <v/>
      </c>
      <c r="M1345" s="208" t="str">
        <v/>
      </c>
    </row>
    <row r="1346" spans="1:13" ht="14.4">
      <c r="A1346" s="199" t="str">
        <f ca="1">IFERROR(__xludf.DUMMYFUNCTION("""COMPUTED_VALUE"""),"NS")</f>
        <v>NS</v>
      </c>
      <c r="B1346" s="207" t="str">
        <f ca="1">IFERROR(__xludf.DUMMYFUNCTION("""COMPUTED_VALUE"""),"Orion Albers")</f>
        <v>Orion Albers</v>
      </c>
      <c r="C1346" s="199">
        <f ca="1">IFERROR(__xludf.DUMMYFUNCTION("""COMPUTED_VALUE"""),3)</f>
        <v>3</v>
      </c>
      <c r="D1346" s="199" t="str">
        <f ca="1">IFERROR(__xludf.DUMMYFUNCTION("""COMPUTED_VALUE"""),"B")</f>
        <v>B</v>
      </c>
      <c r="E1346" s="202" t="str">
        <f ca="1">IFERROR(__xludf.DUMMYFUNCTION("""COMPUTED_VALUE"""),"F")</f>
        <v>F</v>
      </c>
      <c r="F1346" s="202" t="str">
        <f ca="1">IFERROR(__xludf.DUMMYFUNCTION("""COMPUTED_VALUE"""),"J")</f>
        <v>J</v>
      </c>
      <c r="G1346" s="202">
        <f ca="1">IFERROR(__xludf.DUMMYFUNCTION("""COMPUTED_VALUE"""),8)</f>
        <v>8</v>
      </c>
      <c r="H1346" s="208"/>
      <c r="I1346" s="208"/>
      <c r="J1346" s="208"/>
      <c r="K1346" s="208"/>
      <c r="L1346" s="208" t="str">
        <v/>
      </c>
      <c r="M1346" s="208" t="str">
        <v/>
      </c>
    </row>
    <row r="1347" spans="1:13" ht="14.4">
      <c r="A1347" s="199" t="str">
        <f ca="1">IFERROR(__xludf.DUMMYFUNCTION("""COMPUTED_VALUE"""),"NS")</f>
        <v>NS</v>
      </c>
      <c r="B1347" s="207" t="str">
        <f ca="1">IFERROR(__xludf.DUMMYFUNCTION("""COMPUTED_VALUE"""),"Phill Bernard")</f>
        <v>Phill Bernard</v>
      </c>
      <c r="C1347" s="199">
        <f ca="1">IFERROR(__xludf.DUMMYFUNCTION("""COMPUTED_VALUE"""),9)</f>
        <v>9</v>
      </c>
      <c r="D1347" s="199" t="str">
        <f ca="1">IFERROR(__xludf.DUMMYFUNCTION("""COMPUTED_VALUE"""),"B")</f>
        <v>B</v>
      </c>
      <c r="E1347" s="202" t="str">
        <f ca="1">IFERROR(__xludf.DUMMYFUNCTION("""COMPUTED_VALUE"""),"F")</f>
        <v>F</v>
      </c>
      <c r="F1347" s="202" t="str">
        <f ca="1">IFERROR(__xludf.DUMMYFUNCTION("""COMPUTED_VALUE"""),"J")</f>
        <v>J</v>
      </c>
      <c r="G1347" s="202">
        <f ca="1">IFERROR(__xludf.DUMMYFUNCTION("""COMPUTED_VALUE"""),8)</f>
        <v>8</v>
      </c>
      <c r="H1347" s="208"/>
      <c r="I1347" s="208">
        <v>93.6</v>
      </c>
      <c r="J1347" s="208"/>
      <c r="K1347" s="208" t="s">
        <v>123</v>
      </c>
      <c r="L1347" s="208" t="str">
        <v xml:space="preserve"> -93.6</v>
      </c>
      <c r="M1347" s="208" t="str">
        <v>^</v>
      </c>
    </row>
    <row r="1348" spans="1:13" ht="14.4">
      <c r="A1348" s="199" t="str">
        <f ca="1">IFERROR(__xludf.DUMMYFUNCTION("""COMPUTED_VALUE"""),"NS")</f>
        <v>NS</v>
      </c>
      <c r="B1348" s="207" t="str">
        <f ca="1">IFERROR(__xludf.DUMMYFUNCTION("""COMPUTED_VALUE"""),"Ryan Guy")</f>
        <v>Ryan Guy</v>
      </c>
      <c r="C1348" s="199">
        <f ca="1">IFERROR(__xludf.DUMMYFUNCTION("""COMPUTED_VALUE"""),9)</f>
        <v>9</v>
      </c>
      <c r="D1348" s="199" t="str">
        <f ca="1">IFERROR(__xludf.DUMMYFUNCTION("""COMPUTED_VALUE"""),"B")</f>
        <v>B</v>
      </c>
      <c r="E1348" s="202" t="str">
        <f ca="1">IFERROR(__xludf.DUMMYFUNCTION("""COMPUTED_VALUE"""),"F")</f>
        <v>F</v>
      </c>
      <c r="F1348" s="202" t="str">
        <f ca="1">IFERROR(__xludf.DUMMYFUNCTION("""COMPUTED_VALUE"""),"J")</f>
        <v>J</v>
      </c>
      <c r="G1348" s="202">
        <f ca="1">IFERROR(__xludf.DUMMYFUNCTION("""COMPUTED_VALUE"""),8)</f>
        <v>8</v>
      </c>
      <c r="H1348" s="208"/>
      <c r="I1348" s="208"/>
      <c r="J1348" s="208"/>
      <c r="K1348" s="208"/>
      <c r="L1348" s="208" t="str">
        <v/>
      </c>
      <c r="M1348" s="208" t="str">
        <v/>
      </c>
    </row>
    <row r="1349" spans="1:13" ht="14.4">
      <c r="A1349" s="199" t="str">
        <f ca="1">IFERROR(__xludf.DUMMYFUNCTION("""COMPUTED_VALUE"""),"NS")</f>
        <v>NS</v>
      </c>
      <c r="B1349" s="207" t="str">
        <f ca="1">IFERROR(__xludf.DUMMYFUNCTION("""COMPUTED_VALUE"""),"William Gall")</f>
        <v>William Gall</v>
      </c>
      <c r="C1349" s="199">
        <f ca="1">IFERROR(__xludf.DUMMYFUNCTION("""COMPUTED_VALUE"""),9)</f>
        <v>9</v>
      </c>
      <c r="D1349" s="199" t="str">
        <f ca="1">IFERROR(__xludf.DUMMYFUNCTION("""COMPUTED_VALUE"""),"B")</f>
        <v>B</v>
      </c>
      <c r="E1349" s="202" t="str">
        <f ca="1">IFERROR(__xludf.DUMMYFUNCTION("""COMPUTED_VALUE"""),"F")</f>
        <v>F</v>
      </c>
      <c r="F1349" s="202" t="str">
        <f ca="1">IFERROR(__xludf.DUMMYFUNCTION("""COMPUTED_VALUE"""),"J")</f>
        <v>J</v>
      </c>
      <c r="G1349" s="202">
        <f ca="1">IFERROR(__xludf.DUMMYFUNCTION("""COMPUTED_VALUE"""),8)</f>
        <v>8</v>
      </c>
      <c r="H1349" s="208"/>
      <c r="I1349" s="208">
        <v>55.8</v>
      </c>
      <c r="J1349" s="208"/>
      <c r="K1349" s="208" t="s">
        <v>121</v>
      </c>
      <c r="L1349" s="208" t="str">
        <v xml:space="preserve"> 55.8</v>
      </c>
      <c r="M1349" s="208" t="str">
        <v/>
      </c>
    </row>
    <row r="1350" spans="1:13" ht="14.4">
      <c r="A1350" s="199" t="str">
        <f ca="1">IFERROR(__xludf.DUMMYFUNCTION("""COMPUTED_VALUE"""),"NS")</f>
        <v>NS</v>
      </c>
      <c r="B1350" s="207" t="str">
        <f ca="1">IFERROR(__xludf.DUMMYFUNCTION("""COMPUTED_VALUE"""),"Yousef Chawki")</f>
        <v>Yousef Chawki</v>
      </c>
      <c r="C1350" s="199">
        <f ca="1">IFERROR(__xludf.DUMMYFUNCTION("""COMPUTED_VALUE"""),9)</f>
        <v>9</v>
      </c>
      <c r="D1350" s="199" t="str">
        <f ca="1">IFERROR(__xludf.DUMMYFUNCTION("""COMPUTED_VALUE"""),"B")</f>
        <v>B</v>
      </c>
      <c r="E1350" s="202" t="str">
        <f ca="1">IFERROR(__xludf.DUMMYFUNCTION("""COMPUTED_VALUE"""),"F")</f>
        <v>F</v>
      </c>
      <c r="F1350" s="202" t="str">
        <f ca="1">IFERROR(__xludf.DUMMYFUNCTION("""COMPUTED_VALUE"""),"J")</f>
        <v>J</v>
      </c>
      <c r="G1350" s="202">
        <f ca="1">IFERROR(__xludf.DUMMYFUNCTION("""COMPUTED_VALUE"""),8)</f>
        <v>8</v>
      </c>
      <c r="H1350" s="208"/>
      <c r="I1350" s="208">
        <v>41.05</v>
      </c>
      <c r="J1350" s="208"/>
      <c r="K1350" s="208" t="s">
        <v>121</v>
      </c>
      <c r="L1350" s="208" t="str">
        <v xml:space="preserve"> 41.05</v>
      </c>
      <c r="M1350" s="208" t="str">
        <v/>
      </c>
    </row>
    <row r="1351" spans="1:13" ht="14.4">
      <c r="A1351" s="199" t="str">
        <f ca="1">IFERROR(__xludf.DUMMYFUNCTION("""COMPUTED_VALUE"""),"NS")</f>
        <v>NS</v>
      </c>
      <c r="B1351" s="207" t="str">
        <f ca="1">IFERROR(__xludf.DUMMYFUNCTION("""COMPUTED_VALUE"""),"Allie Balbuena")</f>
        <v>Allie Balbuena</v>
      </c>
      <c r="C1351" s="199">
        <f ca="1">IFERROR(__xludf.DUMMYFUNCTION("""COMPUTED_VALUE"""),8)</f>
        <v>8</v>
      </c>
      <c r="D1351" s="199" t="str">
        <f ca="1">IFERROR(__xludf.DUMMYFUNCTION("""COMPUTED_VALUE"""),"G")</f>
        <v>G</v>
      </c>
      <c r="E1351" s="202" t="str">
        <f ca="1">IFERROR(__xludf.DUMMYFUNCTION("""COMPUTED_VALUE"""),"F")</f>
        <v>F</v>
      </c>
      <c r="F1351" s="202" t="str">
        <f ca="1">IFERROR(__xludf.DUMMYFUNCTION("""COMPUTED_VALUE"""),"J")</f>
        <v>J</v>
      </c>
      <c r="G1351" s="202">
        <f ca="1">IFERROR(__xludf.DUMMYFUNCTION("""COMPUTED_VALUE"""),8)</f>
        <v>8</v>
      </c>
      <c r="H1351" s="208"/>
      <c r="I1351" s="208"/>
      <c r="J1351" s="208"/>
      <c r="K1351" s="208"/>
      <c r="L1351" s="208" t="str">
        <v/>
      </c>
      <c r="M1351" s="208" t="str">
        <v/>
      </c>
    </row>
    <row r="1352" spans="1:13" ht="14.4">
      <c r="A1352" s="199" t="str">
        <f ca="1">IFERROR(__xludf.DUMMYFUNCTION("""COMPUTED_VALUE"""),"NS")</f>
        <v>NS</v>
      </c>
      <c r="B1352" s="207" t="str">
        <f ca="1">IFERROR(__xludf.DUMMYFUNCTION("""COMPUTED_VALUE"""),"Delilah Perez")</f>
        <v>Delilah Perez</v>
      </c>
      <c r="C1352" s="199">
        <f ca="1">IFERROR(__xludf.DUMMYFUNCTION("""COMPUTED_VALUE"""),9)</f>
        <v>9</v>
      </c>
      <c r="D1352" s="199" t="str">
        <f ca="1">IFERROR(__xludf.DUMMYFUNCTION("""COMPUTED_VALUE"""),"G")</f>
        <v>G</v>
      </c>
      <c r="E1352" s="202" t="str">
        <f ca="1">IFERROR(__xludf.DUMMYFUNCTION("""COMPUTED_VALUE"""),"F")</f>
        <v>F</v>
      </c>
      <c r="F1352" s="202" t="str">
        <f ca="1">IFERROR(__xludf.DUMMYFUNCTION("""COMPUTED_VALUE"""),"J")</f>
        <v>J</v>
      </c>
      <c r="G1352" s="202">
        <f ca="1">IFERROR(__xludf.DUMMYFUNCTION("""COMPUTED_VALUE"""),8)</f>
        <v>8</v>
      </c>
      <c r="H1352" s="206"/>
      <c r="I1352" s="206"/>
      <c r="J1352" s="206"/>
      <c r="K1352" s="206"/>
      <c r="L1352" s="206" t="str">
        <v/>
      </c>
      <c r="M1352" s="206" t="str">
        <v/>
      </c>
    </row>
    <row r="1353" spans="1:13" ht="14.4">
      <c r="A1353" s="199" t="str">
        <f ca="1">IFERROR(__xludf.DUMMYFUNCTION("""COMPUTED_VALUE"""),"NS")</f>
        <v>NS</v>
      </c>
      <c r="B1353" s="207" t="str">
        <f ca="1">IFERROR(__xludf.DUMMYFUNCTION("""COMPUTED_VALUE"""),"Gabi Simone")</f>
        <v>Gabi Simone</v>
      </c>
      <c r="C1353" s="199">
        <f ca="1">IFERROR(__xludf.DUMMYFUNCTION("""COMPUTED_VALUE"""),9)</f>
        <v>9</v>
      </c>
      <c r="D1353" s="199" t="str">
        <f ca="1">IFERROR(__xludf.DUMMYFUNCTION("""COMPUTED_VALUE"""),"G")</f>
        <v>G</v>
      </c>
      <c r="E1353" s="202" t="str">
        <f ca="1">IFERROR(__xludf.DUMMYFUNCTION("""COMPUTED_VALUE"""),"F")</f>
        <v>F</v>
      </c>
      <c r="F1353" s="202" t="str">
        <f ca="1">IFERROR(__xludf.DUMMYFUNCTION("""COMPUTED_VALUE"""),"J")</f>
        <v>J</v>
      </c>
      <c r="G1353" s="202">
        <f ca="1">IFERROR(__xludf.DUMMYFUNCTION("""COMPUTED_VALUE"""),8)</f>
        <v>8</v>
      </c>
      <c r="H1353" s="208"/>
      <c r="I1353" s="208"/>
      <c r="J1353" s="208"/>
      <c r="K1353" s="208"/>
      <c r="L1353" s="208" t="str">
        <v/>
      </c>
      <c r="M1353" s="208" t="str">
        <v/>
      </c>
    </row>
    <row r="1354" spans="1:13" ht="14.4">
      <c r="A1354" s="199" t="str">
        <f ca="1">IFERROR(__xludf.DUMMYFUNCTION("""COMPUTED_VALUE"""),"NS")</f>
        <v>NS</v>
      </c>
      <c r="B1354" s="207" t="str">
        <f ca="1">IFERROR(__xludf.DUMMYFUNCTION("""COMPUTED_VALUE"""),"Kat Mahoney")</f>
        <v>Kat Mahoney</v>
      </c>
      <c r="C1354" s="199">
        <f ca="1">IFERROR(__xludf.DUMMYFUNCTION("""COMPUTED_VALUE"""),9)</f>
        <v>9</v>
      </c>
      <c r="D1354" s="199" t="str">
        <f ca="1">IFERROR(__xludf.DUMMYFUNCTION("""COMPUTED_VALUE"""),"G")</f>
        <v>G</v>
      </c>
      <c r="E1354" s="202" t="str">
        <f ca="1">IFERROR(__xludf.DUMMYFUNCTION("""COMPUTED_VALUE"""),"F")</f>
        <v>F</v>
      </c>
      <c r="F1354" s="202" t="str">
        <f ca="1">IFERROR(__xludf.DUMMYFUNCTION("""COMPUTED_VALUE"""),"J")</f>
        <v>J</v>
      </c>
      <c r="G1354" s="202">
        <f ca="1">IFERROR(__xludf.DUMMYFUNCTION("""COMPUTED_VALUE"""),8)</f>
        <v>8</v>
      </c>
      <c r="H1354" s="206"/>
      <c r="I1354" s="206"/>
      <c r="J1354" s="206"/>
      <c r="K1354" s="206"/>
      <c r="L1354" s="206" t="str">
        <v/>
      </c>
      <c r="M1354" s="206" t="str">
        <v/>
      </c>
    </row>
    <row r="1355" spans="1:13" ht="14.4">
      <c r="A1355" s="199" t="str">
        <f ca="1">IFERROR(__xludf.DUMMYFUNCTION("""COMPUTED_VALUE"""),"NS")</f>
        <v>NS</v>
      </c>
      <c r="B1355" s="207" t="str">
        <f ca="1">IFERROR(__xludf.DUMMYFUNCTION("""COMPUTED_VALUE"""),"Mia Brown")</f>
        <v>Mia Brown</v>
      </c>
      <c r="C1355" s="199">
        <f ca="1">IFERROR(__xludf.DUMMYFUNCTION("""COMPUTED_VALUE"""),10)</f>
        <v>10</v>
      </c>
      <c r="D1355" s="199" t="str">
        <f ca="1">IFERROR(__xludf.DUMMYFUNCTION("""COMPUTED_VALUE"""),"G")</f>
        <v>G</v>
      </c>
      <c r="E1355" s="202" t="str">
        <f ca="1">IFERROR(__xludf.DUMMYFUNCTION("""COMPUTED_VALUE"""),"F")</f>
        <v>F</v>
      </c>
      <c r="F1355" s="202" t="str">
        <f ca="1">IFERROR(__xludf.DUMMYFUNCTION("""COMPUTED_VALUE"""),"J")</f>
        <v>J</v>
      </c>
      <c r="G1355" s="202">
        <f ca="1">IFERROR(__xludf.DUMMYFUNCTION("""COMPUTED_VALUE"""),8)</f>
        <v>8</v>
      </c>
      <c r="H1355" s="206"/>
      <c r="I1355" s="206"/>
      <c r="J1355" s="206"/>
      <c r="K1355" s="206"/>
      <c r="L1355" s="206" t="str">
        <v/>
      </c>
      <c r="M1355" s="206" t="str">
        <v/>
      </c>
    </row>
    <row r="1356" spans="1:13" ht="14.4">
      <c r="A1356" s="199" t="str">
        <f ca="1">IFERROR(__xludf.DUMMYFUNCTION("""COMPUTED_VALUE"""),"NS")</f>
        <v>NS</v>
      </c>
      <c r="B1356" s="207" t="str">
        <f ca="1">IFERROR(__xludf.DUMMYFUNCTION("""COMPUTED_VALUE"""),"Natalia Haley")</f>
        <v>Natalia Haley</v>
      </c>
      <c r="C1356" s="199">
        <f ca="1">IFERROR(__xludf.DUMMYFUNCTION("""COMPUTED_VALUE"""),9)</f>
        <v>9</v>
      </c>
      <c r="D1356" s="199" t="str">
        <f ca="1">IFERROR(__xludf.DUMMYFUNCTION("""COMPUTED_VALUE"""),"G")</f>
        <v>G</v>
      </c>
      <c r="E1356" s="202" t="str">
        <f ca="1">IFERROR(__xludf.DUMMYFUNCTION("""COMPUTED_VALUE"""),"F")</f>
        <v>F</v>
      </c>
      <c r="F1356" s="202" t="str">
        <f ca="1">IFERROR(__xludf.DUMMYFUNCTION("""COMPUTED_VALUE"""),"J")</f>
        <v>J</v>
      </c>
      <c r="G1356" s="202">
        <f ca="1">IFERROR(__xludf.DUMMYFUNCTION("""COMPUTED_VALUE"""),8)</f>
        <v>8</v>
      </c>
      <c r="H1356" s="206">
        <v>56.25</v>
      </c>
      <c r="I1356" s="206"/>
      <c r="J1356" s="206" t="s">
        <v>121</v>
      </c>
      <c r="K1356" s="206"/>
      <c r="L1356" s="206" t="str">
        <v xml:space="preserve"> 56.25</v>
      </c>
      <c r="M1356" s="206" t="str">
        <v/>
      </c>
    </row>
    <row r="1357" spans="1:13" ht="14.4">
      <c r="A1357" s="199" t="str">
        <f ca="1">IFERROR(__xludf.DUMMYFUNCTION("""COMPUTED_VALUE"""),"NS")</f>
        <v>NS</v>
      </c>
      <c r="B1357" s="207" t="str">
        <f ca="1">IFERROR(__xludf.DUMMYFUNCTION("""COMPUTED_VALUE"""),"Brian Bernard")</f>
        <v>Brian Bernard</v>
      </c>
      <c r="C1357" s="199">
        <f ca="1">IFERROR(__xludf.DUMMYFUNCTION("""COMPUTED_VALUE"""),14)</f>
        <v>14</v>
      </c>
      <c r="D1357" s="199" t="str">
        <f ca="1">IFERROR(__xludf.DUMMYFUNCTION("""COMPUTED_VALUE"""),"B")</f>
        <v>B</v>
      </c>
      <c r="E1357" s="202" t="str">
        <f ca="1">IFERROR(__xludf.DUMMYFUNCTION("""COMPUTED_VALUE"""),"I")</f>
        <v>I</v>
      </c>
      <c r="F1357" s="202" t="str">
        <f ca="1">IFERROR(__xludf.DUMMYFUNCTION("""COMPUTED_VALUE"""),"S")</f>
        <v>S</v>
      </c>
      <c r="G1357" s="202">
        <f ca="1">IFERROR(__xludf.DUMMYFUNCTION("""COMPUTED_VALUE"""),8)</f>
        <v>8</v>
      </c>
      <c r="H1357" s="206"/>
      <c r="I1357" s="206">
        <v>73.650000000000006</v>
      </c>
      <c r="J1357" s="206"/>
      <c r="K1357" s="206" t="s">
        <v>121</v>
      </c>
      <c r="L1357" s="206" t="str">
        <v xml:space="preserve"> 73.65</v>
      </c>
      <c r="M1357" s="206" t="str">
        <v/>
      </c>
    </row>
    <row r="1358" spans="1:13" ht="14.4">
      <c r="A1358" s="199" t="str">
        <f ca="1">IFERROR(__xludf.DUMMYFUNCTION("""COMPUTED_VALUE"""),"NS")</f>
        <v>NS</v>
      </c>
      <c r="B1358" s="207" t="str">
        <f ca="1">IFERROR(__xludf.DUMMYFUNCTION("""COMPUTED_VALUE"""),"Drew McKenna")</f>
        <v>Drew McKenna</v>
      </c>
      <c r="C1358" s="199">
        <f ca="1">IFERROR(__xludf.DUMMYFUNCTION("""COMPUTED_VALUE"""),14)</f>
        <v>14</v>
      </c>
      <c r="D1358" s="199" t="str">
        <f ca="1">IFERROR(__xludf.DUMMYFUNCTION("""COMPUTED_VALUE"""),"B")</f>
        <v>B</v>
      </c>
      <c r="E1358" s="202" t="str">
        <f ca="1">IFERROR(__xludf.DUMMYFUNCTION("""COMPUTED_VALUE"""),"I")</f>
        <v>I</v>
      </c>
      <c r="F1358" s="202" t="str">
        <f ca="1">IFERROR(__xludf.DUMMYFUNCTION("""COMPUTED_VALUE"""),"S")</f>
        <v>S</v>
      </c>
      <c r="G1358" s="202">
        <f ca="1">IFERROR(__xludf.DUMMYFUNCTION("""COMPUTED_VALUE"""),8)</f>
        <v>8</v>
      </c>
      <c r="H1358" s="206"/>
      <c r="I1358" s="206"/>
      <c r="J1358" s="206"/>
      <c r="K1358" s="206"/>
      <c r="L1358" s="206" t="str">
        <v/>
      </c>
      <c r="M1358" s="206" t="str">
        <v/>
      </c>
    </row>
    <row r="1359" spans="1:13" ht="14.4">
      <c r="A1359" s="199" t="str">
        <f ca="1">IFERROR(__xludf.DUMMYFUNCTION("""COMPUTED_VALUE"""),"NS")</f>
        <v>NS</v>
      </c>
      <c r="B1359" s="207" t="str">
        <f ca="1">IFERROR(__xludf.DUMMYFUNCTION("""COMPUTED_VALUE"""),"Ethan Simone")</f>
        <v>Ethan Simone</v>
      </c>
      <c r="C1359" s="199">
        <f ca="1">IFERROR(__xludf.DUMMYFUNCTION("""COMPUTED_VALUE"""),13)</f>
        <v>13</v>
      </c>
      <c r="D1359" s="199" t="str">
        <f ca="1">IFERROR(__xludf.DUMMYFUNCTION("""COMPUTED_VALUE"""),"B")</f>
        <v>B</v>
      </c>
      <c r="E1359" s="202" t="str">
        <f ca="1">IFERROR(__xludf.DUMMYFUNCTION("""COMPUTED_VALUE"""),"I")</f>
        <v>I</v>
      </c>
      <c r="F1359" s="202" t="str">
        <f ca="1">IFERROR(__xludf.DUMMYFUNCTION("""COMPUTED_VALUE"""),"S")</f>
        <v>S</v>
      </c>
      <c r="G1359" s="202">
        <f ca="1">IFERROR(__xludf.DUMMYFUNCTION("""COMPUTED_VALUE"""),8)</f>
        <v>8</v>
      </c>
      <c r="H1359" s="206"/>
      <c r="I1359" s="206"/>
      <c r="J1359" s="206"/>
      <c r="K1359" s="206"/>
      <c r="L1359" s="206" t="str">
        <v/>
      </c>
      <c r="M1359" s="206" t="str">
        <v/>
      </c>
    </row>
    <row r="1360" spans="1:13" ht="14.4">
      <c r="A1360" s="199" t="str">
        <f ca="1">IFERROR(__xludf.DUMMYFUNCTION("""COMPUTED_VALUE"""),"NS")</f>
        <v>NS</v>
      </c>
      <c r="B1360" s="207" t="str">
        <f ca="1">IFERROR(__xludf.DUMMYFUNCTION("""COMPUTED_VALUE"""),"Madalyn Dixon")</f>
        <v>Madalyn Dixon</v>
      </c>
      <c r="C1360" s="199">
        <f ca="1">IFERROR(__xludf.DUMMYFUNCTION("""COMPUTED_VALUE"""),14)</f>
        <v>14</v>
      </c>
      <c r="D1360" s="199" t="str">
        <f ca="1">IFERROR(__xludf.DUMMYFUNCTION("""COMPUTED_VALUE"""),"G")</f>
        <v>G</v>
      </c>
      <c r="E1360" s="202" t="str">
        <f ca="1">IFERROR(__xludf.DUMMYFUNCTION("""COMPUTED_VALUE"""),"I")</f>
        <v>I</v>
      </c>
      <c r="F1360" s="202" t="str">
        <f ca="1">IFERROR(__xludf.DUMMYFUNCTION("""COMPUTED_VALUE"""),"S")</f>
        <v>S</v>
      </c>
      <c r="G1360" s="202">
        <f ca="1">IFERROR(__xludf.DUMMYFUNCTION("""COMPUTED_VALUE"""),8)</f>
        <v>8</v>
      </c>
      <c r="H1360" s="206">
        <v>0</v>
      </c>
      <c r="I1360" s="206"/>
      <c r="J1360" s="206" t="s">
        <v>121</v>
      </c>
      <c r="K1360" s="206"/>
      <c r="L1360" s="206" t="str">
        <v xml:space="preserve"> 0</v>
      </c>
      <c r="M1360" s="206" t="str">
        <v/>
      </c>
    </row>
    <row r="1361" spans="1:13" ht="14.4">
      <c r="A1361" s="199" t="str">
        <f ca="1">IFERROR(__xludf.DUMMYFUNCTION("""COMPUTED_VALUE"""),"NS")</f>
        <v>NS</v>
      </c>
      <c r="B1361" s="207" t="str">
        <f ca="1">IFERROR(__xludf.DUMMYFUNCTION("""COMPUTED_VALUE"""),"Yasmeen Chawki")</f>
        <v>Yasmeen Chawki</v>
      </c>
      <c r="C1361" s="199">
        <f ca="1">IFERROR(__xludf.DUMMYFUNCTION("""COMPUTED_VALUE"""),13)</f>
        <v>13</v>
      </c>
      <c r="D1361" s="199" t="str">
        <f ca="1">IFERROR(__xludf.DUMMYFUNCTION("""COMPUTED_VALUE"""),"G")</f>
        <v>G</v>
      </c>
      <c r="E1361" s="202" t="str">
        <f ca="1">IFERROR(__xludf.DUMMYFUNCTION("""COMPUTED_VALUE"""),"I")</f>
        <v>I</v>
      </c>
      <c r="F1361" s="202" t="str">
        <f ca="1">IFERROR(__xludf.DUMMYFUNCTION("""COMPUTED_VALUE"""),"S")</f>
        <v>S</v>
      </c>
      <c r="G1361" s="202">
        <f ca="1">IFERROR(__xludf.DUMMYFUNCTION("""COMPUTED_VALUE"""),8)</f>
        <v>8</v>
      </c>
      <c r="H1361" s="208"/>
      <c r="I1361" s="208"/>
      <c r="J1361" s="208"/>
      <c r="K1361" s="208"/>
      <c r="L1361" s="208" t="str">
        <v/>
      </c>
      <c r="M1361" s="208" t="str">
        <v/>
      </c>
    </row>
    <row r="1362" spans="1:13" ht="14.4">
      <c r="A1362" s="199" t="str">
        <f ca="1">IFERROR(__xludf.DUMMYFUNCTION("""COMPUTED_VALUE"""),"NS")</f>
        <v>NS</v>
      </c>
      <c r="B1362" s="207" t="str">
        <f ca="1">IFERROR(__xludf.DUMMYFUNCTION("""COMPUTED_VALUE"""),"Alberto Tolentino")</f>
        <v>Alberto Tolentino</v>
      </c>
      <c r="C1362" s="199">
        <f ca="1">IFERROR(__xludf.DUMMYFUNCTION("""COMPUTED_VALUE"""),11)</f>
        <v>11</v>
      </c>
      <c r="D1362" s="199" t="str">
        <f ca="1">IFERROR(__xludf.DUMMYFUNCTION("""COMPUTED_VALUE"""),"B")</f>
        <v>B</v>
      </c>
      <c r="E1362" s="202" t="str">
        <f ca="1">IFERROR(__xludf.DUMMYFUNCTION("""COMPUTED_VALUE"""),"J")</f>
        <v>J</v>
      </c>
      <c r="F1362" s="202" t="str">
        <f ca="1">IFERROR(__xludf.DUMMYFUNCTION("""COMPUTED_VALUE"""),"I")</f>
        <v>I</v>
      </c>
      <c r="G1362" s="202">
        <f ca="1">IFERROR(__xludf.DUMMYFUNCTION("""COMPUTED_VALUE"""),8)</f>
        <v>8</v>
      </c>
      <c r="H1362" s="206"/>
      <c r="I1362" s="206"/>
      <c r="J1362" s="206"/>
      <c r="K1362" s="206"/>
      <c r="L1362" s="206" t="str">
        <v/>
      </c>
      <c r="M1362" s="206" t="str">
        <v/>
      </c>
    </row>
    <row r="1363" spans="1:13" ht="14.4">
      <c r="A1363" s="199" t="str">
        <f ca="1">IFERROR(__xludf.DUMMYFUNCTION("""COMPUTED_VALUE"""),"NS")</f>
        <v>NS</v>
      </c>
      <c r="B1363" s="207" t="str">
        <f ca="1">IFERROR(__xludf.DUMMYFUNCTION("""COMPUTED_VALUE"""),"Charlie McGinity")</f>
        <v>Charlie McGinity</v>
      </c>
      <c r="C1363" s="199">
        <f ca="1">IFERROR(__xludf.DUMMYFUNCTION("""COMPUTED_VALUE"""),12)</f>
        <v>12</v>
      </c>
      <c r="D1363" s="199" t="str">
        <f ca="1">IFERROR(__xludf.DUMMYFUNCTION("""COMPUTED_VALUE"""),"B")</f>
        <v>B</v>
      </c>
      <c r="E1363" s="202" t="str">
        <f ca="1">IFERROR(__xludf.DUMMYFUNCTION("""COMPUTED_VALUE"""),"J")</f>
        <v>J</v>
      </c>
      <c r="F1363" s="202" t="str">
        <f ca="1">IFERROR(__xludf.DUMMYFUNCTION("""COMPUTED_VALUE"""),"I")</f>
        <v>I</v>
      </c>
      <c r="G1363" s="202">
        <f ca="1">IFERROR(__xludf.DUMMYFUNCTION("""COMPUTED_VALUE"""),8)</f>
        <v>8</v>
      </c>
      <c r="H1363" s="206"/>
      <c r="I1363" s="206">
        <v>0</v>
      </c>
      <c r="J1363" s="206"/>
      <c r="K1363" s="206" t="s">
        <v>121</v>
      </c>
      <c r="L1363" s="206" t="str">
        <v xml:space="preserve"> 0</v>
      </c>
      <c r="M1363" s="206" t="str">
        <v/>
      </c>
    </row>
    <row r="1364" spans="1:13" ht="14.4">
      <c r="A1364" s="199" t="str">
        <f ca="1">IFERROR(__xludf.DUMMYFUNCTION("""COMPUTED_VALUE"""),"NS")</f>
        <v>NS</v>
      </c>
      <c r="B1364" s="207" t="str">
        <f ca="1">IFERROR(__xludf.DUMMYFUNCTION("""COMPUTED_VALUE"""),"Chase Waldridge")</f>
        <v>Chase Waldridge</v>
      </c>
      <c r="C1364" s="199">
        <f ca="1">IFERROR(__xludf.DUMMYFUNCTION("""COMPUTED_VALUE"""),11)</f>
        <v>11</v>
      </c>
      <c r="D1364" s="199" t="str">
        <f ca="1">IFERROR(__xludf.DUMMYFUNCTION("""COMPUTED_VALUE"""),"B")</f>
        <v>B</v>
      </c>
      <c r="E1364" s="202" t="str">
        <f ca="1">IFERROR(__xludf.DUMMYFUNCTION("""COMPUTED_VALUE"""),"J")</f>
        <v>J</v>
      </c>
      <c r="F1364" s="202" t="str">
        <f ca="1">IFERROR(__xludf.DUMMYFUNCTION("""COMPUTED_VALUE"""),"I")</f>
        <v>I</v>
      </c>
      <c r="G1364" s="202">
        <f ca="1">IFERROR(__xludf.DUMMYFUNCTION("""COMPUTED_VALUE"""),8)</f>
        <v>8</v>
      </c>
      <c r="H1364" s="208"/>
      <c r="I1364" s="208"/>
      <c r="J1364" s="208"/>
      <c r="K1364" s="208"/>
      <c r="L1364" s="208" t="str">
        <v/>
      </c>
      <c r="M1364" s="208" t="str">
        <v/>
      </c>
    </row>
    <row r="1365" spans="1:13" ht="14.4">
      <c r="A1365" s="199" t="str">
        <f ca="1">IFERROR(__xludf.DUMMYFUNCTION("""COMPUTED_VALUE"""),"NS")</f>
        <v>NS</v>
      </c>
      <c r="B1365" s="207" t="str">
        <f ca="1">IFERROR(__xludf.DUMMYFUNCTION("""COMPUTED_VALUE"""),"Gabe Tompkins")</f>
        <v>Gabe Tompkins</v>
      </c>
      <c r="C1365" s="199">
        <f ca="1">IFERROR(__xludf.DUMMYFUNCTION("""COMPUTED_VALUE"""),11)</f>
        <v>11</v>
      </c>
      <c r="D1365" s="199" t="str">
        <f ca="1">IFERROR(__xludf.DUMMYFUNCTION("""COMPUTED_VALUE"""),"B")</f>
        <v>B</v>
      </c>
      <c r="E1365" s="202" t="str">
        <f ca="1">IFERROR(__xludf.DUMMYFUNCTION("""COMPUTED_VALUE"""),"J")</f>
        <v>J</v>
      </c>
      <c r="F1365" s="202" t="str">
        <f ca="1">IFERROR(__xludf.DUMMYFUNCTION("""COMPUTED_VALUE"""),"I")</f>
        <v>I</v>
      </c>
      <c r="G1365" s="202">
        <f ca="1">IFERROR(__xludf.DUMMYFUNCTION("""COMPUTED_VALUE"""),8)</f>
        <v>8</v>
      </c>
      <c r="H1365" s="206"/>
      <c r="I1365" s="206"/>
      <c r="J1365" s="206"/>
      <c r="K1365" s="206"/>
      <c r="L1365" s="206" t="str">
        <v/>
      </c>
      <c r="M1365" s="206" t="str">
        <v/>
      </c>
    </row>
    <row r="1366" spans="1:13" ht="14.4">
      <c r="A1366" s="199" t="str">
        <f ca="1">IFERROR(__xludf.DUMMYFUNCTION("""COMPUTED_VALUE"""),"NS")</f>
        <v>NS</v>
      </c>
      <c r="B1366" s="207" t="str">
        <f ca="1">IFERROR(__xludf.DUMMYFUNCTION("""COMPUTED_VALUE"""),"Jack Mahoney")</f>
        <v>Jack Mahoney</v>
      </c>
      <c r="C1366" s="199">
        <f ca="1">IFERROR(__xludf.DUMMYFUNCTION("""COMPUTED_VALUE"""),11)</f>
        <v>11</v>
      </c>
      <c r="D1366" s="199" t="str">
        <f ca="1">IFERROR(__xludf.DUMMYFUNCTION("""COMPUTED_VALUE"""),"B")</f>
        <v>B</v>
      </c>
      <c r="E1366" s="202" t="str">
        <f ca="1">IFERROR(__xludf.DUMMYFUNCTION("""COMPUTED_VALUE"""),"J")</f>
        <v>J</v>
      </c>
      <c r="F1366" s="202" t="str">
        <f ca="1">IFERROR(__xludf.DUMMYFUNCTION("""COMPUTED_VALUE"""),"I")</f>
        <v>I</v>
      </c>
      <c r="G1366" s="202">
        <f ca="1">IFERROR(__xludf.DUMMYFUNCTION("""COMPUTED_VALUE"""),8)</f>
        <v>8</v>
      </c>
      <c r="H1366" s="206"/>
      <c r="I1366" s="206"/>
      <c r="J1366" s="206"/>
      <c r="K1366" s="206"/>
      <c r="L1366" s="206" t="str">
        <v/>
      </c>
      <c r="M1366" s="206" t="str">
        <v/>
      </c>
    </row>
    <row r="1367" spans="1:13" ht="14.4">
      <c r="A1367" s="199" t="str">
        <f ca="1">IFERROR(__xludf.DUMMYFUNCTION("""COMPUTED_VALUE"""),"NS")</f>
        <v>NS</v>
      </c>
      <c r="B1367" s="207" t="str">
        <f ca="1">IFERROR(__xludf.DUMMYFUNCTION("""COMPUTED_VALUE"""),"Will Leyhe")</f>
        <v>Will Leyhe</v>
      </c>
      <c r="C1367" s="199">
        <f ca="1">IFERROR(__xludf.DUMMYFUNCTION("""COMPUTED_VALUE"""),12)</f>
        <v>12</v>
      </c>
      <c r="D1367" s="199" t="str">
        <f ca="1">IFERROR(__xludf.DUMMYFUNCTION("""COMPUTED_VALUE"""),"B")</f>
        <v>B</v>
      </c>
      <c r="E1367" s="202" t="str">
        <f ca="1">IFERROR(__xludf.DUMMYFUNCTION("""COMPUTED_VALUE"""),"J")</f>
        <v>J</v>
      </c>
      <c r="F1367" s="202" t="str">
        <f ca="1">IFERROR(__xludf.DUMMYFUNCTION("""COMPUTED_VALUE"""),"I")</f>
        <v>I</v>
      </c>
      <c r="G1367" s="202">
        <f ca="1">IFERROR(__xludf.DUMMYFUNCTION("""COMPUTED_VALUE"""),8)</f>
        <v>8</v>
      </c>
      <c r="H1367" s="206"/>
      <c r="I1367" s="206">
        <v>131</v>
      </c>
      <c r="J1367" s="206"/>
      <c r="K1367" s="206" t="s">
        <v>123</v>
      </c>
      <c r="L1367" s="206" t="str">
        <v xml:space="preserve"> -131</v>
      </c>
      <c r="M1367" s="206" t="str">
        <v>^</v>
      </c>
    </row>
    <row r="1368" spans="1:13" ht="14.4">
      <c r="A1368" s="199" t="str">
        <f ca="1">IFERROR(__xludf.DUMMYFUNCTION("""COMPUTED_VALUE"""),"NS")</f>
        <v>NS</v>
      </c>
      <c r="B1368" s="207" t="str">
        <f ca="1">IFERROR(__xludf.DUMMYFUNCTION("""COMPUTED_VALUE"""),"Ami Bernard")</f>
        <v>Ami Bernard</v>
      </c>
      <c r="C1368" s="199">
        <f ca="1">IFERROR(__xludf.DUMMYFUNCTION("""COMPUTED_VALUE"""),12)</f>
        <v>12</v>
      </c>
      <c r="D1368" s="199" t="str">
        <f ca="1">IFERROR(__xludf.DUMMYFUNCTION("""COMPUTED_VALUE"""),"G")</f>
        <v>G</v>
      </c>
      <c r="E1368" s="202" t="str">
        <f ca="1">IFERROR(__xludf.DUMMYFUNCTION("""COMPUTED_VALUE"""),"J")</f>
        <v>J</v>
      </c>
      <c r="F1368" s="202" t="str">
        <f ca="1">IFERROR(__xludf.DUMMYFUNCTION("""COMPUTED_VALUE"""),"I")</f>
        <v>I</v>
      </c>
      <c r="G1368" s="202">
        <f ca="1">IFERROR(__xludf.DUMMYFUNCTION("""COMPUTED_VALUE"""),8)</f>
        <v>8</v>
      </c>
      <c r="H1368" s="206">
        <v>63.55</v>
      </c>
      <c r="I1368" s="206"/>
      <c r="J1368" s="206" t="s">
        <v>121</v>
      </c>
      <c r="K1368" s="206"/>
      <c r="L1368" s="206" t="str">
        <v xml:space="preserve"> 63.55</v>
      </c>
      <c r="M1368" s="206" t="str">
        <v/>
      </c>
    </row>
    <row r="1369" spans="1:13" ht="14.4">
      <c r="A1369" s="199" t="str">
        <f ca="1">IFERROR(__xludf.DUMMYFUNCTION("""COMPUTED_VALUE"""),"NS")</f>
        <v>NS</v>
      </c>
      <c r="B1369" s="207" t="str">
        <f ca="1">IFERROR(__xludf.DUMMYFUNCTION("""COMPUTED_VALUE"""),"Anna Balbuena")</f>
        <v>Anna Balbuena</v>
      </c>
      <c r="C1369" s="199">
        <f ca="1">IFERROR(__xludf.DUMMYFUNCTION("""COMPUTED_VALUE"""),11)</f>
        <v>11</v>
      </c>
      <c r="D1369" s="199" t="str">
        <f ca="1">IFERROR(__xludf.DUMMYFUNCTION("""COMPUTED_VALUE"""),"G")</f>
        <v>G</v>
      </c>
      <c r="E1369" s="202" t="str">
        <f ca="1">IFERROR(__xludf.DUMMYFUNCTION("""COMPUTED_VALUE"""),"J")</f>
        <v>J</v>
      </c>
      <c r="F1369" s="202" t="str">
        <f ca="1">IFERROR(__xludf.DUMMYFUNCTION("""COMPUTED_VALUE"""),"I")</f>
        <v>I</v>
      </c>
      <c r="G1369" s="202">
        <f ca="1">IFERROR(__xludf.DUMMYFUNCTION("""COMPUTED_VALUE"""),8)</f>
        <v>8</v>
      </c>
      <c r="H1369" s="206"/>
      <c r="I1369" s="206"/>
      <c r="J1369" s="206"/>
      <c r="K1369" s="206"/>
      <c r="L1369" s="206" t="str">
        <v/>
      </c>
      <c r="M1369" s="206" t="str">
        <v/>
      </c>
    </row>
    <row r="1370" spans="1:13" ht="14.4">
      <c r="A1370" s="199" t="str">
        <f ca="1">IFERROR(__xludf.DUMMYFUNCTION("""COMPUTED_VALUE"""),"NS")</f>
        <v>NS</v>
      </c>
      <c r="B1370" s="207" t="str">
        <f ca="1">IFERROR(__xludf.DUMMYFUNCTION("""COMPUTED_VALUE"""),"Daisy Perez")</f>
        <v>Daisy Perez</v>
      </c>
      <c r="C1370" s="199">
        <f ca="1">IFERROR(__xludf.DUMMYFUNCTION("""COMPUTED_VALUE"""),11)</f>
        <v>11</v>
      </c>
      <c r="D1370" s="199" t="str">
        <f ca="1">IFERROR(__xludf.DUMMYFUNCTION("""COMPUTED_VALUE"""),"G")</f>
        <v>G</v>
      </c>
      <c r="E1370" s="202" t="str">
        <f ca="1">IFERROR(__xludf.DUMMYFUNCTION("""COMPUTED_VALUE"""),"J")</f>
        <v>J</v>
      </c>
      <c r="F1370" s="202" t="str">
        <f ca="1">IFERROR(__xludf.DUMMYFUNCTION("""COMPUTED_VALUE"""),"I")</f>
        <v>I</v>
      </c>
      <c r="G1370" s="202">
        <f ca="1">IFERROR(__xludf.DUMMYFUNCTION("""COMPUTED_VALUE"""),8)</f>
        <v>8</v>
      </c>
      <c r="H1370" s="206"/>
      <c r="I1370" s="206"/>
      <c r="J1370" s="206"/>
      <c r="K1370" s="206"/>
      <c r="L1370" s="206" t="str">
        <v/>
      </c>
      <c r="M1370" s="206" t="str">
        <v/>
      </c>
    </row>
    <row r="1371" spans="1:13" ht="14.4">
      <c r="A1371" s="199" t="str">
        <f ca="1">IFERROR(__xludf.DUMMYFUNCTION("""COMPUTED_VALUE"""),"NS")</f>
        <v>NS</v>
      </c>
      <c r="B1371" s="207" t="str">
        <f ca="1">IFERROR(__xludf.DUMMYFUNCTION("""COMPUTED_VALUE"""),"Elizabeth Porter")</f>
        <v>Elizabeth Porter</v>
      </c>
      <c r="C1371" s="199">
        <f ca="1">IFERROR(__xludf.DUMMYFUNCTION("""COMPUTED_VALUE"""),12)</f>
        <v>12</v>
      </c>
      <c r="D1371" s="199" t="str">
        <f ca="1">IFERROR(__xludf.DUMMYFUNCTION("""COMPUTED_VALUE"""),"G")</f>
        <v>G</v>
      </c>
      <c r="E1371" s="202" t="str">
        <f ca="1">IFERROR(__xludf.DUMMYFUNCTION("""COMPUTED_VALUE"""),"J")</f>
        <v>J</v>
      </c>
      <c r="F1371" s="202" t="str">
        <f ca="1">IFERROR(__xludf.DUMMYFUNCTION("""COMPUTED_VALUE"""),"I")</f>
        <v>I</v>
      </c>
      <c r="G1371" s="202">
        <f ca="1">IFERROR(__xludf.DUMMYFUNCTION("""COMPUTED_VALUE"""),8)</f>
        <v>8</v>
      </c>
      <c r="H1371" s="208"/>
      <c r="I1371" s="208"/>
      <c r="J1371" s="208"/>
      <c r="K1371" s="208"/>
      <c r="L1371" s="208" t="str">
        <v/>
      </c>
      <c r="M1371" s="208" t="str">
        <v/>
      </c>
    </row>
    <row r="1372" spans="1:13" ht="14.4">
      <c r="A1372" s="199" t="str">
        <f ca="1">IFERROR(__xludf.DUMMYFUNCTION("""COMPUTED_VALUE"""),"NS")</f>
        <v>NS</v>
      </c>
      <c r="B1372" s="207" t="str">
        <f ca="1">IFERROR(__xludf.DUMMYFUNCTION("""COMPUTED_VALUE"""),"Ella McKenna")</f>
        <v>Ella McKenna</v>
      </c>
      <c r="C1372" s="199">
        <f ca="1">IFERROR(__xludf.DUMMYFUNCTION("""COMPUTED_VALUE"""),11)</f>
        <v>11</v>
      </c>
      <c r="D1372" s="199" t="str">
        <f ca="1">IFERROR(__xludf.DUMMYFUNCTION("""COMPUTED_VALUE"""),"G")</f>
        <v>G</v>
      </c>
      <c r="E1372" s="202" t="str">
        <f ca="1">IFERROR(__xludf.DUMMYFUNCTION("""COMPUTED_VALUE"""),"J")</f>
        <v>J</v>
      </c>
      <c r="F1372" s="202" t="str">
        <f ca="1">IFERROR(__xludf.DUMMYFUNCTION("""COMPUTED_VALUE"""),"I")</f>
        <v>I</v>
      </c>
      <c r="G1372" s="202">
        <f ca="1">IFERROR(__xludf.DUMMYFUNCTION("""COMPUTED_VALUE"""),8)</f>
        <v>8</v>
      </c>
      <c r="H1372" s="208"/>
      <c r="I1372" s="208"/>
      <c r="J1372" s="208"/>
      <c r="K1372" s="208"/>
      <c r="L1372" s="208" t="str">
        <v/>
      </c>
      <c r="M1372" s="208" t="str">
        <v/>
      </c>
    </row>
    <row r="1373" spans="1:13" ht="14.4">
      <c r="A1373" s="199" t="str">
        <f ca="1">IFERROR(__xludf.DUMMYFUNCTION("""COMPUTED_VALUE"""),"NS")</f>
        <v>NS</v>
      </c>
      <c r="B1373" s="207" t="str">
        <f ca="1">IFERROR(__xludf.DUMMYFUNCTION("""COMPUTED_VALUE"""),"Karina Simone")</f>
        <v>Karina Simone</v>
      </c>
      <c r="C1373" s="199">
        <f ca="1">IFERROR(__xludf.DUMMYFUNCTION("""COMPUTED_VALUE"""),11)</f>
        <v>11</v>
      </c>
      <c r="D1373" s="199" t="str">
        <f ca="1">IFERROR(__xludf.DUMMYFUNCTION("""COMPUTED_VALUE"""),"G")</f>
        <v>G</v>
      </c>
      <c r="E1373" s="202" t="str">
        <f ca="1">IFERROR(__xludf.DUMMYFUNCTION("""COMPUTED_VALUE"""),"J")</f>
        <v>J</v>
      </c>
      <c r="F1373" s="202" t="str">
        <f ca="1">IFERROR(__xludf.DUMMYFUNCTION("""COMPUTED_VALUE"""),"I")</f>
        <v>I</v>
      </c>
      <c r="G1373" s="202">
        <f ca="1">IFERROR(__xludf.DUMMYFUNCTION("""COMPUTED_VALUE"""),8)</f>
        <v>8</v>
      </c>
      <c r="H1373" s="206"/>
      <c r="I1373" s="206"/>
      <c r="J1373" s="206"/>
      <c r="K1373" s="206"/>
      <c r="L1373" s="206" t="str">
        <v/>
      </c>
      <c r="M1373" s="206" t="str">
        <v/>
      </c>
    </row>
    <row r="1374" spans="1:13" ht="14.4">
      <c r="A1374" s="199" t="str">
        <f ca="1">IFERROR(__xludf.DUMMYFUNCTION("""COMPUTED_VALUE"""),"NS")</f>
        <v>NS</v>
      </c>
      <c r="B1374" s="207" t="str">
        <f ca="1">IFERROR(__xludf.DUMMYFUNCTION("""COMPUTED_VALUE"""),"Sarah Guy")</f>
        <v>Sarah Guy</v>
      </c>
      <c r="C1374" s="199">
        <f ca="1">IFERROR(__xludf.DUMMYFUNCTION("""COMPUTED_VALUE"""),12)</f>
        <v>12</v>
      </c>
      <c r="D1374" s="199" t="str">
        <f ca="1">IFERROR(__xludf.DUMMYFUNCTION("""COMPUTED_VALUE"""),"G")</f>
        <v>G</v>
      </c>
      <c r="E1374" s="202" t="str">
        <f ca="1">IFERROR(__xludf.DUMMYFUNCTION("""COMPUTED_VALUE"""),"J")</f>
        <v>J</v>
      </c>
      <c r="F1374" s="202" t="str">
        <f ca="1">IFERROR(__xludf.DUMMYFUNCTION("""COMPUTED_VALUE"""),"I")</f>
        <v>I</v>
      </c>
      <c r="G1374" s="202">
        <f ca="1">IFERROR(__xludf.DUMMYFUNCTION("""COMPUTED_VALUE"""),8)</f>
        <v>8</v>
      </c>
      <c r="H1374" s="206"/>
      <c r="I1374" s="206"/>
      <c r="J1374" s="206"/>
      <c r="K1374" s="206"/>
      <c r="L1374" s="206" t="str">
        <v/>
      </c>
      <c r="M1374" s="206" t="str">
        <v/>
      </c>
    </row>
    <row r="1375" spans="1:13" ht="14.4">
      <c r="A1375" s="199" t="str">
        <f ca="1">IFERROR(__xludf.DUMMYFUNCTION("""COMPUTED_VALUE"""),"NS")</f>
        <v>NS</v>
      </c>
      <c r="B1375" s="207" t="str">
        <f ca="1">IFERROR(__xludf.DUMMYFUNCTION("""COMPUTED_VALUE"""),"Xavier Johnston")</f>
        <v>Xavier Johnston</v>
      </c>
      <c r="C1375" s="199">
        <f ca="1">IFERROR(__xludf.DUMMYFUNCTION("""COMPUTED_VALUE"""),16)</f>
        <v>16</v>
      </c>
      <c r="D1375" s="199" t="str">
        <f ca="1">IFERROR(__xludf.DUMMYFUNCTION("""COMPUTED_VALUE"""),"B")</f>
        <v>B</v>
      </c>
      <c r="E1375" s="202" t="str">
        <f ca="1">IFERROR(__xludf.DUMMYFUNCTION("""COMPUTED_VALUE"""),"S")</f>
        <v>S</v>
      </c>
      <c r="F1375" s="202" t="str">
        <f ca="1">IFERROR(__xludf.DUMMYFUNCTION("""COMPUTED_VALUE"""),"S")</f>
        <v>S</v>
      </c>
      <c r="G1375" s="202">
        <f ca="1">IFERROR(__xludf.DUMMYFUNCTION("""COMPUTED_VALUE"""),8)</f>
        <v>8</v>
      </c>
      <c r="H1375" s="206"/>
      <c r="I1375" s="206">
        <v>154.35</v>
      </c>
      <c r="J1375" s="206"/>
      <c r="K1375" s="206" t="s">
        <v>121</v>
      </c>
      <c r="L1375" s="206" t="str">
        <v xml:space="preserve"> 154.35</v>
      </c>
      <c r="M1375" s="206" t="str">
        <v/>
      </c>
    </row>
    <row r="1376" spans="1:13" ht="14.4">
      <c r="A1376" s="199" t="str">
        <f ca="1">IFERROR(__xludf.DUMMYFUNCTION("""COMPUTED_VALUE"""),"NS")</f>
        <v>NS</v>
      </c>
      <c r="B1376" s="207" t="str">
        <f ca="1">IFERROR(__xludf.DUMMYFUNCTION("""COMPUTED_VALUE"""),"Charlotte Moore")</f>
        <v>Charlotte Moore</v>
      </c>
      <c r="C1376" s="199">
        <f ca="1">IFERROR(__xludf.DUMMYFUNCTION("""COMPUTED_VALUE"""),15)</f>
        <v>15</v>
      </c>
      <c r="D1376" s="199" t="str">
        <f ca="1">IFERROR(__xludf.DUMMYFUNCTION("""COMPUTED_VALUE"""),"G")</f>
        <v>G</v>
      </c>
      <c r="E1376" s="202" t="str">
        <f ca="1">IFERROR(__xludf.DUMMYFUNCTION("""COMPUTED_VALUE"""),"S")</f>
        <v>S</v>
      </c>
      <c r="F1376" s="202" t="str">
        <f ca="1">IFERROR(__xludf.DUMMYFUNCTION("""COMPUTED_VALUE"""),"S")</f>
        <v>S</v>
      </c>
      <c r="G1376" s="202">
        <f ca="1">IFERROR(__xludf.DUMMYFUNCTION("""COMPUTED_VALUE"""),8)</f>
        <v>8</v>
      </c>
      <c r="H1376" s="208">
        <v>156.1</v>
      </c>
      <c r="I1376" s="208"/>
      <c r="J1376" s="208" t="s">
        <v>121</v>
      </c>
      <c r="K1376" s="208"/>
      <c r="L1376" s="208" t="str">
        <v xml:space="preserve"> 156.1</v>
      </c>
      <c r="M1376" s="208" t="str">
        <v/>
      </c>
    </row>
    <row r="1377" spans="1:13" ht="14.4">
      <c r="A1377" s="199" t="str">
        <f ca="1">IFERROR(__xludf.DUMMYFUNCTION("""COMPUTED_VALUE"""),"NS")</f>
        <v>NS</v>
      </c>
      <c r="B1377" s="207" t="str">
        <f ca="1">IFERROR(__xludf.DUMMYFUNCTION("""COMPUTED_VALUE"""),"Keira Dalrymple")</f>
        <v>Keira Dalrymple</v>
      </c>
      <c r="C1377" s="199">
        <f ca="1">IFERROR(__xludf.DUMMYFUNCTION("""COMPUTED_VALUE"""),15)</f>
        <v>15</v>
      </c>
      <c r="D1377" s="199" t="str">
        <f ca="1">IFERROR(__xludf.DUMMYFUNCTION("""COMPUTED_VALUE"""),"G")</f>
        <v>G</v>
      </c>
      <c r="E1377" s="202" t="str">
        <f ca="1">IFERROR(__xludf.DUMMYFUNCTION("""COMPUTED_VALUE"""),"S")</f>
        <v>S</v>
      </c>
      <c r="F1377" s="202" t="str">
        <f ca="1">IFERROR(__xludf.DUMMYFUNCTION("""COMPUTED_VALUE"""),"S")</f>
        <v>S</v>
      </c>
      <c r="G1377" s="202">
        <f ca="1">IFERROR(__xludf.DUMMYFUNCTION("""COMPUTED_VALUE"""),8)</f>
        <v>8</v>
      </c>
      <c r="H1377" s="206">
        <v>93.6</v>
      </c>
      <c r="I1377" s="206"/>
      <c r="J1377" s="206" t="s">
        <v>121</v>
      </c>
      <c r="K1377" s="206"/>
      <c r="L1377" s="206" t="str">
        <v xml:space="preserve"> 93.6</v>
      </c>
      <c r="M1377" s="206" t="str">
        <v/>
      </c>
    </row>
    <row r="1378" spans="1:13" ht="14.4">
      <c r="A1378" s="199" t="str">
        <f ca="1">IFERROR(__xludf.DUMMYFUNCTION("""COMPUTED_VALUE"""),"NS")</f>
        <v>NS</v>
      </c>
      <c r="B1378" s="207" t="str">
        <f ca="1">IFERROR(__xludf.DUMMYFUNCTION("""COMPUTED_VALUE"""),"Madelynn Gall")</f>
        <v>Madelynn Gall</v>
      </c>
      <c r="C1378" s="199">
        <f ca="1">IFERROR(__xludf.DUMMYFUNCTION("""COMPUTED_VALUE"""),15)</f>
        <v>15</v>
      </c>
      <c r="D1378" s="199" t="str">
        <f ca="1">IFERROR(__xludf.DUMMYFUNCTION("""COMPUTED_VALUE"""),"G")</f>
        <v>G</v>
      </c>
      <c r="E1378" s="202" t="str">
        <f ca="1">IFERROR(__xludf.DUMMYFUNCTION("""COMPUTED_VALUE"""),"S")</f>
        <v>S</v>
      </c>
      <c r="F1378" s="202" t="str">
        <f ca="1">IFERROR(__xludf.DUMMYFUNCTION("""COMPUTED_VALUE"""),"S")</f>
        <v>S</v>
      </c>
      <c r="G1378" s="202">
        <f ca="1">IFERROR(__xludf.DUMMYFUNCTION("""COMPUTED_VALUE"""),8)</f>
        <v>8</v>
      </c>
      <c r="H1378" s="206">
        <v>0</v>
      </c>
      <c r="I1378" s="206"/>
      <c r="J1378" s="206" t="s">
        <v>121</v>
      </c>
      <c r="K1378" s="206"/>
      <c r="L1378" s="206" t="str">
        <v xml:space="preserve"> 0</v>
      </c>
      <c r="M1378" s="206" t="str">
        <v/>
      </c>
    </row>
    <row r="1379" spans="1:13" ht="14.4">
      <c r="A1379" s="199" t="str">
        <f ca="1">IFERROR(__xludf.DUMMYFUNCTION("""COMPUTED_VALUE"""),"NS")</f>
        <v>NS</v>
      </c>
      <c r="B1379" s="207" t="str">
        <f ca="1">IFERROR(__xludf.DUMMYFUNCTION("""COMPUTED_VALUE"""),"Morgan Milman")</f>
        <v>Morgan Milman</v>
      </c>
      <c r="C1379" s="199">
        <f ca="1">IFERROR(__xludf.DUMMYFUNCTION("""COMPUTED_VALUE"""),15)</f>
        <v>15</v>
      </c>
      <c r="D1379" s="199" t="str">
        <f ca="1">IFERROR(__xludf.DUMMYFUNCTION("""COMPUTED_VALUE"""),"G")</f>
        <v>G</v>
      </c>
      <c r="E1379" s="202" t="str">
        <f ca="1">IFERROR(__xludf.DUMMYFUNCTION("""COMPUTED_VALUE"""),"S")</f>
        <v>S</v>
      </c>
      <c r="F1379" s="202" t="str">
        <f ca="1">IFERROR(__xludf.DUMMYFUNCTION("""COMPUTED_VALUE"""),"S")</f>
        <v>S</v>
      </c>
      <c r="G1379" s="202">
        <f ca="1">IFERROR(__xludf.DUMMYFUNCTION("""COMPUTED_VALUE"""),8)</f>
        <v>8</v>
      </c>
      <c r="H1379" s="208">
        <v>170.25</v>
      </c>
      <c r="I1379" s="208"/>
      <c r="J1379" s="208" t="s">
        <v>121</v>
      </c>
      <c r="K1379" s="208"/>
      <c r="L1379" s="208" t="str">
        <v xml:space="preserve"> 170.25</v>
      </c>
      <c r="M1379" s="208" t="str">
        <v/>
      </c>
    </row>
    <row r="1380" spans="1:13" ht="14.4">
      <c r="A1380" s="199" t="str">
        <f ca="1">IFERROR(__xludf.DUMMYFUNCTION("""COMPUTED_VALUE"""),"O")</f>
        <v>O</v>
      </c>
      <c r="B1380" s="207" t="str">
        <f ca="1">IFERROR(__xludf.DUMMYFUNCTION("""COMPUTED_VALUE"""),"Aiden Bristow")</f>
        <v>Aiden Bristow</v>
      </c>
      <c r="C1380" s="199">
        <f ca="1">IFERROR(__xludf.DUMMYFUNCTION("""COMPUTED_VALUE"""),8)</f>
        <v>8</v>
      </c>
      <c r="D1380" s="199" t="str">
        <f ca="1">IFERROR(__xludf.DUMMYFUNCTION("""COMPUTED_VALUE"""),"B")</f>
        <v>B</v>
      </c>
      <c r="E1380" s="202" t="str">
        <f ca="1">IFERROR(__xludf.DUMMYFUNCTION("""COMPUTED_VALUE"""),"F")</f>
        <v>F</v>
      </c>
      <c r="F1380" s="202" t="str">
        <f ca="1">IFERROR(__xludf.DUMMYFUNCTION("""COMPUTED_VALUE"""),"J")</f>
        <v>J</v>
      </c>
      <c r="G1380" s="202">
        <f ca="1">IFERROR(__xludf.DUMMYFUNCTION("""COMPUTED_VALUE"""),1)</f>
        <v>1</v>
      </c>
      <c r="H1380" s="208"/>
      <c r="I1380" s="208"/>
      <c r="J1380" s="208"/>
      <c r="K1380" s="208"/>
      <c r="L1380" s="208" t="str">
        <v/>
      </c>
      <c r="M1380" s="208" t="str">
        <v/>
      </c>
    </row>
    <row r="1381" spans="1:13" ht="14.4">
      <c r="A1381" s="199" t="str">
        <f ca="1">IFERROR(__xludf.DUMMYFUNCTION("""COMPUTED_VALUE"""),"O")</f>
        <v>O</v>
      </c>
      <c r="B1381" s="207" t="str">
        <f ca="1">IFERROR(__xludf.DUMMYFUNCTION("""COMPUTED_VALUE"""),"Archer Kouhestani")</f>
        <v>Archer Kouhestani</v>
      </c>
      <c r="C1381" s="199">
        <f ca="1">IFERROR(__xludf.DUMMYFUNCTION("""COMPUTED_VALUE"""),9)</f>
        <v>9</v>
      </c>
      <c r="D1381" s="199" t="str">
        <f ca="1">IFERROR(__xludf.DUMMYFUNCTION("""COMPUTED_VALUE"""),"B")</f>
        <v>B</v>
      </c>
      <c r="E1381" s="202" t="str">
        <f ca="1">IFERROR(__xludf.DUMMYFUNCTION("""COMPUTED_VALUE"""),"F")</f>
        <v>F</v>
      </c>
      <c r="F1381" s="202" t="str">
        <f ca="1">IFERROR(__xludf.DUMMYFUNCTION("""COMPUTED_VALUE"""),"J")</f>
        <v>J</v>
      </c>
      <c r="G1381" s="202">
        <f ca="1">IFERROR(__xludf.DUMMYFUNCTION("""COMPUTED_VALUE"""),1)</f>
        <v>1</v>
      </c>
      <c r="H1381" s="206"/>
      <c r="I1381" s="206">
        <v>50.5</v>
      </c>
      <c r="J1381" s="206"/>
      <c r="K1381" s="206" t="s">
        <v>121</v>
      </c>
      <c r="L1381" s="206" t="str">
        <v xml:space="preserve"> 50.5</v>
      </c>
      <c r="M1381" s="206" t="str">
        <v/>
      </c>
    </row>
    <row r="1382" spans="1:13" ht="14.4">
      <c r="A1382" s="199" t="str">
        <f ca="1">IFERROR(__xludf.DUMMYFUNCTION("""COMPUTED_VALUE"""),"O")</f>
        <v>O</v>
      </c>
      <c r="B1382" s="207" t="str">
        <f ca="1">IFERROR(__xludf.DUMMYFUNCTION("""COMPUTED_VALUE"""),"Bruce Buczek")</f>
        <v>Bruce Buczek</v>
      </c>
      <c r="C1382" s="199">
        <f ca="1">IFERROR(__xludf.DUMMYFUNCTION("""COMPUTED_VALUE"""),7)</f>
        <v>7</v>
      </c>
      <c r="D1382" s="199" t="str">
        <f ca="1">IFERROR(__xludf.DUMMYFUNCTION("""COMPUTED_VALUE"""),"B")</f>
        <v>B</v>
      </c>
      <c r="E1382" s="202" t="str">
        <f ca="1">IFERROR(__xludf.DUMMYFUNCTION("""COMPUTED_VALUE"""),"F")</f>
        <v>F</v>
      </c>
      <c r="F1382" s="202" t="str">
        <f ca="1">IFERROR(__xludf.DUMMYFUNCTION("""COMPUTED_VALUE"""),"J")</f>
        <v>J</v>
      </c>
      <c r="G1382" s="202">
        <f ca="1">IFERROR(__xludf.DUMMYFUNCTION("""COMPUTED_VALUE"""),1)</f>
        <v>1</v>
      </c>
      <c r="H1382" s="208"/>
      <c r="I1382" s="208"/>
      <c r="J1382" s="208"/>
      <c r="K1382" s="208"/>
      <c r="L1382" s="208" t="str">
        <v/>
      </c>
      <c r="M1382" s="208" t="str">
        <v/>
      </c>
    </row>
    <row r="1383" spans="1:13" ht="14.4">
      <c r="A1383" s="199" t="str">
        <f ca="1">IFERROR(__xludf.DUMMYFUNCTION("""COMPUTED_VALUE"""),"O")</f>
        <v>O</v>
      </c>
      <c r="B1383" s="207" t="str">
        <f ca="1">IFERROR(__xludf.DUMMYFUNCTION("""COMPUTED_VALUE"""),"Carter Yasin")</f>
        <v>Carter Yasin</v>
      </c>
      <c r="C1383" s="199">
        <f ca="1">IFERROR(__xludf.DUMMYFUNCTION("""COMPUTED_VALUE"""),10)</f>
        <v>10</v>
      </c>
      <c r="D1383" s="199" t="str">
        <f ca="1">IFERROR(__xludf.DUMMYFUNCTION("""COMPUTED_VALUE"""),"B")</f>
        <v>B</v>
      </c>
      <c r="E1383" s="202" t="str">
        <f ca="1">IFERROR(__xludf.DUMMYFUNCTION("""COMPUTED_VALUE"""),"F")</f>
        <v>F</v>
      </c>
      <c r="F1383" s="202" t="str">
        <f ca="1">IFERROR(__xludf.DUMMYFUNCTION("""COMPUTED_VALUE"""),"J")</f>
        <v>J</v>
      </c>
      <c r="G1383" s="202">
        <f ca="1">IFERROR(__xludf.DUMMYFUNCTION("""COMPUTED_VALUE"""),1)</f>
        <v>1</v>
      </c>
      <c r="H1383" s="208"/>
      <c r="I1383" s="208"/>
      <c r="J1383" s="208"/>
      <c r="K1383" s="208"/>
      <c r="L1383" s="208" t="str">
        <v/>
      </c>
      <c r="M1383" s="208" t="str">
        <v/>
      </c>
    </row>
    <row r="1384" spans="1:13" ht="14.4">
      <c r="A1384" s="199" t="str">
        <f ca="1">IFERROR(__xludf.DUMMYFUNCTION("""COMPUTED_VALUE"""),"O")</f>
        <v>O</v>
      </c>
      <c r="B1384" s="207" t="str">
        <f ca="1">IFERROR(__xludf.DUMMYFUNCTION("""COMPUTED_VALUE"""),"Davis Fletcher")</f>
        <v>Davis Fletcher</v>
      </c>
      <c r="C1384" s="199">
        <f ca="1">IFERROR(__xludf.DUMMYFUNCTION("""COMPUTED_VALUE"""),10)</f>
        <v>10</v>
      </c>
      <c r="D1384" s="199" t="str">
        <f ca="1">IFERROR(__xludf.DUMMYFUNCTION("""COMPUTED_VALUE"""),"B")</f>
        <v>B</v>
      </c>
      <c r="E1384" s="202" t="str">
        <f ca="1">IFERROR(__xludf.DUMMYFUNCTION("""COMPUTED_VALUE"""),"F")</f>
        <v>F</v>
      </c>
      <c r="F1384" s="202" t="str">
        <f ca="1">IFERROR(__xludf.DUMMYFUNCTION("""COMPUTED_VALUE"""),"J")</f>
        <v>J</v>
      </c>
      <c r="G1384" s="202">
        <f ca="1">IFERROR(__xludf.DUMMYFUNCTION("""COMPUTED_VALUE"""),1)</f>
        <v>1</v>
      </c>
      <c r="H1384" s="206"/>
      <c r="I1384" s="206"/>
      <c r="J1384" s="206"/>
      <c r="K1384" s="206"/>
      <c r="L1384" s="206" t="str">
        <v/>
      </c>
      <c r="M1384" s="206" t="str">
        <v/>
      </c>
    </row>
    <row r="1385" spans="1:13" ht="14.4">
      <c r="A1385" s="199" t="str">
        <f ca="1">IFERROR(__xludf.DUMMYFUNCTION("""COMPUTED_VALUE"""),"O")</f>
        <v>O</v>
      </c>
      <c r="B1385" s="207" t="str">
        <f ca="1">IFERROR(__xludf.DUMMYFUNCTION("""COMPUTED_VALUE"""),"Dylan Kates")</f>
        <v>Dylan Kates</v>
      </c>
      <c r="C1385" s="199">
        <f ca="1">IFERROR(__xludf.DUMMYFUNCTION("""COMPUTED_VALUE"""),7)</f>
        <v>7</v>
      </c>
      <c r="D1385" s="199" t="str">
        <f ca="1">IFERROR(__xludf.DUMMYFUNCTION("""COMPUTED_VALUE"""),"B")</f>
        <v>B</v>
      </c>
      <c r="E1385" s="202" t="str">
        <f ca="1">IFERROR(__xludf.DUMMYFUNCTION("""COMPUTED_VALUE"""),"F")</f>
        <v>F</v>
      </c>
      <c r="F1385" s="202" t="str">
        <f ca="1">IFERROR(__xludf.DUMMYFUNCTION("""COMPUTED_VALUE"""),"J")</f>
        <v>J</v>
      </c>
      <c r="G1385" s="202">
        <f ca="1">IFERROR(__xludf.DUMMYFUNCTION("""COMPUTED_VALUE"""),1)</f>
        <v>1</v>
      </c>
      <c r="H1385" s="206"/>
      <c r="I1385" s="206"/>
      <c r="J1385" s="206"/>
      <c r="K1385" s="206"/>
      <c r="L1385" s="206" t="str">
        <v/>
      </c>
      <c r="M1385" s="206" t="str">
        <v/>
      </c>
    </row>
    <row r="1386" spans="1:13" ht="14.4">
      <c r="A1386" s="199" t="str">
        <f ca="1">IFERROR(__xludf.DUMMYFUNCTION("""COMPUTED_VALUE"""),"O")</f>
        <v>O</v>
      </c>
      <c r="B1386" s="207" t="str">
        <f ca="1">IFERROR(__xludf.DUMMYFUNCTION("""COMPUTED_VALUE"""),"Elliot Raber")</f>
        <v>Elliot Raber</v>
      </c>
      <c r="C1386" s="199">
        <f ca="1">IFERROR(__xludf.DUMMYFUNCTION("""COMPUTED_VALUE"""),8)</f>
        <v>8</v>
      </c>
      <c r="D1386" s="199" t="str">
        <f ca="1">IFERROR(__xludf.DUMMYFUNCTION("""COMPUTED_VALUE"""),"B")</f>
        <v>B</v>
      </c>
      <c r="E1386" s="202" t="str">
        <f ca="1">IFERROR(__xludf.DUMMYFUNCTION("""COMPUTED_VALUE"""),"F")</f>
        <v>F</v>
      </c>
      <c r="F1386" s="202" t="str">
        <f ca="1">IFERROR(__xludf.DUMMYFUNCTION("""COMPUTED_VALUE"""),"J")</f>
        <v>J</v>
      </c>
      <c r="G1386" s="202">
        <f ca="1">IFERROR(__xludf.DUMMYFUNCTION("""COMPUTED_VALUE"""),1)</f>
        <v>1</v>
      </c>
      <c r="H1386" s="208"/>
      <c r="I1386" s="208"/>
      <c r="J1386" s="208"/>
      <c r="K1386" s="208"/>
      <c r="L1386" s="208" t="str">
        <v/>
      </c>
      <c r="M1386" s="208" t="str">
        <v/>
      </c>
    </row>
    <row r="1387" spans="1:13" ht="14.4">
      <c r="A1387" s="199" t="str">
        <f ca="1">IFERROR(__xludf.DUMMYFUNCTION("""COMPUTED_VALUE"""),"O")</f>
        <v>O</v>
      </c>
      <c r="B1387" s="207" t="str">
        <f ca="1">IFERROR(__xludf.DUMMYFUNCTION("""COMPUTED_VALUE"""),"Hank Buchanan")</f>
        <v>Hank Buchanan</v>
      </c>
      <c r="C1387" s="199">
        <f ca="1">IFERROR(__xludf.DUMMYFUNCTION("""COMPUTED_VALUE"""),10)</f>
        <v>10</v>
      </c>
      <c r="D1387" s="199" t="str">
        <f ca="1">IFERROR(__xludf.DUMMYFUNCTION("""COMPUTED_VALUE"""),"B")</f>
        <v>B</v>
      </c>
      <c r="E1387" s="202" t="str">
        <f ca="1">IFERROR(__xludf.DUMMYFUNCTION("""COMPUTED_VALUE"""),"F")</f>
        <v>F</v>
      </c>
      <c r="F1387" s="202" t="str">
        <f ca="1">IFERROR(__xludf.DUMMYFUNCTION("""COMPUTED_VALUE"""),"J")</f>
        <v>J</v>
      </c>
      <c r="G1387" s="202">
        <f ca="1">IFERROR(__xludf.DUMMYFUNCTION("""COMPUTED_VALUE"""),1)</f>
        <v>1</v>
      </c>
      <c r="H1387" s="208"/>
      <c r="I1387" s="208"/>
      <c r="J1387" s="208"/>
      <c r="K1387" s="208"/>
      <c r="L1387" s="208" t="str">
        <v/>
      </c>
      <c r="M1387" s="208" t="str">
        <v/>
      </c>
    </row>
    <row r="1388" spans="1:13" ht="14.4">
      <c r="A1388" s="199" t="str">
        <f ca="1">IFERROR(__xludf.DUMMYFUNCTION("""COMPUTED_VALUE"""),"O")</f>
        <v>O</v>
      </c>
      <c r="B1388" s="207" t="str">
        <f ca="1">IFERROR(__xludf.DUMMYFUNCTION("""COMPUTED_VALUE"""),"Henry Thayer")</f>
        <v>Henry Thayer</v>
      </c>
      <c r="C1388" s="199">
        <f ca="1">IFERROR(__xludf.DUMMYFUNCTION("""COMPUTED_VALUE"""),8)</f>
        <v>8</v>
      </c>
      <c r="D1388" s="199" t="str">
        <f ca="1">IFERROR(__xludf.DUMMYFUNCTION("""COMPUTED_VALUE"""),"B")</f>
        <v>B</v>
      </c>
      <c r="E1388" s="202" t="str">
        <f ca="1">IFERROR(__xludf.DUMMYFUNCTION("""COMPUTED_VALUE"""),"F")</f>
        <v>F</v>
      </c>
      <c r="F1388" s="202" t="str">
        <f ca="1">IFERROR(__xludf.DUMMYFUNCTION("""COMPUTED_VALUE"""),"J")</f>
        <v>J</v>
      </c>
      <c r="G1388" s="202">
        <f ca="1">IFERROR(__xludf.DUMMYFUNCTION("""COMPUTED_VALUE"""),1)</f>
        <v>1</v>
      </c>
      <c r="H1388" s="206"/>
      <c r="I1388" s="206"/>
      <c r="J1388" s="206"/>
      <c r="K1388" s="206"/>
      <c r="L1388" s="206" t="str">
        <v/>
      </c>
      <c r="M1388" s="206" t="str">
        <v/>
      </c>
    </row>
    <row r="1389" spans="1:13" ht="14.4">
      <c r="A1389" s="199" t="str">
        <f ca="1">IFERROR(__xludf.DUMMYFUNCTION("""COMPUTED_VALUE"""),"O")</f>
        <v>O</v>
      </c>
      <c r="B1389" s="207" t="str">
        <f ca="1">IFERROR(__xludf.DUMMYFUNCTION("""COMPUTED_VALUE"""),"Jackson Kates")</f>
        <v>Jackson Kates</v>
      </c>
      <c r="C1389" s="199">
        <f ca="1">IFERROR(__xludf.DUMMYFUNCTION("""COMPUTED_VALUE"""),10)</f>
        <v>10</v>
      </c>
      <c r="D1389" s="199" t="str">
        <f ca="1">IFERROR(__xludf.DUMMYFUNCTION("""COMPUTED_VALUE"""),"B")</f>
        <v>B</v>
      </c>
      <c r="E1389" s="202" t="str">
        <f ca="1">IFERROR(__xludf.DUMMYFUNCTION("""COMPUTED_VALUE"""),"F")</f>
        <v>F</v>
      </c>
      <c r="F1389" s="202" t="str">
        <f ca="1">IFERROR(__xludf.DUMMYFUNCTION("""COMPUTED_VALUE"""),"J")</f>
        <v>J</v>
      </c>
      <c r="G1389" s="202">
        <f ca="1">IFERROR(__xludf.DUMMYFUNCTION("""COMPUTED_VALUE"""),1)</f>
        <v>1</v>
      </c>
      <c r="H1389" s="206"/>
      <c r="I1389" s="206"/>
      <c r="J1389" s="206"/>
      <c r="K1389" s="206"/>
      <c r="L1389" s="206" t="str">
        <v/>
      </c>
      <c r="M1389" s="206" t="str">
        <v/>
      </c>
    </row>
    <row r="1390" spans="1:13" ht="14.4">
      <c r="A1390" s="199" t="str">
        <f ca="1">IFERROR(__xludf.DUMMYFUNCTION("""COMPUTED_VALUE"""),"O")</f>
        <v>O</v>
      </c>
      <c r="B1390" s="207" t="str">
        <f ca="1">IFERROR(__xludf.DUMMYFUNCTION("""COMPUTED_VALUE"""),"James Venos")</f>
        <v>James Venos</v>
      </c>
      <c r="C1390" s="199">
        <f ca="1">IFERROR(__xludf.DUMMYFUNCTION("""COMPUTED_VALUE"""),7)</f>
        <v>7</v>
      </c>
      <c r="D1390" s="199" t="str">
        <f ca="1">IFERROR(__xludf.DUMMYFUNCTION("""COMPUTED_VALUE"""),"B")</f>
        <v>B</v>
      </c>
      <c r="E1390" s="202" t="str">
        <f ca="1">IFERROR(__xludf.DUMMYFUNCTION("""COMPUTED_VALUE"""),"F")</f>
        <v>F</v>
      </c>
      <c r="F1390" s="202" t="str">
        <f ca="1">IFERROR(__xludf.DUMMYFUNCTION("""COMPUTED_VALUE"""),"J")</f>
        <v>J</v>
      </c>
      <c r="G1390" s="202">
        <f ca="1">IFERROR(__xludf.DUMMYFUNCTION("""COMPUTED_VALUE"""),1)</f>
        <v>1</v>
      </c>
      <c r="H1390" s="206"/>
      <c r="I1390" s="206"/>
      <c r="J1390" s="206"/>
      <c r="K1390" s="206"/>
      <c r="L1390" s="206" t="str">
        <v/>
      </c>
      <c r="M1390" s="206" t="str">
        <v/>
      </c>
    </row>
    <row r="1391" spans="1:13" ht="14.4">
      <c r="A1391" s="199" t="str">
        <f ca="1">IFERROR(__xludf.DUMMYFUNCTION("""COMPUTED_VALUE"""),"O")</f>
        <v>O</v>
      </c>
      <c r="B1391" s="207" t="str">
        <f ca="1">IFERROR(__xludf.DUMMYFUNCTION("""COMPUTED_VALUE"""),"John Allard")</f>
        <v>John Allard</v>
      </c>
      <c r="C1391" s="199">
        <f ca="1">IFERROR(__xludf.DUMMYFUNCTION("""COMPUTED_VALUE"""),9)</f>
        <v>9</v>
      </c>
      <c r="D1391" s="199" t="str">
        <f ca="1">IFERROR(__xludf.DUMMYFUNCTION("""COMPUTED_VALUE"""),"B")</f>
        <v>B</v>
      </c>
      <c r="E1391" s="202" t="str">
        <f ca="1">IFERROR(__xludf.DUMMYFUNCTION("""COMPUTED_VALUE"""),"F")</f>
        <v>F</v>
      </c>
      <c r="F1391" s="202" t="str">
        <f ca="1">IFERROR(__xludf.DUMMYFUNCTION("""COMPUTED_VALUE"""),"J")</f>
        <v>J</v>
      </c>
      <c r="G1391" s="202">
        <f ca="1">IFERROR(__xludf.DUMMYFUNCTION("""COMPUTED_VALUE"""),1)</f>
        <v>1</v>
      </c>
      <c r="H1391" s="208"/>
      <c r="I1391" s="208"/>
      <c r="J1391" s="208"/>
      <c r="K1391" s="208"/>
      <c r="L1391" s="208" t="str">
        <v/>
      </c>
      <c r="M1391" s="208" t="str">
        <v/>
      </c>
    </row>
    <row r="1392" spans="1:13" ht="14.4">
      <c r="A1392" s="199" t="str">
        <f ca="1">IFERROR(__xludf.DUMMYFUNCTION("""COMPUTED_VALUE"""),"O")</f>
        <v>O</v>
      </c>
      <c r="B1392" s="207" t="str">
        <f ca="1">IFERROR(__xludf.DUMMYFUNCTION("""COMPUTED_VALUE"""),"Theodore Karlton")</f>
        <v>Theodore Karlton</v>
      </c>
      <c r="C1392" s="199">
        <f ca="1">IFERROR(__xludf.DUMMYFUNCTION("""COMPUTED_VALUE"""),9)</f>
        <v>9</v>
      </c>
      <c r="D1392" s="199" t="str">
        <f ca="1">IFERROR(__xludf.DUMMYFUNCTION("""COMPUTED_VALUE"""),"B")</f>
        <v>B</v>
      </c>
      <c r="E1392" s="202" t="str">
        <f ca="1">IFERROR(__xludf.DUMMYFUNCTION("""COMPUTED_VALUE"""),"F")</f>
        <v>F</v>
      </c>
      <c r="F1392" s="202" t="str">
        <f ca="1">IFERROR(__xludf.DUMMYFUNCTION("""COMPUTED_VALUE"""),"J")</f>
        <v>J</v>
      </c>
      <c r="G1392" s="202">
        <f ca="1">IFERROR(__xludf.DUMMYFUNCTION("""COMPUTED_VALUE"""),1)</f>
        <v>1</v>
      </c>
      <c r="H1392" s="206"/>
      <c r="I1392" s="206">
        <v>42.55</v>
      </c>
      <c r="J1392" s="206"/>
      <c r="K1392" s="206" t="s">
        <v>121</v>
      </c>
      <c r="L1392" s="206" t="str">
        <v xml:space="preserve"> 42.55</v>
      </c>
      <c r="M1392" s="206" t="str">
        <v/>
      </c>
    </row>
    <row r="1393" spans="1:13" ht="14.4">
      <c r="A1393" s="199" t="str">
        <f ca="1">IFERROR(__xludf.DUMMYFUNCTION("""COMPUTED_VALUE"""),"O")</f>
        <v>O</v>
      </c>
      <c r="B1393" s="207" t="str">
        <f ca="1">IFERROR(__xludf.DUMMYFUNCTION("""COMPUTED_VALUE"""),"Zachary Yen")</f>
        <v>Zachary Yen</v>
      </c>
      <c r="C1393" s="199">
        <f ca="1">IFERROR(__xludf.DUMMYFUNCTION("""COMPUTED_VALUE"""),6)</f>
        <v>6</v>
      </c>
      <c r="D1393" s="199" t="str">
        <f ca="1">IFERROR(__xludf.DUMMYFUNCTION("""COMPUTED_VALUE"""),"B")</f>
        <v>B</v>
      </c>
      <c r="E1393" s="202" t="str">
        <f ca="1">IFERROR(__xludf.DUMMYFUNCTION("""COMPUTED_VALUE"""),"F")</f>
        <v>F</v>
      </c>
      <c r="F1393" s="202" t="str">
        <f ca="1">IFERROR(__xludf.DUMMYFUNCTION("""COMPUTED_VALUE"""),"J")</f>
        <v>J</v>
      </c>
      <c r="G1393" s="202">
        <f ca="1">IFERROR(__xludf.DUMMYFUNCTION("""COMPUTED_VALUE"""),1)</f>
        <v>1</v>
      </c>
      <c r="H1393" s="208"/>
      <c r="I1393" s="208"/>
      <c r="J1393" s="208"/>
      <c r="K1393" s="208"/>
      <c r="L1393" s="208" t="str">
        <v/>
      </c>
      <c r="M1393" s="208" t="str">
        <v/>
      </c>
    </row>
    <row r="1394" spans="1:13" ht="14.4">
      <c r="A1394" s="199" t="str">
        <f ca="1">IFERROR(__xludf.DUMMYFUNCTION("""COMPUTED_VALUE"""),"O")</f>
        <v>O</v>
      </c>
      <c r="B1394" s="207" t="str">
        <f ca="1">IFERROR(__xludf.DUMMYFUNCTION("""COMPUTED_VALUE"""),"Addison Gaylor")</f>
        <v>Addison Gaylor</v>
      </c>
      <c r="C1394" s="199">
        <f ca="1">IFERROR(__xludf.DUMMYFUNCTION("""COMPUTED_VALUE"""),7)</f>
        <v>7</v>
      </c>
      <c r="D1394" s="199" t="str">
        <f ca="1">IFERROR(__xludf.DUMMYFUNCTION("""COMPUTED_VALUE"""),"G")</f>
        <v>G</v>
      </c>
      <c r="E1394" s="202" t="str">
        <f ca="1">IFERROR(__xludf.DUMMYFUNCTION("""COMPUTED_VALUE"""),"F")</f>
        <v>F</v>
      </c>
      <c r="F1394" s="202" t="str">
        <f ca="1">IFERROR(__xludf.DUMMYFUNCTION("""COMPUTED_VALUE"""),"J")</f>
        <v>J</v>
      </c>
      <c r="G1394" s="202">
        <f ca="1">IFERROR(__xludf.DUMMYFUNCTION("""COMPUTED_VALUE"""),1)</f>
        <v>1</v>
      </c>
      <c r="H1394" s="206"/>
      <c r="I1394" s="206"/>
      <c r="J1394" s="206"/>
      <c r="K1394" s="206"/>
      <c r="L1394" s="206" t="str">
        <v/>
      </c>
      <c r="M1394" s="206" t="str">
        <v/>
      </c>
    </row>
    <row r="1395" spans="1:13" ht="14.4">
      <c r="A1395" s="199" t="str">
        <f ca="1">IFERROR(__xludf.DUMMYFUNCTION("""COMPUTED_VALUE"""),"O")</f>
        <v>O</v>
      </c>
      <c r="B1395" s="207" t="str">
        <f ca="1">IFERROR(__xludf.DUMMYFUNCTION("""COMPUTED_VALUE"""),"Anabel Buczek")</f>
        <v>Anabel Buczek</v>
      </c>
      <c r="C1395" s="199">
        <f ca="1">IFERROR(__xludf.DUMMYFUNCTION("""COMPUTED_VALUE"""),10)</f>
        <v>10</v>
      </c>
      <c r="D1395" s="199" t="str">
        <f ca="1">IFERROR(__xludf.DUMMYFUNCTION("""COMPUTED_VALUE"""),"G")</f>
        <v>G</v>
      </c>
      <c r="E1395" s="202" t="str">
        <f ca="1">IFERROR(__xludf.DUMMYFUNCTION("""COMPUTED_VALUE"""),"F")</f>
        <v>F</v>
      </c>
      <c r="F1395" s="202" t="str">
        <f ca="1">IFERROR(__xludf.DUMMYFUNCTION("""COMPUTED_VALUE"""),"J")</f>
        <v>J</v>
      </c>
      <c r="G1395" s="202">
        <f ca="1">IFERROR(__xludf.DUMMYFUNCTION("""COMPUTED_VALUE"""),1)</f>
        <v>1</v>
      </c>
      <c r="H1395" s="208">
        <v>59.25</v>
      </c>
      <c r="I1395" s="208"/>
      <c r="J1395" s="208" t="s">
        <v>121</v>
      </c>
      <c r="K1395" s="208"/>
      <c r="L1395" s="208" t="str">
        <v xml:space="preserve"> 59.25</v>
      </c>
      <c r="M1395" s="208" t="str">
        <v/>
      </c>
    </row>
    <row r="1396" spans="1:13" ht="14.4">
      <c r="A1396" s="199" t="str">
        <f ca="1">IFERROR(__xludf.DUMMYFUNCTION("""COMPUTED_VALUE"""),"O")</f>
        <v>O</v>
      </c>
      <c r="B1396" s="207" t="str">
        <f ca="1">IFERROR(__xludf.DUMMYFUNCTION("""COMPUTED_VALUE"""),"Anna Dunn")</f>
        <v>Anna Dunn</v>
      </c>
      <c r="C1396" s="199">
        <f ca="1">IFERROR(__xludf.DUMMYFUNCTION("""COMPUTED_VALUE"""),8)</f>
        <v>8</v>
      </c>
      <c r="D1396" s="199" t="str">
        <f ca="1">IFERROR(__xludf.DUMMYFUNCTION("""COMPUTED_VALUE"""),"G")</f>
        <v>G</v>
      </c>
      <c r="E1396" s="202" t="str">
        <f ca="1">IFERROR(__xludf.DUMMYFUNCTION("""COMPUTED_VALUE"""),"F")</f>
        <v>F</v>
      </c>
      <c r="F1396" s="202" t="str">
        <f ca="1">IFERROR(__xludf.DUMMYFUNCTION("""COMPUTED_VALUE"""),"J")</f>
        <v>J</v>
      </c>
      <c r="G1396" s="202">
        <f ca="1">IFERROR(__xludf.DUMMYFUNCTION("""COMPUTED_VALUE"""),1)</f>
        <v>1</v>
      </c>
      <c r="H1396" s="208"/>
      <c r="I1396" s="208"/>
      <c r="J1396" s="208"/>
      <c r="K1396" s="208"/>
      <c r="L1396" s="208" t="str">
        <v/>
      </c>
      <c r="M1396" s="208" t="str">
        <v/>
      </c>
    </row>
    <row r="1397" spans="1:13" ht="14.4">
      <c r="A1397" s="199" t="str">
        <f ca="1">IFERROR(__xludf.DUMMYFUNCTION("""COMPUTED_VALUE"""),"O")</f>
        <v>O</v>
      </c>
      <c r="B1397" s="207" t="str">
        <f ca="1">IFERROR(__xludf.DUMMYFUNCTION("""COMPUTED_VALUE"""),"Cecilia Yen")</f>
        <v>Cecilia Yen</v>
      </c>
      <c r="C1397" s="199">
        <f ca="1">IFERROR(__xludf.DUMMYFUNCTION("""COMPUTED_VALUE"""),10)</f>
        <v>10</v>
      </c>
      <c r="D1397" s="199" t="str">
        <f ca="1">IFERROR(__xludf.DUMMYFUNCTION("""COMPUTED_VALUE"""),"G")</f>
        <v>G</v>
      </c>
      <c r="E1397" s="202" t="str">
        <f ca="1">IFERROR(__xludf.DUMMYFUNCTION("""COMPUTED_VALUE"""),"F")</f>
        <v>F</v>
      </c>
      <c r="F1397" s="202" t="str">
        <f ca="1">IFERROR(__xludf.DUMMYFUNCTION("""COMPUTED_VALUE"""),"J")</f>
        <v>J</v>
      </c>
      <c r="G1397" s="202">
        <f ca="1">IFERROR(__xludf.DUMMYFUNCTION("""COMPUTED_VALUE"""),1)</f>
        <v>1</v>
      </c>
      <c r="H1397" s="206">
        <v>77.7</v>
      </c>
      <c r="I1397" s="206"/>
      <c r="J1397" s="206" t="s">
        <v>121</v>
      </c>
      <c r="K1397" s="206"/>
      <c r="L1397" s="206" t="str">
        <v xml:space="preserve"> 77.7</v>
      </c>
      <c r="M1397" s="206" t="str">
        <v/>
      </c>
    </row>
    <row r="1398" spans="1:13" ht="14.4">
      <c r="A1398" s="199" t="str">
        <f ca="1">IFERROR(__xludf.DUMMYFUNCTION("""COMPUTED_VALUE"""),"O")</f>
        <v>O</v>
      </c>
      <c r="B1398" s="207" t="str">
        <f ca="1">IFERROR(__xludf.DUMMYFUNCTION("""COMPUTED_VALUE"""),"Charlotte Axelrod")</f>
        <v>Charlotte Axelrod</v>
      </c>
      <c r="C1398" s="199">
        <f ca="1">IFERROR(__xludf.DUMMYFUNCTION("""COMPUTED_VALUE"""),9)</f>
        <v>9</v>
      </c>
      <c r="D1398" s="199" t="str">
        <f ca="1">IFERROR(__xludf.DUMMYFUNCTION("""COMPUTED_VALUE"""),"G")</f>
        <v>G</v>
      </c>
      <c r="E1398" s="202" t="str">
        <f ca="1">IFERROR(__xludf.DUMMYFUNCTION("""COMPUTED_VALUE"""),"F")</f>
        <v>F</v>
      </c>
      <c r="F1398" s="202" t="str">
        <f ca="1">IFERROR(__xludf.DUMMYFUNCTION("""COMPUTED_VALUE"""),"J")</f>
        <v>J</v>
      </c>
      <c r="G1398" s="202">
        <f ca="1">IFERROR(__xludf.DUMMYFUNCTION("""COMPUTED_VALUE"""),1)</f>
        <v>1</v>
      </c>
      <c r="H1398" s="208"/>
      <c r="I1398" s="208"/>
      <c r="J1398" s="208"/>
      <c r="K1398" s="208"/>
      <c r="L1398" s="208" t="str">
        <v/>
      </c>
      <c r="M1398" s="208" t="str">
        <v/>
      </c>
    </row>
    <row r="1399" spans="1:13" ht="14.4">
      <c r="A1399" s="199" t="str">
        <f ca="1">IFERROR(__xludf.DUMMYFUNCTION("""COMPUTED_VALUE"""),"O")</f>
        <v>O</v>
      </c>
      <c r="B1399" s="207" t="str">
        <f ca="1">IFERROR(__xludf.DUMMYFUNCTION("""COMPUTED_VALUE"""),"Claire Cocker")</f>
        <v>Claire Cocker</v>
      </c>
      <c r="C1399" s="199">
        <f ca="1">IFERROR(__xludf.DUMMYFUNCTION("""COMPUTED_VALUE"""),6)</f>
        <v>6</v>
      </c>
      <c r="D1399" s="199" t="str">
        <f ca="1">IFERROR(__xludf.DUMMYFUNCTION("""COMPUTED_VALUE"""),"G")</f>
        <v>G</v>
      </c>
      <c r="E1399" s="202" t="str">
        <f ca="1">IFERROR(__xludf.DUMMYFUNCTION("""COMPUTED_VALUE"""),"F")</f>
        <v>F</v>
      </c>
      <c r="F1399" s="202" t="str">
        <f ca="1">IFERROR(__xludf.DUMMYFUNCTION("""COMPUTED_VALUE"""),"J")</f>
        <v>J</v>
      </c>
      <c r="G1399" s="202">
        <f ca="1">IFERROR(__xludf.DUMMYFUNCTION("""COMPUTED_VALUE"""),1)</f>
        <v>1</v>
      </c>
      <c r="H1399" s="206"/>
      <c r="I1399" s="206"/>
      <c r="J1399" s="206"/>
      <c r="K1399" s="206"/>
      <c r="L1399" s="206" t="str">
        <v/>
      </c>
      <c r="M1399" s="206" t="str">
        <v/>
      </c>
    </row>
    <row r="1400" spans="1:13" ht="14.4">
      <c r="A1400" s="199" t="str">
        <f ca="1">IFERROR(__xludf.DUMMYFUNCTION("""COMPUTED_VALUE"""),"O")</f>
        <v>O</v>
      </c>
      <c r="B1400" s="207" t="str">
        <f ca="1">IFERROR(__xludf.DUMMYFUNCTION("""COMPUTED_VALUE"""),"Delaney Balkema")</f>
        <v>Delaney Balkema</v>
      </c>
      <c r="C1400" s="199">
        <f ca="1">IFERROR(__xludf.DUMMYFUNCTION("""COMPUTED_VALUE"""),10)</f>
        <v>10</v>
      </c>
      <c r="D1400" s="199" t="str">
        <f ca="1">IFERROR(__xludf.DUMMYFUNCTION("""COMPUTED_VALUE"""),"G")</f>
        <v>G</v>
      </c>
      <c r="E1400" s="202" t="str">
        <f ca="1">IFERROR(__xludf.DUMMYFUNCTION("""COMPUTED_VALUE"""),"F")</f>
        <v>F</v>
      </c>
      <c r="F1400" s="202" t="str">
        <f ca="1">IFERROR(__xludf.DUMMYFUNCTION("""COMPUTED_VALUE"""),"J")</f>
        <v>J</v>
      </c>
      <c r="G1400" s="202">
        <f ca="1">IFERROR(__xludf.DUMMYFUNCTION("""COMPUTED_VALUE"""),1)</f>
        <v>1</v>
      </c>
      <c r="H1400" s="206"/>
      <c r="I1400" s="206"/>
      <c r="J1400" s="206"/>
      <c r="K1400" s="206"/>
      <c r="L1400" s="206" t="str">
        <v/>
      </c>
      <c r="M1400" s="206" t="str">
        <v/>
      </c>
    </row>
    <row r="1401" spans="1:13" ht="14.4">
      <c r="A1401" s="199" t="str">
        <f ca="1">IFERROR(__xludf.DUMMYFUNCTION("""COMPUTED_VALUE"""),"O")</f>
        <v>O</v>
      </c>
      <c r="B1401" s="207" t="str">
        <f ca="1">IFERROR(__xludf.DUMMYFUNCTION("""COMPUTED_VALUE"""),"Eliza Woodward")</f>
        <v>Eliza Woodward</v>
      </c>
      <c r="C1401" s="199">
        <f ca="1">IFERROR(__xludf.DUMMYFUNCTION("""COMPUTED_VALUE"""),8)</f>
        <v>8</v>
      </c>
      <c r="D1401" s="199" t="str">
        <f ca="1">IFERROR(__xludf.DUMMYFUNCTION("""COMPUTED_VALUE"""),"G")</f>
        <v>G</v>
      </c>
      <c r="E1401" s="202" t="str">
        <f ca="1">IFERROR(__xludf.DUMMYFUNCTION("""COMPUTED_VALUE"""),"F")</f>
        <v>F</v>
      </c>
      <c r="F1401" s="202" t="str">
        <f ca="1">IFERROR(__xludf.DUMMYFUNCTION("""COMPUTED_VALUE"""),"J")</f>
        <v>J</v>
      </c>
      <c r="G1401" s="202">
        <f ca="1">IFERROR(__xludf.DUMMYFUNCTION("""COMPUTED_VALUE"""),1)</f>
        <v>1</v>
      </c>
      <c r="H1401" s="206"/>
      <c r="I1401" s="206"/>
      <c r="J1401" s="206"/>
      <c r="K1401" s="206"/>
      <c r="L1401" s="206" t="str">
        <v/>
      </c>
      <c r="M1401" s="206" t="str">
        <v/>
      </c>
    </row>
    <row r="1402" spans="1:13" ht="14.4">
      <c r="A1402" s="199" t="str">
        <f ca="1">IFERROR(__xludf.DUMMYFUNCTION("""COMPUTED_VALUE"""),"O")</f>
        <v>O</v>
      </c>
      <c r="B1402" s="207" t="str">
        <f ca="1">IFERROR(__xludf.DUMMYFUNCTION("""COMPUTED_VALUE"""),"Elizabeth Deegan")</f>
        <v>Elizabeth Deegan</v>
      </c>
      <c r="C1402" s="199">
        <f ca="1">IFERROR(__xludf.DUMMYFUNCTION("""COMPUTED_VALUE"""),9)</f>
        <v>9</v>
      </c>
      <c r="D1402" s="199" t="str">
        <f ca="1">IFERROR(__xludf.DUMMYFUNCTION("""COMPUTED_VALUE"""),"G")</f>
        <v>G</v>
      </c>
      <c r="E1402" s="202" t="str">
        <f ca="1">IFERROR(__xludf.DUMMYFUNCTION("""COMPUTED_VALUE"""),"F")</f>
        <v>F</v>
      </c>
      <c r="F1402" s="202" t="str">
        <f ca="1">IFERROR(__xludf.DUMMYFUNCTION("""COMPUTED_VALUE"""),"J")</f>
        <v>J</v>
      </c>
      <c r="G1402" s="202">
        <f ca="1">IFERROR(__xludf.DUMMYFUNCTION("""COMPUTED_VALUE"""),1)</f>
        <v>1</v>
      </c>
      <c r="H1402" s="206">
        <v>64.95</v>
      </c>
      <c r="I1402" s="206"/>
      <c r="J1402" s="206" t="s">
        <v>121</v>
      </c>
      <c r="K1402" s="206"/>
      <c r="L1402" s="206" t="str">
        <v xml:space="preserve"> 64.95</v>
      </c>
      <c r="M1402" s="206" t="str">
        <v/>
      </c>
    </row>
    <row r="1403" spans="1:13" ht="14.4">
      <c r="A1403" s="199" t="str">
        <f ca="1">IFERROR(__xludf.DUMMYFUNCTION("""COMPUTED_VALUE"""),"O")</f>
        <v>O</v>
      </c>
      <c r="B1403" s="207" t="str">
        <f ca="1">IFERROR(__xludf.DUMMYFUNCTION("""COMPUTED_VALUE"""),"Ellie Brown")</f>
        <v>Ellie Brown</v>
      </c>
      <c r="C1403" s="199">
        <f ca="1">IFERROR(__xludf.DUMMYFUNCTION("""COMPUTED_VALUE"""),7)</f>
        <v>7</v>
      </c>
      <c r="D1403" s="199" t="str">
        <f ca="1">IFERROR(__xludf.DUMMYFUNCTION("""COMPUTED_VALUE"""),"G")</f>
        <v>G</v>
      </c>
      <c r="E1403" s="202" t="str">
        <f ca="1">IFERROR(__xludf.DUMMYFUNCTION("""COMPUTED_VALUE"""),"F")</f>
        <v>F</v>
      </c>
      <c r="F1403" s="202" t="str">
        <f ca="1">IFERROR(__xludf.DUMMYFUNCTION("""COMPUTED_VALUE"""),"J")</f>
        <v>J</v>
      </c>
      <c r="G1403" s="202">
        <f ca="1">IFERROR(__xludf.DUMMYFUNCTION("""COMPUTED_VALUE"""),1)</f>
        <v>1</v>
      </c>
      <c r="H1403" s="206"/>
      <c r="I1403" s="206"/>
      <c r="J1403" s="206"/>
      <c r="K1403" s="206"/>
      <c r="L1403" s="206" t="str">
        <v/>
      </c>
      <c r="M1403" s="206" t="str">
        <v/>
      </c>
    </row>
    <row r="1404" spans="1:13" ht="14.4">
      <c r="A1404" s="199" t="str">
        <f ca="1">IFERROR(__xludf.DUMMYFUNCTION("""COMPUTED_VALUE"""),"O")</f>
        <v>O</v>
      </c>
      <c r="B1404" s="207" t="str">
        <f ca="1">IFERROR(__xludf.DUMMYFUNCTION("""COMPUTED_VALUE"""),"Elsa Allard")</f>
        <v>Elsa Allard</v>
      </c>
      <c r="C1404" s="199">
        <f ca="1">IFERROR(__xludf.DUMMYFUNCTION("""COMPUTED_VALUE"""),6)</f>
        <v>6</v>
      </c>
      <c r="D1404" s="199" t="str">
        <f ca="1">IFERROR(__xludf.DUMMYFUNCTION("""COMPUTED_VALUE"""),"G")</f>
        <v>G</v>
      </c>
      <c r="E1404" s="202" t="str">
        <f ca="1">IFERROR(__xludf.DUMMYFUNCTION("""COMPUTED_VALUE"""),"F")</f>
        <v>F</v>
      </c>
      <c r="F1404" s="202" t="str">
        <f ca="1">IFERROR(__xludf.DUMMYFUNCTION("""COMPUTED_VALUE"""),"J")</f>
        <v>J</v>
      </c>
      <c r="G1404" s="202">
        <f ca="1">IFERROR(__xludf.DUMMYFUNCTION("""COMPUTED_VALUE"""),1)</f>
        <v>1</v>
      </c>
      <c r="H1404" s="206"/>
      <c r="I1404" s="206"/>
      <c r="J1404" s="206"/>
      <c r="K1404" s="206"/>
      <c r="L1404" s="206" t="str">
        <v/>
      </c>
      <c r="M1404" s="206" t="str">
        <v/>
      </c>
    </row>
    <row r="1405" spans="1:13" ht="14.4">
      <c r="A1405" s="199" t="str">
        <f ca="1">IFERROR(__xludf.DUMMYFUNCTION("""COMPUTED_VALUE"""),"O")</f>
        <v>O</v>
      </c>
      <c r="B1405" s="207" t="str">
        <f ca="1">IFERROR(__xludf.DUMMYFUNCTION("""COMPUTED_VALUE"""),"Emeline Waltrup")</f>
        <v>Emeline Waltrup</v>
      </c>
      <c r="C1405" s="199">
        <f ca="1">IFERROR(__xludf.DUMMYFUNCTION("""COMPUTED_VALUE"""),8)</f>
        <v>8</v>
      </c>
      <c r="D1405" s="199" t="str">
        <f ca="1">IFERROR(__xludf.DUMMYFUNCTION("""COMPUTED_VALUE"""),"G")</f>
        <v>G</v>
      </c>
      <c r="E1405" s="202" t="str">
        <f ca="1">IFERROR(__xludf.DUMMYFUNCTION("""COMPUTED_VALUE"""),"F")</f>
        <v>F</v>
      </c>
      <c r="F1405" s="202" t="str">
        <f ca="1">IFERROR(__xludf.DUMMYFUNCTION("""COMPUTED_VALUE"""),"J")</f>
        <v>J</v>
      </c>
      <c r="G1405" s="202">
        <f ca="1">IFERROR(__xludf.DUMMYFUNCTION("""COMPUTED_VALUE"""),1)</f>
        <v>1</v>
      </c>
      <c r="H1405" s="206"/>
      <c r="I1405" s="206"/>
      <c r="J1405" s="206"/>
      <c r="K1405" s="206"/>
      <c r="L1405" s="206" t="str">
        <v/>
      </c>
      <c r="M1405" s="206" t="str">
        <v/>
      </c>
    </row>
    <row r="1406" spans="1:13" ht="14.4">
      <c r="A1406" s="199" t="str">
        <f ca="1">IFERROR(__xludf.DUMMYFUNCTION("""COMPUTED_VALUE"""),"O")</f>
        <v>O</v>
      </c>
      <c r="B1406" s="207" t="str">
        <f ca="1">IFERROR(__xludf.DUMMYFUNCTION("""COMPUTED_VALUE"""),"Erin Parks")</f>
        <v>Erin Parks</v>
      </c>
      <c r="C1406" s="199">
        <f ca="1">IFERROR(__xludf.DUMMYFUNCTION("""COMPUTED_VALUE"""),8)</f>
        <v>8</v>
      </c>
      <c r="D1406" s="199" t="str">
        <f ca="1">IFERROR(__xludf.DUMMYFUNCTION("""COMPUTED_VALUE"""),"G")</f>
        <v>G</v>
      </c>
      <c r="E1406" s="202" t="str">
        <f ca="1">IFERROR(__xludf.DUMMYFUNCTION("""COMPUTED_VALUE"""),"F")</f>
        <v>F</v>
      </c>
      <c r="F1406" s="202" t="str">
        <f ca="1">IFERROR(__xludf.DUMMYFUNCTION("""COMPUTED_VALUE"""),"J")</f>
        <v>J</v>
      </c>
      <c r="G1406" s="202">
        <f ca="1">IFERROR(__xludf.DUMMYFUNCTION("""COMPUTED_VALUE"""),1)</f>
        <v>1</v>
      </c>
      <c r="H1406" s="206"/>
      <c r="I1406" s="206"/>
      <c r="J1406" s="206"/>
      <c r="K1406" s="206"/>
      <c r="L1406" s="206" t="str">
        <v/>
      </c>
      <c r="M1406" s="206" t="str">
        <v/>
      </c>
    </row>
    <row r="1407" spans="1:13" ht="14.4">
      <c r="A1407" s="199" t="str">
        <f ca="1">IFERROR(__xludf.DUMMYFUNCTION("""COMPUTED_VALUE"""),"O")</f>
        <v>O</v>
      </c>
      <c r="B1407" s="207" t="str">
        <f ca="1">IFERROR(__xludf.DUMMYFUNCTION("""COMPUTED_VALUE"""),"Greta Bowser")</f>
        <v>Greta Bowser</v>
      </c>
      <c r="C1407" s="199">
        <f ca="1">IFERROR(__xludf.DUMMYFUNCTION("""COMPUTED_VALUE"""),8)</f>
        <v>8</v>
      </c>
      <c r="D1407" s="199" t="str">
        <f ca="1">IFERROR(__xludf.DUMMYFUNCTION("""COMPUTED_VALUE"""),"G")</f>
        <v>G</v>
      </c>
      <c r="E1407" s="202" t="str">
        <f ca="1">IFERROR(__xludf.DUMMYFUNCTION("""COMPUTED_VALUE"""),"F")</f>
        <v>F</v>
      </c>
      <c r="F1407" s="202" t="str">
        <f ca="1">IFERROR(__xludf.DUMMYFUNCTION("""COMPUTED_VALUE"""),"J")</f>
        <v>J</v>
      </c>
      <c r="G1407" s="202">
        <f ca="1">IFERROR(__xludf.DUMMYFUNCTION("""COMPUTED_VALUE"""),1)</f>
        <v>1</v>
      </c>
      <c r="H1407" s="206"/>
      <c r="I1407" s="206"/>
      <c r="J1407" s="206"/>
      <c r="K1407" s="206"/>
      <c r="L1407" s="206" t="str">
        <v/>
      </c>
      <c r="M1407" s="206" t="str">
        <v/>
      </c>
    </row>
    <row r="1408" spans="1:13" ht="14.4">
      <c r="A1408" s="199" t="str">
        <f ca="1">IFERROR(__xludf.DUMMYFUNCTION("""COMPUTED_VALUE"""),"O")</f>
        <v>O</v>
      </c>
      <c r="B1408" s="207" t="str">
        <f ca="1">IFERROR(__xludf.DUMMYFUNCTION("""COMPUTED_VALUE"""),"Hannah Allard")</f>
        <v>Hannah Allard</v>
      </c>
      <c r="C1408" s="199">
        <f ca="1">IFERROR(__xludf.DUMMYFUNCTION("""COMPUTED_VALUE"""),10)</f>
        <v>10</v>
      </c>
      <c r="D1408" s="199" t="str">
        <f ca="1">IFERROR(__xludf.DUMMYFUNCTION("""COMPUTED_VALUE"""),"G")</f>
        <v>G</v>
      </c>
      <c r="E1408" s="202" t="str">
        <f ca="1">IFERROR(__xludf.DUMMYFUNCTION("""COMPUTED_VALUE"""),"F")</f>
        <v>F</v>
      </c>
      <c r="F1408" s="202" t="str">
        <f ca="1">IFERROR(__xludf.DUMMYFUNCTION("""COMPUTED_VALUE"""),"J")</f>
        <v>J</v>
      </c>
      <c r="G1408" s="202">
        <f ca="1">IFERROR(__xludf.DUMMYFUNCTION("""COMPUTED_VALUE"""),1)</f>
        <v>1</v>
      </c>
      <c r="H1408" s="206"/>
      <c r="I1408" s="206"/>
      <c r="J1408" s="206"/>
      <c r="K1408" s="206"/>
      <c r="L1408" s="206" t="str">
        <v/>
      </c>
      <c r="M1408" s="206" t="str">
        <v/>
      </c>
    </row>
    <row r="1409" spans="1:13" ht="14.4">
      <c r="A1409" s="199" t="str">
        <f ca="1">IFERROR(__xludf.DUMMYFUNCTION("""COMPUTED_VALUE"""),"O")</f>
        <v>O</v>
      </c>
      <c r="B1409" s="207" t="str">
        <f ca="1">IFERROR(__xludf.DUMMYFUNCTION("""COMPUTED_VALUE"""),"Holly Axelrod")</f>
        <v>Holly Axelrod</v>
      </c>
      <c r="C1409" s="199">
        <f ca="1">IFERROR(__xludf.DUMMYFUNCTION("""COMPUTED_VALUE"""),7)</f>
        <v>7</v>
      </c>
      <c r="D1409" s="199" t="str">
        <f ca="1">IFERROR(__xludf.DUMMYFUNCTION("""COMPUTED_VALUE"""),"G")</f>
        <v>G</v>
      </c>
      <c r="E1409" s="202" t="str">
        <f ca="1">IFERROR(__xludf.DUMMYFUNCTION("""COMPUTED_VALUE"""),"F")</f>
        <v>F</v>
      </c>
      <c r="F1409" s="202" t="str">
        <f ca="1">IFERROR(__xludf.DUMMYFUNCTION("""COMPUTED_VALUE"""),"J")</f>
        <v>J</v>
      </c>
      <c r="G1409" s="202">
        <f ca="1">IFERROR(__xludf.DUMMYFUNCTION("""COMPUTED_VALUE"""),1)</f>
        <v>1</v>
      </c>
      <c r="H1409" s="206"/>
      <c r="I1409" s="206"/>
      <c r="J1409" s="206"/>
      <c r="K1409" s="206"/>
      <c r="L1409" s="206" t="str">
        <v/>
      </c>
      <c r="M1409" s="206" t="str">
        <v/>
      </c>
    </row>
    <row r="1410" spans="1:13" ht="14.4">
      <c r="A1410" s="199" t="str">
        <f ca="1">IFERROR(__xludf.DUMMYFUNCTION("""COMPUTED_VALUE"""),"O")</f>
        <v>O</v>
      </c>
      <c r="B1410" s="207" t="str">
        <f ca="1">IFERROR(__xludf.DUMMYFUNCTION("""COMPUTED_VALUE"""),"Josephine Malko")</f>
        <v>Josephine Malko</v>
      </c>
      <c r="C1410" s="199">
        <f ca="1">IFERROR(__xludf.DUMMYFUNCTION("""COMPUTED_VALUE"""),10)</f>
        <v>10</v>
      </c>
      <c r="D1410" s="199" t="str">
        <f ca="1">IFERROR(__xludf.DUMMYFUNCTION("""COMPUTED_VALUE"""),"G")</f>
        <v>G</v>
      </c>
      <c r="E1410" s="202" t="str">
        <f ca="1">IFERROR(__xludf.DUMMYFUNCTION("""COMPUTED_VALUE"""),"F")</f>
        <v>F</v>
      </c>
      <c r="F1410" s="202" t="str">
        <f ca="1">IFERROR(__xludf.DUMMYFUNCTION("""COMPUTED_VALUE"""),"J")</f>
        <v>J</v>
      </c>
      <c r="G1410" s="202">
        <f ca="1">IFERROR(__xludf.DUMMYFUNCTION("""COMPUTED_VALUE"""),1)</f>
        <v>1</v>
      </c>
      <c r="H1410" s="206">
        <v>47.6</v>
      </c>
      <c r="I1410" s="206"/>
      <c r="J1410" s="206" t="s">
        <v>121</v>
      </c>
      <c r="K1410" s="206"/>
      <c r="L1410" s="206" t="str">
        <v xml:space="preserve"> 47.6</v>
      </c>
      <c r="M1410" s="206" t="str">
        <v/>
      </c>
    </row>
    <row r="1411" spans="1:13" ht="14.4">
      <c r="A1411" s="199" t="str">
        <f ca="1">IFERROR(__xludf.DUMMYFUNCTION("""COMPUTED_VALUE"""),"O")</f>
        <v>O</v>
      </c>
      <c r="B1411" s="207" t="str">
        <f ca="1">IFERROR(__xludf.DUMMYFUNCTION("""COMPUTED_VALUE"""),"Kenly McAllister")</f>
        <v>Kenly McAllister</v>
      </c>
      <c r="C1411" s="199">
        <f ca="1">IFERROR(__xludf.DUMMYFUNCTION("""COMPUTED_VALUE"""),9)</f>
        <v>9</v>
      </c>
      <c r="D1411" s="199" t="str">
        <f ca="1">IFERROR(__xludf.DUMMYFUNCTION("""COMPUTED_VALUE"""),"G")</f>
        <v>G</v>
      </c>
      <c r="E1411" s="202" t="str">
        <f ca="1">IFERROR(__xludf.DUMMYFUNCTION("""COMPUTED_VALUE"""),"F")</f>
        <v>F</v>
      </c>
      <c r="F1411" s="202" t="str">
        <f ca="1">IFERROR(__xludf.DUMMYFUNCTION("""COMPUTED_VALUE"""),"J")</f>
        <v>J</v>
      </c>
      <c r="G1411" s="202">
        <f ca="1">IFERROR(__xludf.DUMMYFUNCTION("""COMPUTED_VALUE"""),1)</f>
        <v>1</v>
      </c>
      <c r="H1411" s="206">
        <v>43.7</v>
      </c>
      <c r="I1411" s="206"/>
      <c r="J1411" s="206" t="s">
        <v>121</v>
      </c>
      <c r="K1411" s="206"/>
      <c r="L1411" s="206" t="str">
        <v xml:space="preserve"> 43.7</v>
      </c>
      <c r="M1411" s="206" t="str">
        <v/>
      </c>
    </row>
    <row r="1412" spans="1:13" ht="14.4">
      <c r="A1412" s="199" t="str">
        <f ca="1">IFERROR(__xludf.DUMMYFUNCTION("""COMPUTED_VALUE"""),"O")</f>
        <v>O</v>
      </c>
      <c r="B1412" s="207" t="str">
        <f ca="1">IFERROR(__xludf.DUMMYFUNCTION("""COMPUTED_VALUE"""),"Kerry Campbell")</f>
        <v>Kerry Campbell</v>
      </c>
      <c r="C1412" s="199">
        <f ca="1">IFERROR(__xludf.DUMMYFUNCTION("""COMPUTED_VALUE"""),9)</f>
        <v>9</v>
      </c>
      <c r="D1412" s="199" t="str">
        <f ca="1">IFERROR(__xludf.DUMMYFUNCTION("""COMPUTED_VALUE"""),"G")</f>
        <v>G</v>
      </c>
      <c r="E1412" s="202" t="str">
        <f ca="1">IFERROR(__xludf.DUMMYFUNCTION("""COMPUTED_VALUE"""),"F")</f>
        <v>F</v>
      </c>
      <c r="F1412" s="202" t="str">
        <f ca="1">IFERROR(__xludf.DUMMYFUNCTION("""COMPUTED_VALUE"""),"J")</f>
        <v>J</v>
      </c>
      <c r="G1412" s="202">
        <f ca="1">IFERROR(__xludf.DUMMYFUNCTION("""COMPUTED_VALUE"""),1)</f>
        <v>1</v>
      </c>
      <c r="H1412" s="206"/>
      <c r="I1412" s="206"/>
      <c r="J1412" s="206"/>
      <c r="K1412" s="206"/>
      <c r="L1412" s="206" t="str">
        <v/>
      </c>
      <c r="M1412" s="206" t="str">
        <v/>
      </c>
    </row>
    <row r="1413" spans="1:13" ht="14.4">
      <c r="A1413" s="199" t="str">
        <f ca="1">IFERROR(__xludf.DUMMYFUNCTION("""COMPUTED_VALUE"""),"O")</f>
        <v>O</v>
      </c>
      <c r="B1413" s="207" t="str">
        <f ca="1">IFERROR(__xludf.DUMMYFUNCTION("""COMPUTED_VALUE"""),"Liliana Cappoli")</f>
        <v>Liliana Cappoli</v>
      </c>
      <c r="C1413" s="199">
        <f ca="1">IFERROR(__xludf.DUMMYFUNCTION("""COMPUTED_VALUE"""),7)</f>
        <v>7</v>
      </c>
      <c r="D1413" s="199" t="str">
        <f ca="1">IFERROR(__xludf.DUMMYFUNCTION("""COMPUTED_VALUE"""),"G")</f>
        <v>G</v>
      </c>
      <c r="E1413" s="202" t="str">
        <f ca="1">IFERROR(__xludf.DUMMYFUNCTION("""COMPUTED_VALUE"""),"F")</f>
        <v>F</v>
      </c>
      <c r="F1413" s="202" t="str">
        <f ca="1">IFERROR(__xludf.DUMMYFUNCTION("""COMPUTED_VALUE"""),"J")</f>
        <v>J</v>
      </c>
      <c r="G1413" s="202">
        <f ca="1">IFERROR(__xludf.DUMMYFUNCTION("""COMPUTED_VALUE"""),1)</f>
        <v>1</v>
      </c>
      <c r="H1413" s="206"/>
      <c r="I1413" s="206"/>
      <c r="J1413" s="206"/>
      <c r="K1413" s="206"/>
      <c r="L1413" s="206" t="str">
        <v/>
      </c>
      <c r="M1413" s="206" t="str">
        <v/>
      </c>
    </row>
    <row r="1414" spans="1:13" ht="14.4">
      <c r="A1414" s="199" t="str">
        <f ca="1">IFERROR(__xludf.DUMMYFUNCTION("""COMPUTED_VALUE"""),"O")</f>
        <v>O</v>
      </c>
      <c r="B1414" s="207" t="str">
        <f ca="1">IFERROR(__xludf.DUMMYFUNCTION("""COMPUTED_VALUE"""),"Madeline Egge")</f>
        <v>Madeline Egge</v>
      </c>
      <c r="C1414" s="199">
        <f ca="1">IFERROR(__xludf.DUMMYFUNCTION("""COMPUTED_VALUE"""),10)</f>
        <v>10</v>
      </c>
      <c r="D1414" s="199" t="str">
        <f ca="1">IFERROR(__xludf.DUMMYFUNCTION("""COMPUTED_VALUE"""),"G")</f>
        <v>G</v>
      </c>
      <c r="E1414" s="202" t="str">
        <f ca="1">IFERROR(__xludf.DUMMYFUNCTION("""COMPUTED_VALUE"""),"F")</f>
        <v>F</v>
      </c>
      <c r="F1414" s="202" t="str">
        <f ca="1">IFERROR(__xludf.DUMMYFUNCTION("""COMPUTED_VALUE"""),"J")</f>
        <v>J</v>
      </c>
      <c r="G1414" s="202">
        <f ca="1">IFERROR(__xludf.DUMMYFUNCTION("""COMPUTED_VALUE"""),1)</f>
        <v>1</v>
      </c>
      <c r="H1414" s="206"/>
      <c r="I1414" s="206"/>
      <c r="J1414" s="206"/>
      <c r="K1414" s="206"/>
      <c r="L1414" s="206" t="str">
        <v/>
      </c>
      <c r="M1414" s="206" t="str">
        <v/>
      </c>
    </row>
    <row r="1415" spans="1:13" ht="14.4">
      <c r="A1415" s="199" t="str">
        <f ca="1">IFERROR(__xludf.DUMMYFUNCTION("""COMPUTED_VALUE"""),"O")</f>
        <v>O</v>
      </c>
      <c r="B1415" s="207" t="str">
        <f ca="1">IFERROR(__xludf.DUMMYFUNCTION("""COMPUTED_VALUE"""),"Perrin Malko")</f>
        <v>Perrin Malko</v>
      </c>
      <c r="C1415" s="199">
        <f ca="1">IFERROR(__xludf.DUMMYFUNCTION("""COMPUTED_VALUE"""),7)</f>
        <v>7</v>
      </c>
      <c r="D1415" s="199" t="str">
        <f ca="1">IFERROR(__xludf.DUMMYFUNCTION("""COMPUTED_VALUE"""),"G")</f>
        <v>G</v>
      </c>
      <c r="E1415" s="202" t="str">
        <f ca="1">IFERROR(__xludf.DUMMYFUNCTION("""COMPUTED_VALUE"""),"F")</f>
        <v>F</v>
      </c>
      <c r="F1415" s="202" t="str">
        <f ca="1">IFERROR(__xludf.DUMMYFUNCTION("""COMPUTED_VALUE"""),"J")</f>
        <v>J</v>
      </c>
      <c r="G1415" s="202">
        <f ca="1">IFERROR(__xludf.DUMMYFUNCTION("""COMPUTED_VALUE"""),1)</f>
        <v>1</v>
      </c>
      <c r="H1415" s="206"/>
      <c r="I1415" s="206"/>
      <c r="J1415" s="206"/>
      <c r="K1415" s="206"/>
      <c r="L1415" s="206" t="str">
        <v/>
      </c>
      <c r="M1415" s="206" t="str">
        <v/>
      </c>
    </row>
    <row r="1416" spans="1:13" ht="14.4">
      <c r="A1416" s="199" t="str">
        <f ca="1">IFERROR(__xludf.DUMMYFUNCTION("""COMPUTED_VALUE"""),"O")</f>
        <v>O</v>
      </c>
      <c r="B1416" s="207" t="str">
        <f ca="1">IFERROR(__xludf.DUMMYFUNCTION("""COMPUTED_VALUE"""),"Rebecca Pyser")</f>
        <v>Rebecca Pyser</v>
      </c>
      <c r="C1416" s="199">
        <f ca="1">IFERROR(__xludf.DUMMYFUNCTION("""COMPUTED_VALUE"""),8)</f>
        <v>8</v>
      </c>
      <c r="D1416" s="199" t="str">
        <f ca="1">IFERROR(__xludf.DUMMYFUNCTION("""COMPUTED_VALUE"""),"G")</f>
        <v>G</v>
      </c>
      <c r="E1416" s="202" t="str">
        <f ca="1">IFERROR(__xludf.DUMMYFUNCTION("""COMPUTED_VALUE"""),"F")</f>
        <v>F</v>
      </c>
      <c r="F1416" s="202" t="str">
        <f ca="1">IFERROR(__xludf.DUMMYFUNCTION("""COMPUTED_VALUE"""),"J")</f>
        <v>J</v>
      </c>
      <c r="G1416" s="202">
        <f ca="1">IFERROR(__xludf.DUMMYFUNCTION("""COMPUTED_VALUE"""),1)</f>
        <v>1</v>
      </c>
      <c r="H1416" s="208"/>
      <c r="I1416" s="208"/>
      <c r="J1416" s="208"/>
      <c r="K1416" s="208"/>
      <c r="L1416" s="208" t="str">
        <v/>
      </c>
      <c r="M1416" s="208" t="str">
        <v/>
      </c>
    </row>
    <row r="1417" spans="1:13" ht="14.4">
      <c r="A1417" s="199" t="str">
        <f ca="1">IFERROR(__xludf.DUMMYFUNCTION("""COMPUTED_VALUE"""),"O")</f>
        <v>O</v>
      </c>
      <c r="B1417" s="207" t="str">
        <f ca="1">IFERROR(__xludf.DUMMYFUNCTION("""COMPUTED_VALUE"""),"Riley Mills")</f>
        <v>Riley Mills</v>
      </c>
      <c r="C1417" s="199">
        <f ca="1">IFERROR(__xludf.DUMMYFUNCTION("""COMPUTED_VALUE"""),9)</f>
        <v>9</v>
      </c>
      <c r="D1417" s="199" t="str">
        <f ca="1">IFERROR(__xludf.DUMMYFUNCTION("""COMPUTED_VALUE"""),"G")</f>
        <v>G</v>
      </c>
      <c r="E1417" s="202" t="str">
        <f ca="1">IFERROR(__xludf.DUMMYFUNCTION("""COMPUTED_VALUE"""),"F")</f>
        <v>F</v>
      </c>
      <c r="F1417" s="202" t="str">
        <f ca="1">IFERROR(__xludf.DUMMYFUNCTION("""COMPUTED_VALUE"""),"J")</f>
        <v>J</v>
      </c>
      <c r="G1417" s="202">
        <f ca="1">IFERROR(__xludf.DUMMYFUNCTION("""COMPUTED_VALUE"""),1)</f>
        <v>1</v>
      </c>
      <c r="H1417" s="206"/>
      <c r="I1417" s="206"/>
      <c r="J1417" s="206"/>
      <c r="K1417" s="206"/>
      <c r="L1417" s="206" t="str">
        <v/>
      </c>
      <c r="M1417" s="206" t="str">
        <v/>
      </c>
    </row>
    <row r="1418" spans="1:13" ht="14.4">
      <c r="A1418" s="199" t="str">
        <f ca="1">IFERROR(__xludf.DUMMYFUNCTION("""COMPUTED_VALUE"""),"O")</f>
        <v>O</v>
      </c>
      <c r="B1418" s="207" t="str">
        <f ca="1">IFERROR(__xludf.DUMMYFUNCTION("""COMPUTED_VALUE"""),"Samantha Hobbs")</f>
        <v>Samantha Hobbs</v>
      </c>
      <c r="C1418" s="199">
        <f ca="1">IFERROR(__xludf.DUMMYFUNCTION("""COMPUTED_VALUE"""),10)</f>
        <v>10</v>
      </c>
      <c r="D1418" s="199" t="str">
        <f ca="1">IFERROR(__xludf.DUMMYFUNCTION("""COMPUTED_VALUE"""),"G")</f>
        <v>G</v>
      </c>
      <c r="E1418" s="202" t="str">
        <f ca="1">IFERROR(__xludf.DUMMYFUNCTION("""COMPUTED_VALUE"""),"F")</f>
        <v>F</v>
      </c>
      <c r="F1418" s="202" t="str">
        <f ca="1">IFERROR(__xludf.DUMMYFUNCTION("""COMPUTED_VALUE"""),"J")</f>
        <v>J</v>
      </c>
      <c r="G1418" s="202">
        <f ca="1">IFERROR(__xludf.DUMMYFUNCTION("""COMPUTED_VALUE"""),1)</f>
        <v>1</v>
      </c>
      <c r="H1418" s="206"/>
      <c r="I1418" s="206"/>
      <c r="J1418" s="206"/>
      <c r="K1418" s="206"/>
      <c r="L1418" s="206" t="str">
        <v/>
      </c>
      <c r="M1418" s="206" t="str">
        <v/>
      </c>
    </row>
    <row r="1419" spans="1:13" ht="14.4">
      <c r="A1419" s="199" t="str">
        <f ca="1">IFERROR(__xludf.DUMMYFUNCTION("""COMPUTED_VALUE"""),"O")</f>
        <v>O</v>
      </c>
      <c r="B1419" s="207" t="str">
        <f ca="1">IFERROR(__xludf.DUMMYFUNCTION("""COMPUTED_VALUE"""),"Sydney Lee")</f>
        <v>Sydney Lee</v>
      </c>
      <c r="C1419" s="199">
        <f ca="1">IFERROR(__xludf.DUMMYFUNCTION("""COMPUTED_VALUE"""),10)</f>
        <v>10</v>
      </c>
      <c r="D1419" s="199" t="str">
        <f ca="1">IFERROR(__xludf.DUMMYFUNCTION("""COMPUTED_VALUE"""),"G")</f>
        <v>G</v>
      </c>
      <c r="E1419" s="202" t="str">
        <f ca="1">IFERROR(__xludf.DUMMYFUNCTION("""COMPUTED_VALUE"""),"F")</f>
        <v>F</v>
      </c>
      <c r="F1419" s="202" t="str">
        <f ca="1">IFERROR(__xludf.DUMMYFUNCTION("""COMPUTED_VALUE"""),"J")</f>
        <v>J</v>
      </c>
      <c r="G1419" s="202">
        <f ca="1">IFERROR(__xludf.DUMMYFUNCTION("""COMPUTED_VALUE"""),1)</f>
        <v>1</v>
      </c>
      <c r="H1419" s="206"/>
      <c r="I1419" s="206"/>
      <c r="J1419" s="206"/>
      <c r="K1419" s="206"/>
      <c r="L1419" s="206" t="str">
        <v/>
      </c>
      <c r="M1419" s="206" t="str">
        <v/>
      </c>
    </row>
    <row r="1420" spans="1:13" ht="14.4">
      <c r="A1420" s="199" t="str">
        <f ca="1">IFERROR(__xludf.DUMMYFUNCTION("""COMPUTED_VALUE"""),"O")</f>
        <v>O</v>
      </c>
      <c r="B1420" s="207" t="str">
        <f ca="1">IFERROR(__xludf.DUMMYFUNCTION("""COMPUTED_VALUE"""),"Christopher Cobey")</f>
        <v>Christopher Cobey</v>
      </c>
      <c r="C1420" s="199">
        <f ca="1">IFERROR(__xludf.DUMMYFUNCTION("""COMPUTED_VALUE"""),14)</f>
        <v>14</v>
      </c>
      <c r="D1420" s="199" t="str">
        <f ca="1">IFERROR(__xludf.DUMMYFUNCTION("""COMPUTED_VALUE"""),"B")</f>
        <v>B</v>
      </c>
      <c r="E1420" s="202" t="str">
        <f ca="1">IFERROR(__xludf.DUMMYFUNCTION("""COMPUTED_VALUE"""),"I")</f>
        <v>I</v>
      </c>
      <c r="F1420" s="202" t="str">
        <f ca="1">IFERROR(__xludf.DUMMYFUNCTION("""COMPUTED_VALUE"""),"S")</f>
        <v>S</v>
      </c>
      <c r="G1420" s="202">
        <f ca="1">IFERROR(__xludf.DUMMYFUNCTION("""COMPUTED_VALUE"""),1)</f>
        <v>1</v>
      </c>
      <c r="H1420" s="206"/>
      <c r="I1420" s="206">
        <v>133.1</v>
      </c>
      <c r="J1420" s="206"/>
      <c r="K1420" s="206" t="s">
        <v>123</v>
      </c>
      <c r="L1420" s="206" t="str">
        <v xml:space="preserve"> -133.1</v>
      </c>
      <c r="M1420" s="206" t="str">
        <v>^</v>
      </c>
    </row>
    <row r="1421" spans="1:13" ht="14.4">
      <c r="A1421" s="199" t="str">
        <f ca="1">IFERROR(__xludf.DUMMYFUNCTION("""COMPUTED_VALUE"""),"O")</f>
        <v>O</v>
      </c>
      <c r="B1421" s="207" t="str">
        <f ca="1">IFERROR(__xludf.DUMMYFUNCTION("""COMPUTED_VALUE"""),"Nathan Cohen")</f>
        <v>Nathan Cohen</v>
      </c>
      <c r="C1421" s="199">
        <f ca="1">IFERROR(__xludf.DUMMYFUNCTION("""COMPUTED_VALUE"""),14)</f>
        <v>14</v>
      </c>
      <c r="D1421" s="199" t="str">
        <f ca="1">IFERROR(__xludf.DUMMYFUNCTION("""COMPUTED_VALUE"""),"B")</f>
        <v>B</v>
      </c>
      <c r="E1421" s="202" t="str">
        <f ca="1">IFERROR(__xludf.DUMMYFUNCTION("""COMPUTED_VALUE"""),"I")</f>
        <v>I</v>
      </c>
      <c r="F1421" s="202" t="str">
        <f ca="1">IFERROR(__xludf.DUMMYFUNCTION("""COMPUTED_VALUE"""),"S")</f>
        <v>S</v>
      </c>
      <c r="G1421" s="202">
        <f ca="1">IFERROR(__xludf.DUMMYFUNCTION("""COMPUTED_VALUE"""),1)</f>
        <v>1</v>
      </c>
      <c r="H1421" s="206"/>
      <c r="I1421" s="206">
        <v>103.75</v>
      </c>
      <c r="J1421" s="206"/>
      <c r="K1421" s="206" t="s">
        <v>121</v>
      </c>
      <c r="L1421" s="206" t="str">
        <v xml:space="preserve"> 103.75</v>
      </c>
      <c r="M1421" s="206" t="str">
        <v/>
      </c>
    </row>
    <row r="1422" spans="1:13" ht="14.4">
      <c r="A1422" s="199" t="str">
        <f ca="1">IFERROR(__xludf.DUMMYFUNCTION("""COMPUTED_VALUE"""),"O")</f>
        <v>O</v>
      </c>
      <c r="B1422" s="207" t="str">
        <f ca="1">IFERROR(__xludf.DUMMYFUNCTION("""COMPUTED_VALUE"""),"Jessica Talotta")</f>
        <v>Jessica Talotta</v>
      </c>
      <c r="C1422" s="199">
        <f ca="1">IFERROR(__xludf.DUMMYFUNCTION("""COMPUTED_VALUE"""),13)</f>
        <v>13</v>
      </c>
      <c r="D1422" s="199" t="str">
        <f ca="1">IFERROR(__xludf.DUMMYFUNCTION("""COMPUTED_VALUE"""),"G")</f>
        <v>G</v>
      </c>
      <c r="E1422" s="202" t="str">
        <f ca="1">IFERROR(__xludf.DUMMYFUNCTION("""COMPUTED_VALUE"""),"I")</f>
        <v>I</v>
      </c>
      <c r="F1422" s="202" t="str">
        <f ca="1">IFERROR(__xludf.DUMMYFUNCTION("""COMPUTED_VALUE"""),"S")</f>
        <v>S</v>
      </c>
      <c r="G1422" s="202">
        <f ca="1">IFERROR(__xludf.DUMMYFUNCTION("""COMPUTED_VALUE"""),1)</f>
        <v>1</v>
      </c>
      <c r="H1422" s="208"/>
      <c r="I1422" s="208"/>
      <c r="J1422" s="208"/>
      <c r="K1422" s="208"/>
      <c r="L1422" s="208" t="str">
        <v/>
      </c>
      <c r="M1422" s="208" t="str">
        <v/>
      </c>
    </row>
    <row r="1423" spans="1:13" ht="14.4">
      <c r="A1423" s="199" t="str">
        <f ca="1">IFERROR(__xludf.DUMMYFUNCTION("""COMPUTED_VALUE"""),"O")</f>
        <v>O</v>
      </c>
      <c r="B1423" s="207" t="str">
        <f ca="1">IFERROR(__xludf.DUMMYFUNCTION("""COMPUTED_VALUE"""),"Michayla Eisenberg")</f>
        <v>Michayla Eisenberg</v>
      </c>
      <c r="C1423" s="199">
        <f ca="1">IFERROR(__xludf.DUMMYFUNCTION("""COMPUTED_VALUE"""),14)</f>
        <v>14</v>
      </c>
      <c r="D1423" s="199" t="str">
        <f ca="1">IFERROR(__xludf.DUMMYFUNCTION("""COMPUTED_VALUE"""),"G")</f>
        <v>G</v>
      </c>
      <c r="E1423" s="202" t="str">
        <f ca="1">IFERROR(__xludf.DUMMYFUNCTION("""COMPUTED_VALUE"""),"I")</f>
        <v>I</v>
      </c>
      <c r="F1423" s="202" t="str">
        <f ca="1">IFERROR(__xludf.DUMMYFUNCTION("""COMPUTED_VALUE"""),"S")</f>
        <v>S</v>
      </c>
      <c r="G1423" s="202">
        <f ca="1">IFERROR(__xludf.DUMMYFUNCTION("""COMPUTED_VALUE"""),1)</f>
        <v>1</v>
      </c>
      <c r="H1423" s="206">
        <v>230.1</v>
      </c>
      <c r="I1423" s="206"/>
      <c r="J1423" s="206" t="s">
        <v>123</v>
      </c>
      <c r="K1423" s="206"/>
      <c r="L1423" s="206" t="str">
        <v xml:space="preserve"> -230.1</v>
      </c>
      <c r="M1423" s="206" t="str">
        <v>^</v>
      </c>
    </row>
    <row r="1424" spans="1:13" ht="14.4">
      <c r="A1424" s="199" t="str">
        <f ca="1">IFERROR(__xludf.DUMMYFUNCTION("""COMPUTED_VALUE"""),"O")</f>
        <v>O</v>
      </c>
      <c r="B1424" s="207" t="str">
        <f ca="1">IFERROR(__xludf.DUMMYFUNCTION("""COMPUTED_VALUE"""),"Sophie Deegan")</f>
        <v>Sophie Deegan</v>
      </c>
      <c r="C1424" s="199">
        <f ca="1">IFERROR(__xludf.DUMMYFUNCTION("""COMPUTED_VALUE"""),13)</f>
        <v>13</v>
      </c>
      <c r="D1424" s="199" t="str">
        <f ca="1">IFERROR(__xludf.DUMMYFUNCTION("""COMPUTED_VALUE"""),"G")</f>
        <v>G</v>
      </c>
      <c r="E1424" s="202" t="str">
        <f ca="1">IFERROR(__xludf.DUMMYFUNCTION("""COMPUTED_VALUE"""),"I")</f>
        <v>I</v>
      </c>
      <c r="F1424" s="202" t="str">
        <f ca="1">IFERROR(__xludf.DUMMYFUNCTION("""COMPUTED_VALUE"""),"S")</f>
        <v>S</v>
      </c>
      <c r="G1424" s="202">
        <f ca="1">IFERROR(__xludf.DUMMYFUNCTION("""COMPUTED_VALUE"""),1)</f>
        <v>1</v>
      </c>
      <c r="H1424" s="208">
        <v>113.45</v>
      </c>
      <c r="I1424" s="208"/>
      <c r="J1424" s="208" t="s">
        <v>121</v>
      </c>
      <c r="K1424" s="208"/>
      <c r="L1424" s="208" t="str">
        <v xml:space="preserve"> 113.45</v>
      </c>
      <c r="M1424" s="208" t="str">
        <v/>
      </c>
    </row>
    <row r="1425" spans="1:13" ht="14.4">
      <c r="A1425" s="199" t="str">
        <f ca="1">IFERROR(__xludf.DUMMYFUNCTION("""COMPUTED_VALUE"""),"O")</f>
        <v>O</v>
      </c>
      <c r="B1425" s="207" t="str">
        <f ca="1">IFERROR(__xludf.DUMMYFUNCTION("""COMPUTED_VALUE"""),"Evan Woodward")</f>
        <v>Evan Woodward</v>
      </c>
      <c r="C1425" s="199">
        <f ca="1">IFERROR(__xludf.DUMMYFUNCTION("""COMPUTED_VALUE"""),11)</f>
        <v>11</v>
      </c>
      <c r="D1425" s="199" t="str">
        <f ca="1">IFERROR(__xludf.DUMMYFUNCTION("""COMPUTED_VALUE"""),"B")</f>
        <v>B</v>
      </c>
      <c r="E1425" s="202" t="str">
        <f ca="1">IFERROR(__xludf.DUMMYFUNCTION("""COMPUTED_VALUE"""),"J")</f>
        <v>J</v>
      </c>
      <c r="F1425" s="202" t="str">
        <f ca="1">IFERROR(__xludf.DUMMYFUNCTION("""COMPUTED_VALUE"""),"I")</f>
        <v>I</v>
      </c>
      <c r="G1425" s="202">
        <f ca="1">IFERROR(__xludf.DUMMYFUNCTION("""COMPUTED_VALUE"""),1)</f>
        <v>1</v>
      </c>
      <c r="H1425" s="206"/>
      <c r="I1425" s="206"/>
      <c r="J1425" s="206"/>
      <c r="K1425" s="206"/>
      <c r="L1425" s="206" t="str">
        <v/>
      </c>
      <c r="M1425" s="206" t="str">
        <v/>
      </c>
    </row>
    <row r="1426" spans="1:13" ht="14.4">
      <c r="A1426" s="199" t="str">
        <f ca="1">IFERROR(__xludf.DUMMYFUNCTION("""COMPUTED_VALUE"""),"O")</f>
        <v>O</v>
      </c>
      <c r="B1426" s="207" t="str">
        <f ca="1">IFERROR(__xludf.DUMMYFUNCTION("""COMPUTED_VALUE"""),"Haynes Deegan")</f>
        <v>Haynes Deegan</v>
      </c>
      <c r="C1426" s="199">
        <f ca="1">IFERROR(__xludf.DUMMYFUNCTION("""COMPUTED_VALUE"""),11)</f>
        <v>11</v>
      </c>
      <c r="D1426" s="199" t="str">
        <f ca="1">IFERROR(__xludf.DUMMYFUNCTION("""COMPUTED_VALUE"""),"B")</f>
        <v>B</v>
      </c>
      <c r="E1426" s="202" t="str">
        <f ca="1">IFERROR(__xludf.DUMMYFUNCTION("""COMPUTED_VALUE"""),"J")</f>
        <v>J</v>
      </c>
      <c r="F1426" s="202" t="str">
        <f ca="1">IFERROR(__xludf.DUMMYFUNCTION("""COMPUTED_VALUE"""),"I")</f>
        <v>I</v>
      </c>
      <c r="G1426" s="202">
        <f ca="1">IFERROR(__xludf.DUMMYFUNCTION("""COMPUTED_VALUE"""),1)</f>
        <v>1</v>
      </c>
      <c r="H1426" s="208"/>
      <c r="I1426" s="208">
        <v>76.25</v>
      </c>
      <c r="J1426" s="208"/>
      <c r="K1426" s="208" t="s">
        <v>121</v>
      </c>
      <c r="L1426" s="208" t="str">
        <v xml:space="preserve"> 76.25</v>
      </c>
      <c r="M1426" s="208" t="str">
        <v/>
      </c>
    </row>
    <row r="1427" spans="1:13" ht="14.4">
      <c r="A1427" s="199" t="str">
        <f ca="1">IFERROR(__xludf.DUMMYFUNCTION("""COMPUTED_VALUE"""),"O")</f>
        <v>O</v>
      </c>
      <c r="B1427" s="207" t="str">
        <f ca="1">IFERROR(__xludf.DUMMYFUNCTION("""COMPUTED_VALUE"""),"James Karlton")</f>
        <v>James Karlton</v>
      </c>
      <c r="C1427" s="199">
        <f ca="1">IFERROR(__xludf.DUMMYFUNCTION("""COMPUTED_VALUE"""),11)</f>
        <v>11</v>
      </c>
      <c r="D1427" s="199" t="str">
        <f ca="1">IFERROR(__xludf.DUMMYFUNCTION("""COMPUTED_VALUE"""),"B")</f>
        <v>B</v>
      </c>
      <c r="E1427" s="202" t="str">
        <f ca="1">IFERROR(__xludf.DUMMYFUNCTION("""COMPUTED_VALUE"""),"J")</f>
        <v>J</v>
      </c>
      <c r="F1427" s="202" t="str">
        <f ca="1">IFERROR(__xludf.DUMMYFUNCTION("""COMPUTED_VALUE"""),"I")</f>
        <v>I</v>
      </c>
      <c r="G1427" s="202">
        <f ca="1">IFERROR(__xludf.DUMMYFUNCTION("""COMPUTED_VALUE"""),1)</f>
        <v>1</v>
      </c>
      <c r="H1427" s="208"/>
      <c r="I1427" s="208"/>
      <c r="J1427" s="208"/>
      <c r="K1427" s="208"/>
      <c r="L1427" s="208" t="str">
        <v/>
      </c>
      <c r="M1427" s="208" t="str">
        <v/>
      </c>
    </row>
    <row r="1428" spans="1:13" ht="14.4">
      <c r="A1428" s="199" t="str">
        <f ca="1">IFERROR(__xludf.DUMMYFUNCTION("""COMPUTED_VALUE"""),"O")</f>
        <v>O</v>
      </c>
      <c r="B1428" s="207" t="str">
        <f ca="1">IFERROR(__xludf.DUMMYFUNCTION("""COMPUTED_VALUE"""),"Matias Grundmann")</f>
        <v>Matias Grundmann</v>
      </c>
      <c r="C1428" s="199">
        <f ca="1">IFERROR(__xludf.DUMMYFUNCTION("""COMPUTED_VALUE"""),12)</f>
        <v>12</v>
      </c>
      <c r="D1428" s="199" t="str">
        <f ca="1">IFERROR(__xludf.DUMMYFUNCTION("""COMPUTED_VALUE"""),"B")</f>
        <v>B</v>
      </c>
      <c r="E1428" s="202" t="str">
        <f ca="1">IFERROR(__xludf.DUMMYFUNCTION("""COMPUTED_VALUE"""),"J")</f>
        <v>J</v>
      </c>
      <c r="F1428" s="202" t="str">
        <f ca="1">IFERROR(__xludf.DUMMYFUNCTION("""COMPUTED_VALUE"""),"I")</f>
        <v>I</v>
      </c>
      <c r="G1428" s="202">
        <f ca="1">IFERROR(__xludf.DUMMYFUNCTION("""COMPUTED_VALUE"""),1)</f>
        <v>1</v>
      </c>
      <c r="H1428" s="208"/>
      <c r="I1428" s="208">
        <v>66.8</v>
      </c>
      <c r="J1428" s="208"/>
      <c r="K1428" s="208" t="s">
        <v>121</v>
      </c>
      <c r="L1428" s="208" t="str">
        <v xml:space="preserve"> 66.8</v>
      </c>
      <c r="M1428" s="208" t="str">
        <v/>
      </c>
    </row>
    <row r="1429" spans="1:13" ht="14.4">
      <c r="A1429" s="199" t="str">
        <f ca="1">IFERROR(__xludf.DUMMYFUNCTION("""COMPUTED_VALUE"""),"O")</f>
        <v>O</v>
      </c>
      <c r="B1429" s="207" t="str">
        <f ca="1">IFERROR(__xludf.DUMMYFUNCTION("""COMPUTED_VALUE"""),"Nicky Tressler")</f>
        <v>Nicky Tressler</v>
      </c>
      <c r="C1429" s="199">
        <f ca="1">IFERROR(__xludf.DUMMYFUNCTION("""COMPUTED_VALUE"""),12)</f>
        <v>12</v>
      </c>
      <c r="D1429" s="199" t="str">
        <f ca="1">IFERROR(__xludf.DUMMYFUNCTION("""COMPUTED_VALUE"""),"B")</f>
        <v>B</v>
      </c>
      <c r="E1429" s="202" t="str">
        <f ca="1">IFERROR(__xludf.DUMMYFUNCTION("""COMPUTED_VALUE"""),"J")</f>
        <v>J</v>
      </c>
      <c r="F1429" s="202" t="str">
        <f ca="1">IFERROR(__xludf.DUMMYFUNCTION("""COMPUTED_VALUE"""),"I")</f>
        <v>I</v>
      </c>
      <c r="G1429" s="202">
        <f ca="1">IFERROR(__xludf.DUMMYFUNCTION("""COMPUTED_VALUE"""),1)</f>
        <v>1</v>
      </c>
      <c r="H1429" s="208"/>
      <c r="I1429" s="208"/>
      <c r="J1429" s="208"/>
      <c r="K1429" s="208"/>
      <c r="L1429" s="208" t="str">
        <v/>
      </c>
      <c r="M1429" s="208" t="str">
        <v/>
      </c>
    </row>
    <row r="1430" spans="1:13" ht="14.4">
      <c r="A1430" s="199" t="str">
        <f ca="1">IFERROR(__xludf.DUMMYFUNCTION("""COMPUTED_VALUE"""),"O")</f>
        <v>O</v>
      </c>
      <c r="B1430" s="207" t="str">
        <f ca="1">IFERROR(__xludf.DUMMYFUNCTION("""COMPUTED_VALUE"""),"Amelia Buczek")</f>
        <v>Amelia Buczek</v>
      </c>
      <c r="C1430" s="199">
        <f ca="1">IFERROR(__xludf.DUMMYFUNCTION("""COMPUTED_VALUE"""),12)</f>
        <v>12</v>
      </c>
      <c r="D1430" s="199" t="str">
        <f ca="1">IFERROR(__xludf.DUMMYFUNCTION("""COMPUTED_VALUE"""),"G")</f>
        <v>G</v>
      </c>
      <c r="E1430" s="202" t="str">
        <f ca="1">IFERROR(__xludf.DUMMYFUNCTION("""COMPUTED_VALUE"""),"J")</f>
        <v>J</v>
      </c>
      <c r="F1430" s="202" t="str">
        <f ca="1">IFERROR(__xludf.DUMMYFUNCTION("""COMPUTED_VALUE"""),"I")</f>
        <v>I</v>
      </c>
      <c r="G1430" s="202">
        <f ca="1">IFERROR(__xludf.DUMMYFUNCTION("""COMPUTED_VALUE"""),1)</f>
        <v>1</v>
      </c>
      <c r="H1430" s="206"/>
      <c r="I1430" s="206"/>
      <c r="J1430" s="206"/>
      <c r="K1430" s="206"/>
      <c r="L1430" s="206" t="str">
        <v/>
      </c>
      <c r="M1430" s="206" t="str">
        <v/>
      </c>
    </row>
    <row r="1431" spans="1:13" ht="14.4">
      <c r="A1431" s="199" t="str">
        <f ca="1">IFERROR(__xludf.DUMMYFUNCTION("""COMPUTED_VALUE"""),"O")</f>
        <v>O</v>
      </c>
      <c r="B1431" s="207" t="str">
        <f ca="1">IFERROR(__xludf.DUMMYFUNCTION("""COMPUTED_VALUE"""),"Anna Dober")</f>
        <v>Anna Dober</v>
      </c>
      <c r="C1431" s="199">
        <f ca="1">IFERROR(__xludf.DUMMYFUNCTION("""COMPUTED_VALUE"""),11)</f>
        <v>11</v>
      </c>
      <c r="D1431" s="199" t="str">
        <f ca="1">IFERROR(__xludf.DUMMYFUNCTION("""COMPUTED_VALUE"""),"G")</f>
        <v>G</v>
      </c>
      <c r="E1431" s="202" t="str">
        <f ca="1">IFERROR(__xludf.DUMMYFUNCTION("""COMPUTED_VALUE"""),"J")</f>
        <v>J</v>
      </c>
      <c r="F1431" s="202" t="str">
        <f ca="1">IFERROR(__xludf.DUMMYFUNCTION("""COMPUTED_VALUE"""),"I")</f>
        <v>I</v>
      </c>
      <c r="G1431" s="202">
        <f ca="1">IFERROR(__xludf.DUMMYFUNCTION("""COMPUTED_VALUE"""),1)</f>
        <v>1</v>
      </c>
      <c r="H1431" s="206">
        <v>57.55</v>
      </c>
      <c r="I1431" s="206"/>
      <c r="J1431" s="206" t="s">
        <v>121</v>
      </c>
      <c r="K1431" s="206"/>
      <c r="L1431" s="206" t="str">
        <v xml:space="preserve"> 57.55</v>
      </c>
      <c r="M1431" s="206" t="str">
        <v/>
      </c>
    </row>
    <row r="1432" spans="1:13" ht="14.4">
      <c r="A1432" s="199" t="str">
        <f ca="1">IFERROR(__xludf.DUMMYFUNCTION("""COMPUTED_VALUE"""),"O")</f>
        <v>O</v>
      </c>
      <c r="B1432" s="207" t="str">
        <f ca="1">IFERROR(__xludf.DUMMYFUNCTION("""COMPUTED_VALUE"""),"Ashley Tucker")</f>
        <v>Ashley Tucker</v>
      </c>
      <c r="C1432" s="199">
        <f ca="1">IFERROR(__xludf.DUMMYFUNCTION("""COMPUTED_VALUE"""),11)</f>
        <v>11</v>
      </c>
      <c r="D1432" s="199" t="str">
        <f ca="1">IFERROR(__xludf.DUMMYFUNCTION("""COMPUTED_VALUE"""),"G")</f>
        <v>G</v>
      </c>
      <c r="E1432" s="202" t="str">
        <f ca="1">IFERROR(__xludf.DUMMYFUNCTION("""COMPUTED_VALUE"""),"J")</f>
        <v>J</v>
      </c>
      <c r="F1432" s="202" t="str">
        <f ca="1">IFERROR(__xludf.DUMMYFUNCTION("""COMPUTED_VALUE"""),"I")</f>
        <v>I</v>
      </c>
      <c r="G1432" s="202">
        <f ca="1">IFERROR(__xludf.DUMMYFUNCTION("""COMPUTED_VALUE"""),1)</f>
        <v>1</v>
      </c>
      <c r="H1432" s="208"/>
      <c r="I1432" s="208"/>
      <c r="J1432" s="208"/>
      <c r="K1432" s="208"/>
      <c r="L1432" s="208" t="str">
        <v/>
      </c>
      <c r="M1432" s="208" t="str">
        <v/>
      </c>
    </row>
    <row r="1433" spans="1:13" ht="14.4">
      <c r="A1433" s="199" t="str">
        <f ca="1">IFERROR(__xludf.DUMMYFUNCTION("""COMPUTED_VALUE"""),"O")</f>
        <v>O</v>
      </c>
      <c r="B1433" s="207" t="str">
        <f ca="1">IFERROR(__xludf.DUMMYFUNCTION("""COMPUTED_VALUE"""),"Avery Mills")</f>
        <v>Avery Mills</v>
      </c>
      <c r="C1433" s="199">
        <f ca="1">IFERROR(__xludf.DUMMYFUNCTION("""COMPUTED_VALUE"""),12)</f>
        <v>12</v>
      </c>
      <c r="D1433" s="199" t="str">
        <f ca="1">IFERROR(__xludf.DUMMYFUNCTION("""COMPUTED_VALUE"""),"G")</f>
        <v>G</v>
      </c>
      <c r="E1433" s="202" t="str">
        <f ca="1">IFERROR(__xludf.DUMMYFUNCTION("""COMPUTED_VALUE"""),"J")</f>
        <v>J</v>
      </c>
      <c r="F1433" s="202" t="str">
        <f ca="1">IFERROR(__xludf.DUMMYFUNCTION("""COMPUTED_VALUE"""),"I")</f>
        <v>I</v>
      </c>
      <c r="G1433" s="202">
        <f ca="1">IFERROR(__xludf.DUMMYFUNCTION("""COMPUTED_VALUE"""),1)</f>
        <v>1</v>
      </c>
      <c r="H1433" s="206"/>
      <c r="I1433" s="206"/>
      <c r="J1433" s="206"/>
      <c r="K1433" s="206"/>
      <c r="L1433" s="206" t="str">
        <v/>
      </c>
      <c r="M1433" s="206" t="str">
        <v/>
      </c>
    </row>
    <row r="1434" spans="1:13" ht="14.4">
      <c r="A1434" s="199" t="str">
        <f ca="1">IFERROR(__xludf.DUMMYFUNCTION("""COMPUTED_VALUE"""),"O")</f>
        <v>O</v>
      </c>
      <c r="B1434" s="207" t="str">
        <f ca="1">IFERROR(__xludf.DUMMYFUNCTION("""COMPUTED_VALUE"""),"Georgette Malko")</f>
        <v>Georgette Malko</v>
      </c>
      <c r="C1434" s="199">
        <f ca="1">IFERROR(__xludf.DUMMYFUNCTION("""COMPUTED_VALUE"""),12)</f>
        <v>12</v>
      </c>
      <c r="D1434" s="199" t="str">
        <f ca="1">IFERROR(__xludf.DUMMYFUNCTION("""COMPUTED_VALUE"""),"G")</f>
        <v>G</v>
      </c>
      <c r="E1434" s="202" t="str">
        <f ca="1">IFERROR(__xludf.DUMMYFUNCTION("""COMPUTED_VALUE"""),"J")</f>
        <v>J</v>
      </c>
      <c r="F1434" s="202" t="str">
        <f ca="1">IFERROR(__xludf.DUMMYFUNCTION("""COMPUTED_VALUE"""),"I")</f>
        <v>I</v>
      </c>
      <c r="G1434" s="202">
        <f ca="1">IFERROR(__xludf.DUMMYFUNCTION("""COMPUTED_VALUE"""),1)</f>
        <v>1</v>
      </c>
      <c r="H1434" s="208">
        <v>81.75</v>
      </c>
      <c r="I1434" s="208"/>
      <c r="J1434" s="208" t="s">
        <v>121</v>
      </c>
      <c r="K1434" s="208"/>
      <c r="L1434" s="208" t="str">
        <v xml:space="preserve"> 81.75</v>
      </c>
      <c r="M1434" s="208" t="str">
        <v/>
      </c>
    </row>
    <row r="1435" spans="1:13" ht="14.4">
      <c r="A1435" s="199" t="str">
        <f ca="1">IFERROR(__xludf.DUMMYFUNCTION("""COMPUTED_VALUE"""),"O")</f>
        <v>O</v>
      </c>
      <c r="B1435" s="207" t="str">
        <f ca="1">IFERROR(__xludf.DUMMYFUNCTION("""COMPUTED_VALUE"""),"Holly Tucker")</f>
        <v>Holly Tucker</v>
      </c>
      <c r="C1435" s="199">
        <f ca="1">IFERROR(__xludf.DUMMYFUNCTION("""COMPUTED_VALUE"""),11)</f>
        <v>11</v>
      </c>
      <c r="D1435" s="199" t="str">
        <f ca="1">IFERROR(__xludf.DUMMYFUNCTION("""COMPUTED_VALUE"""),"G")</f>
        <v>G</v>
      </c>
      <c r="E1435" s="202" t="str">
        <f ca="1">IFERROR(__xludf.DUMMYFUNCTION("""COMPUTED_VALUE"""),"J")</f>
        <v>J</v>
      </c>
      <c r="F1435" s="202" t="str">
        <f ca="1">IFERROR(__xludf.DUMMYFUNCTION("""COMPUTED_VALUE"""),"I")</f>
        <v>I</v>
      </c>
      <c r="G1435" s="202">
        <f ca="1">IFERROR(__xludf.DUMMYFUNCTION("""COMPUTED_VALUE"""),1)</f>
        <v>1</v>
      </c>
      <c r="H1435" s="206"/>
      <c r="I1435" s="206"/>
      <c r="J1435" s="206"/>
      <c r="K1435" s="206"/>
      <c r="L1435" s="206" t="str">
        <v/>
      </c>
      <c r="M1435" s="206" t="str">
        <v/>
      </c>
    </row>
    <row r="1436" spans="1:13" ht="14.4">
      <c r="A1436" s="199" t="str">
        <f ca="1">IFERROR(__xludf.DUMMYFUNCTION("""COMPUTED_VALUE"""),"O")</f>
        <v>O</v>
      </c>
      <c r="B1436" s="207" t="str">
        <f ca="1">IFERROR(__xludf.DUMMYFUNCTION("""COMPUTED_VALUE"""),"Isabella Eisenberg")</f>
        <v>Isabella Eisenberg</v>
      </c>
      <c r="C1436" s="199">
        <f ca="1">IFERROR(__xludf.DUMMYFUNCTION("""COMPUTED_VALUE"""),12)</f>
        <v>12</v>
      </c>
      <c r="D1436" s="199" t="str">
        <f ca="1">IFERROR(__xludf.DUMMYFUNCTION("""COMPUTED_VALUE"""),"G")</f>
        <v>G</v>
      </c>
      <c r="E1436" s="202" t="str">
        <f ca="1">IFERROR(__xludf.DUMMYFUNCTION("""COMPUTED_VALUE"""),"J")</f>
        <v>J</v>
      </c>
      <c r="F1436" s="202" t="str">
        <f ca="1">IFERROR(__xludf.DUMMYFUNCTION("""COMPUTED_VALUE"""),"I")</f>
        <v>I</v>
      </c>
      <c r="G1436" s="202">
        <f ca="1">IFERROR(__xludf.DUMMYFUNCTION("""COMPUTED_VALUE"""),1)</f>
        <v>1</v>
      </c>
      <c r="H1436" s="206"/>
      <c r="I1436" s="206"/>
      <c r="J1436" s="206"/>
      <c r="K1436" s="206"/>
      <c r="L1436" s="206" t="str">
        <v/>
      </c>
      <c r="M1436" s="206" t="str">
        <v/>
      </c>
    </row>
    <row r="1437" spans="1:13" ht="14.4">
      <c r="A1437" s="199" t="str">
        <f ca="1">IFERROR(__xludf.DUMMYFUNCTION("""COMPUTED_VALUE"""),"O")</f>
        <v>O</v>
      </c>
      <c r="B1437" s="207" t="str">
        <f ca="1">IFERROR(__xludf.DUMMYFUNCTION("""COMPUTED_VALUE"""),"Jubilee Schneider")</f>
        <v>Jubilee Schneider</v>
      </c>
      <c r="C1437" s="199">
        <f ca="1">IFERROR(__xludf.DUMMYFUNCTION("""COMPUTED_VALUE"""),12)</f>
        <v>12</v>
      </c>
      <c r="D1437" s="199" t="str">
        <f ca="1">IFERROR(__xludf.DUMMYFUNCTION("""COMPUTED_VALUE"""),"G")</f>
        <v>G</v>
      </c>
      <c r="E1437" s="202" t="str">
        <f ca="1">IFERROR(__xludf.DUMMYFUNCTION("""COMPUTED_VALUE"""),"J")</f>
        <v>J</v>
      </c>
      <c r="F1437" s="202" t="str">
        <f ca="1">IFERROR(__xludf.DUMMYFUNCTION("""COMPUTED_VALUE"""),"I")</f>
        <v>I</v>
      </c>
      <c r="G1437" s="202">
        <f ca="1">IFERROR(__xludf.DUMMYFUNCTION("""COMPUTED_VALUE"""),1)</f>
        <v>1</v>
      </c>
      <c r="H1437" s="208"/>
      <c r="I1437" s="208"/>
      <c r="J1437" s="208"/>
      <c r="K1437" s="208"/>
      <c r="L1437" s="208" t="str">
        <v/>
      </c>
      <c r="M1437" s="208" t="str">
        <v/>
      </c>
    </row>
    <row r="1438" spans="1:13" ht="14.4">
      <c r="A1438" s="199" t="str">
        <f ca="1">IFERROR(__xludf.DUMMYFUNCTION("""COMPUTED_VALUE"""),"O")</f>
        <v>O</v>
      </c>
      <c r="B1438" s="207" t="str">
        <f ca="1">IFERROR(__xludf.DUMMYFUNCTION("""COMPUTED_VALUE"""),"Lauren Alboum")</f>
        <v>Lauren Alboum</v>
      </c>
      <c r="C1438" s="199">
        <f ca="1">IFERROR(__xludf.DUMMYFUNCTION("""COMPUTED_VALUE"""),12)</f>
        <v>12</v>
      </c>
      <c r="D1438" s="199" t="str">
        <f ca="1">IFERROR(__xludf.DUMMYFUNCTION("""COMPUTED_VALUE"""),"G")</f>
        <v>G</v>
      </c>
      <c r="E1438" s="202" t="str">
        <f ca="1">IFERROR(__xludf.DUMMYFUNCTION("""COMPUTED_VALUE"""),"J")</f>
        <v>J</v>
      </c>
      <c r="F1438" s="202" t="str">
        <f ca="1">IFERROR(__xludf.DUMMYFUNCTION("""COMPUTED_VALUE"""),"I")</f>
        <v>I</v>
      </c>
      <c r="G1438" s="202">
        <f ca="1">IFERROR(__xludf.DUMMYFUNCTION("""COMPUTED_VALUE"""),1)</f>
        <v>1</v>
      </c>
      <c r="H1438" s="208">
        <v>62.75</v>
      </c>
      <c r="I1438" s="208"/>
      <c r="J1438" s="208" t="s">
        <v>121</v>
      </c>
      <c r="K1438" s="208"/>
      <c r="L1438" s="208" t="str">
        <v xml:space="preserve"> 62.75</v>
      </c>
      <c r="M1438" s="208" t="str">
        <v/>
      </c>
    </row>
    <row r="1439" spans="1:13" ht="14.4">
      <c r="A1439" s="199" t="str">
        <f ca="1">IFERROR(__xludf.DUMMYFUNCTION("""COMPUTED_VALUE"""),"O")</f>
        <v>O</v>
      </c>
      <c r="B1439" s="207" t="str">
        <f ca="1">IFERROR(__xludf.DUMMYFUNCTION("""COMPUTED_VALUE"""),"Leah Dober")</f>
        <v>Leah Dober</v>
      </c>
      <c r="C1439" s="199">
        <f ca="1">IFERROR(__xludf.DUMMYFUNCTION("""COMPUTED_VALUE"""),11)</f>
        <v>11</v>
      </c>
      <c r="D1439" s="199" t="str">
        <f ca="1">IFERROR(__xludf.DUMMYFUNCTION("""COMPUTED_VALUE"""),"G")</f>
        <v>G</v>
      </c>
      <c r="E1439" s="202" t="str">
        <f ca="1">IFERROR(__xludf.DUMMYFUNCTION("""COMPUTED_VALUE"""),"J")</f>
        <v>J</v>
      </c>
      <c r="F1439" s="202" t="str">
        <f ca="1">IFERROR(__xludf.DUMMYFUNCTION("""COMPUTED_VALUE"""),"I")</f>
        <v>I</v>
      </c>
      <c r="G1439" s="202">
        <f ca="1">IFERROR(__xludf.DUMMYFUNCTION("""COMPUTED_VALUE"""),1)</f>
        <v>1</v>
      </c>
      <c r="H1439" s="208"/>
      <c r="I1439" s="208"/>
      <c r="J1439" s="208"/>
      <c r="K1439" s="208"/>
      <c r="L1439" s="208" t="str">
        <v/>
      </c>
      <c r="M1439" s="208" t="str">
        <v/>
      </c>
    </row>
    <row r="1440" spans="1:13" ht="14.4">
      <c r="A1440" s="199" t="str">
        <f ca="1">IFERROR(__xludf.DUMMYFUNCTION("""COMPUTED_VALUE"""),"O")</f>
        <v>O</v>
      </c>
      <c r="B1440" s="207" t="str">
        <f ca="1">IFERROR(__xludf.DUMMYFUNCTION("""COMPUTED_VALUE"""),"Maren Akst")</f>
        <v>Maren Akst</v>
      </c>
      <c r="C1440" s="199">
        <f ca="1">IFERROR(__xludf.DUMMYFUNCTION("""COMPUTED_VALUE"""),12)</f>
        <v>12</v>
      </c>
      <c r="D1440" s="199" t="str">
        <f ca="1">IFERROR(__xludf.DUMMYFUNCTION("""COMPUTED_VALUE"""),"G")</f>
        <v>G</v>
      </c>
      <c r="E1440" s="202" t="str">
        <f ca="1">IFERROR(__xludf.DUMMYFUNCTION("""COMPUTED_VALUE"""),"J")</f>
        <v>J</v>
      </c>
      <c r="F1440" s="202" t="str">
        <f ca="1">IFERROR(__xludf.DUMMYFUNCTION("""COMPUTED_VALUE"""),"I")</f>
        <v>I</v>
      </c>
      <c r="G1440" s="202">
        <f ca="1">IFERROR(__xludf.DUMMYFUNCTION("""COMPUTED_VALUE"""),1)</f>
        <v>1</v>
      </c>
      <c r="H1440" s="206">
        <v>66.25</v>
      </c>
      <c r="I1440" s="206"/>
      <c r="J1440" s="206" t="s">
        <v>121</v>
      </c>
      <c r="K1440" s="206"/>
      <c r="L1440" s="206" t="str">
        <v xml:space="preserve"> 66.25</v>
      </c>
      <c r="M1440" s="206" t="str">
        <v/>
      </c>
    </row>
    <row r="1441" spans="1:13" ht="14.4">
      <c r="A1441" s="199" t="str">
        <f ca="1">IFERROR(__xludf.DUMMYFUNCTION("""COMPUTED_VALUE"""),"O")</f>
        <v>O</v>
      </c>
      <c r="B1441" s="207" t="str">
        <f ca="1">IFERROR(__xludf.DUMMYFUNCTION("""COMPUTED_VALUE"""),"Margo Eskovitz")</f>
        <v>Margo Eskovitz</v>
      </c>
      <c r="C1441" s="199">
        <f ca="1">IFERROR(__xludf.DUMMYFUNCTION("""COMPUTED_VALUE"""),11)</f>
        <v>11</v>
      </c>
      <c r="D1441" s="199" t="str">
        <f ca="1">IFERROR(__xludf.DUMMYFUNCTION("""COMPUTED_VALUE"""),"G")</f>
        <v>G</v>
      </c>
      <c r="E1441" s="202" t="str">
        <f ca="1">IFERROR(__xludf.DUMMYFUNCTION("""COMPUTED_VALUE"""),"J")</f>
        <v>J</v>
      </c>
      <c r="F1441" s="202" t="str">
        <f ca="1">IFERROR(__xludf.DUMMYFUNCTION("""COMPUTED_VALUE"""),"I")</f>
        <v>I</v>
      </c>
      <c r="G1441" s="202">
        <f ca="1">IFERROR(__xludf.DUMMYFUNCTION("""COMPUTED_VALUE"""),1)</f>
        <v>1</v>
      </c>
      <c r="H1441" s="208">
        <v>45.1</v>
      </c>
      <c r="I1441" s="208"/>
      <c r="J1441" s="208" t="s">
        <v>121</v>
      </c>
      <c r="K1441" s="208"/>
      <c r="L1441" s="208" t="str">
        <v xml:space="preserve"> 45.1</v>
      </c>
      <c r="M1441" s="208" t="str">
        <v/>
      </c>
    </row>
    <row r="1442" spans="1:13" ht="14.4">
      <c r="A1442" s="199" t="str">
        <f ca="1">IFERROR(__xludf.DUMMYFUNCTION("""COMPUTED_VALUE"""),"O")</f>
        <v>O</v>
      </c>
      <c r="B1442" s="207" t="str">
        <f ca="1">IFERROR(__xludf.DUMMYFUNCTION("""COMPUTED_VALUE"""),"Scarlett Waltrup")</f>
        <v>Scarlett Waltrup</v>
      </c>
      <c r="C1442" s="199">
        <f ca="1">IFERROR(__xludf.DUMMYFUNCTION("""COMPUTED_VALUE"""),11)</f>
        <v>11</v>
      </c>
      <c r="D1442" s="199" t="str">
        <f ca="1">IFERROR(__xludf.DUMMYFUNCTION("""COMPUTED_VALUE"""),"G")</f>
        <v>G</v>
      </c>
      <c r="E1442" s="202" t="str">
        <f ca="1">IFERROR(__xludf.DUMMYFUNCTION("""COMPUTED_VALUE"""),"J")</f>
        <v>J</v>
      </c>
      <c r="F1442" s="202" t="str">
        <f ca="1">IFERROR(__xludf.DUMMYFUNCTION("""COMPUTED_VALUE"""),"I")</f>
        <v>I</v>
      </c>
      <c r="G1442" s="202">
        <f ca="1">IFERROR(__xludf.DUMMYFUNCTION("""COMPUTED_VALUE"""),1)</f>
        <v>1</v>
      </c>
      <c r="H1442" s="206"/>
      <c r="I1442" s="206"/>
      <c r="J1442" s="206"/>
      <c r="K1442" s="206"/>
      <c r="L1442" s="206" t="str">
        <v/>
      </c>
      <c r="M1442" s="206" t="str">
        <v/>
      </c>
    </row>
    <row r="1443" spans="1:13" ht="14.4">
      <c r="A1443" s="199" t="str">
        <f ca="1">IFERROR(__xludf.DUMMYFUNCTION("""COMPUTED_VALUE"""),"O")</f>
        <v>O</v>
      </c>
      <c r="B1443" s="207" t="str">
        <f ca="1">IFERROR(__xludf.DUMMYFUNCTION("""COMPUTED_VALUE"""),"Stella Barclay")</f>
        <v>Stella Barclay</v>
      </c>
      <c r="C1443" s="199">
        <f ca="1">IFERROR(__xludf.DUMMYFUNCTION("""COMPUTED_VALUE"""),12)</f>
        <v>12</v>
      </c>
      <c r="D1443" s="199" t="str">
        <f ca="1">IFERROR(__xludf.DUMMYFUNCTION("""COMPUTED_VALUE"""),"G")</f>
        <v>G</v>
      </c>
      <c r="E1443" s="202" t="str">
        <f ca="1">IFERROR(__xludf.DUMMYFUNCTION("""COMPUTED_VALUE"""),"J")</f>
        <v>J</v>
      </c>
      <c r="F1443" s="202" t="str">
        <f ca="1">IFERROR(__xludf.DUMMYFUNCTION("""COMPUTED_VALUE"""),"I")</f>
        <v>I</v>
      </c>
      <c r="G1443" s="202">
        <f ca="1">IFERROR(__xludf.DUMMYFUNCTION("""COMPUTED_VALUE"""),1)</f>
        <v>1</v>
      </c>
      <c r="H1443" s="206">
        <v>148.94999999999999</v>
      </c>
      <c r="I1443" s="206"/>
      <c r="J1443" s="206" t="s">
        <v>123</v>
      </c>
      <c r="K1443" s="206"/>
      <c r="L1443" s="206" t="str">
        <v xml:space="preserve"> -148.95</v>
      </c>
      <c r="M1443" s="206" t="str">
        <v>^</v>
      </c>
    </row>
    <row r="1444" spans="1:13" ht="14.4">
      <c r="A1444" s="199" t="str">
        <f ca="1">IFERROR(__xludf.DUMMYFUNCTION("""COMPUTED_VALUE"""),"O")</f>
        <v>O</v>
      </c>
      <c r="B1444" s="207" t="str">
        <f ca="1">IFERROR(__xludf.DUMMYFUNCTION("""COMPUTED_VALUE"""),"Matthew Kress")</f>
        <v>Matthew Kress</v>
      </c>
      <c r="C1444" s="199">
        <f ca="1">IFERROR(__xludf.DUMMYFUNCTION("""COMPUTED_VALUE"""),17)</f>
        <v>17</v>
      </c>
      <c r="D1444" s="199" t="str">
        <f ca="1">IFERROR(__xludf.DUMMYFUNCTION("""COMPUTED_VALUE"""),"B")</f>
        <v>B</v>
      </c>
      <c r="E1444" s="202" t="str">
        <f ca="1">IFERROR(__xludf.DUMMYFUNCTION("""COMPUTED_VALUE"""),"S")</f>
        <v>S</v>
      </c>
      <c r="F1444" s="202" t="str">
        <f ca="1">IFERROR(__xludf.DUMMYFUNCTION("""COMPUTED_VALUE"""),"S")</f>
        <v>S</v>
      </c>
      <c r="G1444" s="202">
        <f ca="1">IFERROR(__xludf.DUMMYFUNCTION("""COMPUTED_VALUE"""),1)</f>
        <v>1</v>
      </c>
      <c r="H1444" s="208"/>
      <c r="I1444" s="208"/>
      <c r="J1444" s="208"/>
      <c r="K1444" s="208"/>
      <c r="L1444" s="208" t="str">
        <v/>
      </c>
      <c r="M1444" s="208" t="str">
        <v/>
      </c>
    </row>
    <row r="1445" spans="1:13" ht="14.4">
      <c r="A1445" s="199" t="str">
        <f ca="1">IFERROR(__xludf.DUMMYFUNCTION("""COMPUTED_VALUE"""),"O")</f>
        <v>O</v>
      </c>
      <c r="B1445" s="207" t="str">
        <f ca="1">IFERROR(__xludf.DUMMYFUNCTION("""COMPUTED_VALUE"""),"Avery Stoker")</f>
        <v>Avery Stoker</v>
      </c>
      <c r="C1445" s="199">
        <f ca="1">IFERROR(__xludf.DUMMYFUNCTION("""COMPUTED_VALUE"""),15)</f>
        <v>15</v>
      </c>
      <c r="D1445" s="199" t="str">
        <f ca="1">IFERROR(__xludf.DUMMYFUNCTION("""COMPUTED_VALUE"""),"G")</f>
        <v>G</v>
      </c>
      <c r="E1445" s="202" t="str">
        <f ca="1">IFERROR(__xludf.DUMMYFUNCTION("""COMPUTED_VALUE"""),"S")</f>
        <v>S</v>
      </c>
      <c r="F1445" s="202" t="str">
        <f ca="1">IFERROR(__xludf.DUMMYFUNCTION("""COMPUTED_VALUE"""),"S")</f>
        <v>S</v>
      </c>
      <c r="G1445" s="202">
        <f ca="1">IFERROR(__xludf.DUMMYFUNCTION("""COMPUTED_VALUE"""),1)</f>
        <v>1</v>
      </c>
      <c r="H1445" s="206"/>
      <c r="I1445" s="206"/>
      <c r="J1445" s="206"/>
      <c r="K1445" s="206"/>
      <c r="L1445" s="206" t="str">
        <v/>
      </c>
      <c r="M1445" s="206" t="str">
        <v/>
      </c>
    </row>
    <row r="1446" spans="1:13" ht="14.4">
      <c r="A1446" s="199" t="str">
        <f ca="1">IFERROR(__xludf.DUMMYFUNCTION("""COMPUTED_VALUE"""),"O")</f>
        <v>O</v>
      </c>
      <c r="B1446" s="207" t="str">
        <f ca="1">IFERROR(__xludf.DUMMYFUNCTION("""COMPUTED_VALUE"""),"Libby Moir")</f>
        <v>Libby Moir</v>
      </c>
      <c r="C1446" s="199">
        <f ca="1">IFERROR(__xludf.DUMMYFUNCTION("""COMPUTED_VALUE"""),15)</f>
        <v>15</v>
      </c>
      <c r="D1446" s="199" t="str">
        <f ca="1">IFERROR(__xludf.DUMMYFUNCTION("""COMPUTED_VALUE"""),"G")</f>
        <v>G</v>
      </c>
      <c r="E1446" s="202" t="str">
        <f ca="1">IFERROR(__xludf.DUMMYFUNCTION("""COMPUTED_VALUE"""),"S")</f>
        <v>S</v>
      </c>
      <c r="F1446" s="202" t="str">
        <f ca="1">IFERROR(__xludf.DUMMYFUNCTION("""COMPUTED_VALUE"""),"S")</f>
        <v>S</v>
      </c>
      <c r="G1446" s="202">
        <f ca="1">IFERROR(__xludf.DUMMYFUNCTION("""COMPUTED_VALUE"""),1)</f>
        <v>1</v>
      </c>
      <c r="H1446" s="206">
        <v>195.9</v>
      </c>
      <c r="I1446" s="206"/>
      <c r="J1446" s="206" t="s">
        <v>121</v>
      </c>
      <c r="K1446" s="206"/>
      <c r="L1446" s="206" t="str">
        <v xml:space="preserve"> 195.9</v>
      </c>
      <c r="M1446" s="206" t="str">
        <v/>
      </c>
    </row>
    <row r="1447" spans="1:13" ht="14.4">
      <c r="A1447" s="199" t="str">
        <f ca="1">IFERROR(__xludf.DUMMYFUNCTION("""COMPUTED_VALUE"""),"O")</f>
        <v>O</v>
      </c>
      <c r="B1447" s="207" t="str">
        <f ca="1">IFERROR(__xludf.DUMMYFUNCTION("""COMPUTED_VALUE"""),"Olivia Morgan")</f>
        <v>Olivia Morgan</v>
      </c>
      <c r="C1447" s="199">
        <f ca="1">IFERROR(__xludf.DUMMYFUNCTION("""COMPUTED_VALUE"""),16)</f>
        <v>16</v>
      </c>
      <c r="D1447" s="199" t="str">
        <f ca="1">IFERROR(__xludf.DUMMYFUNCTION("""COMPUTED_VALUE"""),"G")</f>
        <v>G</v>
      </c>
      <c r="E1447" s="202" t="str">
        <f ca="1">IFERROR(__xludf.DUMMYFUNCTION("""COMPUTED_VALUE"""),"S")</f>
        <v>S</v>
      </c>
      <c r="F1447" s="202" t="str">
        <f ca="1">IFERROR(__xludf.DUMMYFUNCTION("""COMPUTED_VALUE"""),"S")</f>
        <v>S</v>
      </c>
      <c r="G1447" s="202">
        <f ca="1">IFERROR(__xludf.DUMMYFUNCTION("""COMPUTED_VALUE"""),1)</f>
        <v>1</v>
      </c>
      <c r="H1447" s="208"/>
      <c r="I1447" s="208"/>
      <c r="J1447" s="208"/>
      <c r="K1447" s="208"/>
      <c r="L1447" s="208" t="str">
        <v/>
      </c>
      <c r="M1447" s="208" t="str">
        <v/>
      </c>
    </row>
    <row r="1448" spans="1:13" ht="14.4">
      <c r="A1448" s="199" t="str">
        <f ca="1">IFERROR(__xludf.DUMMYFUNCTION("""COMPUTED_VALUE"""),"OAK")</f>
        <v>OAK</v>
      </c>
      <c r="B1448" s="207" t="str">
        <f ca="1">IFERROR(__xludf.DUMMYFUNCTION("""COMPUTED_VALUE"""),"Alex Lee")</f>
        <v>Alex Lee</v>
      </c>
      <c r="C1448" s="199">
        <f ca="1">IFERROR(__xludf.DUMMYFUNCTION("""COMPUTED_VALUE"""),9)</f>
        <v>9</v>
      </c>
      <c r="D1448" s="199" t="str">
        <f ca="1">IFERROR(__xludf.DUMMYFUNCTION("""COMPUTED_VALUE"""),"B")</f>
        <v>B</v>
      </c>
      <c r="E1448" s="202" t="str">
        <f ca="1">IFERROR(__xludf.DUMMYFUNCTION("""COMPUTED_VALUE"""),"F")</f>
        <v>F</v>
      </c>
      <c r="F1448" s="202" t="str">
        <f ca="1">IFERROR(__xludf.DUMMYFUNCTION("""COMPUTED_VALUE"""),"J")</f>
        <v>J</v>
      </c>
      <c r="G1448" s="202">
        <f ca="1">IFERROR(__xludf.DUMMYFUNCTION("""COMPUTED_VALUE"""),2)</f>
        <v>2</v>
      </c>
      <c r="H1448" s="206"/>
      <c r="I1448" s="206">
        <v>49.25</v>
      </c>
      <c r="J1448" s="206"/>
      <c r="K1448" s="206" t="s">
        <v>121</v>
      </c>
      <c r="L1448" s="206" t="str">
        <v xml:space="preserve"> 49.25</v>
      </c>
      <c r="M1448" s="206" t="str">
        <v/>
      </c>
    </row>
    <row r="1449" spans="1:13" ht="14.4">
      <c r="A1449" s="199" t="str">
        <f ca="1">IFERROR(__xludf.DUMMYFUNCTION("""COMPUTED_VALUE"""),"OAK")</f>
        <v>OAK</v>
      </c>
      <c r="B1449" s="207" t="str">
        <f ca="1">IFERROR(__xludf.DUMMYFUNCTION("""COMPUTED_VALUE"""),"Brayden Lane")</f>
        <v>Brayden Lane</v>
      </c>
      <c r="C1449" s="199">
        <f ca="1">IFERROR(__xludf.DUMMYFUNCTION("""COMPUTED_VALUE"""),6)</f>
        <v>6</v>
      </c>
      <c r="D1449" s="199" t="str">
        <f ca="1">IFERROR(__xludf.DUMMYFUNCTION("""COMPUTED_VALUE"""),"B")</f>
        <v>B</v>
      </c>
      <c r="E1449" s="202" t="str">
        <f ca="1">IFERROR(__xludf.DUMMYFUNCTION("""COMPUTED_VALUE"""),"F")</f>
        <v>F</v>
      </c>
      <c r="F1449" s="202" t="str">
        <f ca="1">IFERROR(__xludf.DUMMYFUNCTION("""COMPUTED_VALUE"""),"J")</f>
        <v>J</v>
      </c>
      <c r="G1449" s="202">
        <f ca="1">IFERROR(__xludf.DUMMYFUNCTION("""COMPUTED_VALUE"""),2)</f>
        <v>2</v>
      </c>
      <c r="H1449" s="208"/>
      <c r="I1449" s="208"/>
      <c r="J1449" s="208"/>
      <c r="K1449" s="208"/>
      <c r="L1449" s="208" t="str">
        <v/>
      </c>
      <c r="M1449" s="208" t="str">
        <v/>
      </c>
    </row>
    <row r="1450" spans="1:13" ht="14.4">
      <c r="A1450" s="199" t="str">
        <f ca="1">IFERROR(__xludf.DUMMYFUNCTION("""COMPUTED_VALUE"""),"OAK")</f>
        <v>OAK</v>
      </c>
      <c r="B1450" s="207" t="str">
        <f ca="1">IFERROR(__xludf.DUMMYFUNCTION("""COMPUTED_VALUE"""),"Caleb McManus")</f>
        <v>Caleb McManus</v>
      </c>
      <c r="C1450" s="199">
        <f ca="1">IFERROR(__xludf.DUMMYFUNCTION("""COMPUTED_VALUE"""),10)</f>
        <v>10</v>
      </c>
      <c r="D1450" s="199" t="str">
        <f ca="1">IFERROR(__xludf.DUMMYFUNCTION("""COMPUTED_VALUE"""),"B")</f>
        <v>B</v>
      </c>
      <c r="E1450" s="202" t="str">
        <f ca="1">IFERROR(__xludf.DUMMYFUNCTION("""COMPUTED_VALUE"""),"F")</f>
        <v>F</v>
      </c>
      <c r="F1450" s="202" t="str">
        <f ca="1">IFERROR(__xludf.DUMMYFUNCTION("""COMPUTED_VALUE"""),"J")</f>
        <v>J</v>
      </c>
      <c r="G1450" s="202">
        <f ca="1">IFERROR(__xludf.DUMMYFUNCTION("""COMPUTED_VALUE"""),2)</f>
        <v>2</v>
      </c>
      <c r="H1450" s="208"/>
      <c r="I1450" s="208">
        <v>65.849999999999994</v>
      </c>
      <c r="J1450" s="208"/>
      <c r="K1450" s="208" t="s">
        <v>121</v>
      </c>
      <c r="L1450" s="208" t="str">
        <v xml:space="preserve"> 65.85</v>
      </c>
      <c r="M1450" s="208" t="str">
        <v/>
      </c>
    </row>
    <row r="1451" spans="1:13" ht="14.4">
      <c r="A1451" s="199" t="str">
        <f ca="1">IFERROR(__xludf.DUMMYFUNCTION("""COMPUTED_VALUE"""),"OAK")</f>
        <v>OAK</v>
      </c>
      <c r="B1451" s="207" t="str">
        <f ca="1">IFERROR(__xludf.DUMMYFUNCTION("""COMPUTED_VALUE"""),"Christopher Whang")</f>
        <v>Christopher Whang</v>
      </c>
      <c r="C1451" s="199">
        <f ca="1">IFERROR(__xludf.DUMMYFUNCTION("""COMPUTED_VALUE"""),10)</f>
        <v>10</v>
      </c>
      <c r="D1451" s="199" t="str">
        <f ca="1">IFERROR(__xludf.DUMMYFUNCTION("""COMPUTED_VALUE"""),"B")</f>
        <v>B</v>
      </c>
      <c r="E1451" s="202" t="str">
        <f ca="1">IFERROR(__xludf.DUMMYFUNCTION("""COMPUTED_VALUE"""),"F")</f>
        <v>F</v>
      </c>
      <c r="F1451" s="202" t="str">
        <f ca="1">IFERROR(__xludf.DUMMYFUNCTION("""COMPUTED_VALUE"""),"J")</f>
        <v>J</v>
      </c>
      <c r="G1451" s="202">
        <f ca="1">IFERROR(__xludf.DUMMYFUNCTION("""COMPUTED_VALUE"""),2)</f>
        <v>2</v>
      </c>
      <c r="H1451" s="206"/>
      <c r="I1451" s="206">
        <v>65.099999999999994</v>
      </c>
      <c r="J1451" s="206"/>
      <c r="K1451" s="206" t="s">
        <v>121</v>
      </c>
      <c r="L1451" s="206" t="str">
        <v xml:space="preserve"> 65.1</v>
      </c>
      <c r="M1451" s="206" t="str">
        <v/>
      </c>
    </row>
    <row r="1452" spans="1:13" ht="14.4">
      <c r="A1452" s="199" t="str">
        <f ca="1">IFERROR(__xludf.DUMMYFUNCTION("""COMPUTED_VALUE"""),"OAK")</f>
        <v>OAK</v>
      </c>
      <c r="B1452" s="207" t="str">
        <f ca="1">IFERROR(__xludf.DUMMYFUNCTION("""COMPUTED_VALUE"""),"Colby Reese")</f>
        <v>Colby Reese</v>
      </c>
      <c r="C1452" s="199">
        <f ca="1">IFERROR(__xludf.DUMMYFUNCTION("""COMPUTED_VALUE"""),10)</f>
        <v>10</v>
      </c>
      <c r="D1452" s="199" t="str">
        <f ca="1">IFERROR(__xludf.DUMMYFUNCTION("""COMPUTED_VALUE"""),"B")</f>
        <v>B</v>
      </c>
      <c r="E1452" s="202" t="str">
        <f ca="1">IFERROR(__xludf.DUMMYFUNCTION("""COMPUTED_VALUE"""),"F")</f>
        <v>F</v>
      </c>
      <c r="F1452" s="202" t="str">
        <f ca="1">IFERROR(__xludf.DUMMYFUNCTION("""COMPUTED_VALUE"""),"J")</f>
        <v>J</v>
      </c>
      <c r="G1452" s="202">
        <f ca="1">IFERROR(__xludf.DUMMYFUNCTION("""COMPUTED_VALUE"""),2)</f>
        <v>2</v>
      </c>
      <c r="H1452" s="208"/>
      <c r="I1452" s="208" t="s">
        <v>122</v>
      </c>
      <c r="J1452" s="208"/>
      <c r="K1452" s="208" t="s">
        <v>121</v>
      </c>
      <c r="L1452" s="208" t="str">
        <v xml:space="preserve"> DQ</v>
      </c>
      <c r="M1452" s="208" t="str">
        <v/>
      </c>
    </row>
    <row r="1453" spans="1:13" ht="14.4">
      <c r="A1453" s="199" t="str">
        <f ca="1">IFERROR(__xludf.DUMMYFUNCTION("""COMPUTED_VALUE"""),"OAK")</f>
        <v>OAK</v>
      </c>
      <c r="B1453" s="207" t="str">
        <f ca="1">IFERROR(__xludf.DUMMYFUNCTION("""COMPUTED_VALUE"""),"Connor Timm")</f>
        <v>Connor Timm</v>
      </c>
      <c r="C1453" s="199">
        <f ca="1">IFERROR(__xludf.DUMMYFUNCTION("""COMPUTED_VALUE"""),10)</f>
        <v>10</v>
      </c>
      <c r="D1453" s="199" t="str">
        <f ca="1">IFERROR(__xludf.DUMMYFUNCTION("""COMPUTED_VALUE"""),"B")</f>
        <v>B</v>
      </c>
      <c r="E1453" s="202" t="str">
        <f ca="1">IFERROR(__xludf.DUMMYFUNCTION("""COMPUTED_VALUE"""),"F")</f>
        <v>F</v>
      </c>
      <c r="F1453" s="202" t="str">
        <f ca="1">IFERROR(__xludf.DUMMYFUNCTION("""COMPUTED_VALUE"""),"J")</f>
        <v>J</v>
      </c>
      <c r="G1453" s="202">
        <f ca="1">IFERROR(__xludf.DUMMYFUNCTION("""COMPUTED_VALUE"""),2)</f>
        <v>2</v>
      </c>
      <c r="H1453" s="208"/>
      <c r="I1453" s="208">
        <v>42.95</v>
      </c>
      <c r="J1453" s="208"/>
      <c r="K1453" s="208" t="s">
        <v>121</v>
      </c>
      <c r="L1453" s="208" t="str">
        <v xml:space="preserve"> 42.95</v>
      </c>
      <c r="M1453" s="208" t="str">
        <v/>
      </c>
    </row>
    <row r="1454" spans="1:13" ht="14.4">
      <c r="A1454" s="199" t="str">
        <f ca="1">IFERROR(__xludf.DUMMYFUNCTION("""COMPUTED_VALUE"""),"OAK")</f>
        <v>OAK</v>
      </c>
      <c r="B1454" s="207" t="str">
        <f ca="1">IFERROR(__xludf.DUMMYFUNCTION("""COMPUTED_VALUE"""),"David Wright")</f>
        <v>David Wright</v>
      </c>
      <c r="C1454" s="199">
        <f ca="1">IFERROR(__xludf.DUMMYFUNCTION("""COMPUTED_VALUE"""),8)</f>
        <v>8</v>
      </c>
      <c r="D1454" s="199" t="str">
        <f ca="1">IFERROR(__xludf.DUMMYFUNCTION("""COMPUTED_VALUE"""),"B")</f>
        <v>B</v>
      </c>
      <c r="E1454" s="202" t="str">
        <f ca="1">IFERROR(__xludf.DUMMYFUNCTION("""COMPUTED_VALUE"""),"F")</f>
        <v>F</v>
      </c>
      <c r="F1454" s="202" t="str">
        <f ca="1">IFERROR(__xludf.DUMMYFUNCTION("""COMPUTED_VALUE"""),"J")</f>
        <v>J</v>
      </c>
      <c r="G1454" s="202">
        <f ca="1">IFERROR(__xludf.DUMMYFUNCTION("""COMPUTED_VALUE"""),2)</f>
        <v>2</v>
      </c>
      <c r="H1454" s="206"/>
      <c r="I1454" s="206"/>
      <c r="J1454" s="206"/>
      <c r="K1454" s="206"/>
      <c r="L1454" s="206" t="str">
        <v/>
      </c>
      <c r="M1454" s="206" t="str">
        <v/>
      </c>
    </row>
    <row r="1455" spans="1:13" ht="14.4">
      <c r="A1455" s="199" t="str">
        <f ca="1">IFERROR(__xludf.DUMMYFUNCTION("""COMPUTED_VALUE"""),"OAK")</f>
        <v>OAK</v>
      </c>
      <c r="B1455" s="207" t="str">
        <f ca="1">IFERROR(__xludf.DUMMYFUNCTION("""COMPUTED_VALUE"""),"Gabriel Wilson")</f>
        <v>Gabriel Wilson</v>
      </c>
      <c r="C1455" s="199">
        <f ca="1">IFERROR(__xludf.DUMMYFUNCTION("""COMPUTED_VALUE"""),7)</f>
        <v>7</v>
      </c>
      <c r="D1455" s="199" t="str">
        <f ca="1">IFERROR(__xludf.DUMMYFUNCTION("""COMPUTED_VALUE"""),"B")</f>
        <v>B</v>
      </c>
      <c r="E1455" s="202" t="str">
        <f ca="1">IFERROR(__xludf.DUMMYFUNCTION("""COMPUTED_VALUE"""),"F")</f>
        <v>F</v>
      </c>
      <c r="F1455" s="202" t="str">
        <f ca="1">IFERROR(__xludf.DUMMYFUNCTION("""COMPUTED_VALUE"""),"J")</f>
        <v>J</v>
      </c>
      <c r="G1455" s="202">
        <f ca="1">IFERROR(__xludf.DUMMYFUNCTION("""COMPUTED_VALUE"""),2)</f>
        <v>2</v>
      </c>
      <c r="H1455" s="208"/>
      <c r="I1455" s="208"/>
      <c r="J1455" s="208"/>
      <c r="K1455" s="208"/>
      <c r="L1455" s="208" t="str">
        <v/>
      </c>
      <c r="M1455" s="208" t="str">
        <v/>
      </c>
    </row>
    <row r="1456" spans="1:13" ht="14.4">
      <c r="A1456" s="199" t="str">
        <f ca="1">IFERROR(__xludf.DUMMYFUNCTION("""COMPUTED_VALUE"""),"OAK")</f>
        <v>OAK</v>
      </c>
      <c r="B1456" s="207" t="str">
        <f ca="1">IFERROR(__xludf.DUMMYFUNCTION("""COMPUTED_VALUE"""),"James Roberts")</f>
        <v>James Roberts</v>
      </c>
      <c r="C1456" s="199">
        <f ca="1">IFERROR(__xludf.DUMMYFUNCTION("""COMPUTED_VALUE"""),9)</f>
        <v>9</v>
      </c>
      <c r="D1456" s="199" t="str">
        <f ca="1">IFERROR(__xludf.DUMMYFUNCTION("""COMPUTED_VALUE"""),"B")</f>
        <v>B</v>
      </c>
      <c r="E1456" s="202" t="str">
        <f ca="1">IFERROR(__xludf.DUMMYFUNCTION("""COMPUTED_VALUE"""),"F")</f>
        <v>F</v>
      </c>
      <c r="F1456" s="202" t="str">
        <f ca="1">IFERROR(__xludf.DUMMYFUNCTION("""COMPUTED_VALUE"""),"J")</f>
        <v>J</v>
      </c>
      <c r="G1456" s="202">
        <f ca="1">IFERROR(__xludf.DUMMYFUNCTION("""COMPUTED_VALUE"""),2)</f>
        <v>2</v>
      </c>
      <c r="H1456" s="208"/>
      <c r="I1456" s="208">
        <v>72.400000000000006</v>
      </c>
      <c r="J1456" s="208"/>
      <c r="K1456" s="208" t="s">
        <v>121</v>
      </c>
      <c r="L1456" s="208" t="str">
        <v xml:space="preserve"> 72.4</v>
      </c>
      <c r="M1456" s="208" t="str">
        <v/>
      </c>
    </row>
    <row r="1457" spans="1:13" ht="14.4">
      <c r="A1457" s="199" t="str">
        <f ca="1">IFERROR(__xludf.DUMMYFUNCTION("""COMPUTED_VALUE"""),"OAK")</f>
        <v>OAK</v>
      </c>
      <c r="B1457" s="207" t="str">
        <f ca="1">IFERROR(__xludf.DUMMYFUNCTION("""COMPUTED_VALUE"""),"Malcolm McLenahan")</f>
        <v>Malcolm McLenahan</v>
      </c>
      <c r="C1457" s="199">
        <f ca="1">IFERROR(__xludf.DUMMYFUNCTION("""COMPUTED_VALUE"""),10)</f>
        <v>10</v>
      </c>
      <c r="D1457" s="199" t="str">
        <f ca="1">IFERROR(__xludf.DUMMYFUNCTION("""COMPUTED_VALUE"""),"B")</f>
        <v>B</v>
      </c>
      <c r="E1457" s="202" t="str">
        <f ca="1">IFERROR(__xludf.DUMMYFUNCTION("""COMPUTED_VALUE"""),"F")</f>
        <v>F</v>
      </c>
      <c r="F1457" s="202" t="str">
        <f ca="1">IFERROR(__xludf.DUMMYFUNCTION("""COMPUTED_VALUE"""),"J")</f>
        <v>J</v>
      </c>
      <c r="G1457" s="202">
        <f ca="1">IFERROR(__xludf.DUMMYFUNCTION("""COMPUTED_VALUE"""),2)</f>
        <v>2</v>
      </c>
      <c r="H1457" s="208"/>
      <c r="I1457" s="208">
        <v>54.95</v>
      </c>
      <c r="J1457" s="208"/>
      <c r="K1457" s="208" t="s">
        <v>121</v>
      </c>
      <c r="L1457" s="208" t="str">
        <v xml:space="preserve"> 54.95</v>
      </c>
      <c r="M1457" s="208" t="str">
        <v/>
      </c>
    </row>
    <row r="1458" spans="1:13" ht="14.4">
      <c r="A1458" s="199" t="str">
        <f ca="1">IFERROR(__xludf.DUMMYFUNCTION("""COMPUTED_VALUE"""),"OAK")</f>
        <v>OAK</v>
      </c>
      <c r="B1458" s="207" t="str">
        <f ca="1">IFERROR(__xludf.DUMMYFUNCTION("""COMPUTED_VALUE"""),"Tyler Kroopnick")</f>
        <v>Tyler Kroopnick</v>
      </c>
      <c r="C1458" s="199">
        <f ca="1">IFERROR(__xludf.DUMMYFUNCTION("""COMPUTED_VALUE"""),7)</f>
        <v>7</v>
      </c>
      <c r="D1458" s="199" t="str">
        <f ca="1">IFERROR(__xludf.DUMMYFUNCTION("""COMPUTED_VALUE"""),"B")</f>
        <v>B</v>
      </c>
      <c r="E1458" s="202" t="str">
        <f ca="1">IFERROR(__xludf.DUMMYFUNCTION("""COMPUTED_VALUE"""),"F")</f>
        <v>F</v>
      </c>
      <c r="F1458" s="202" t="str">
        <f ca="1">IFERROR(__xludf.DUMMYFUNCTION("""COMPUTED_VALUE"""),"J")</f>
        <v>J</v>
      </c>
      <c r="G1458" s="202">
        <f ca="1">IFERROR(__xludf.DUMMYFUNCTION("""COMPUTED_VALUE"""),2)</f>
        <v>2</v>
      </c>
      <c r="H1458" s="208"/>
      <c r="I1458" s="208"/>
      <c r="J1458" s="208"/>
      <c r="K1458" s="208"/>
      <c r="L1458" s="208" t="str">
        <v/>
      </c>
      <c r="M1458" s="208" t="str">
        <v/>
      </c>
    </row>
    <row r="1459" spans="1:13" ht="14.4">
      <c r="A1459" s="199" t="str">
        <f ca="1">IFERROR(__xludf.DUMMYFUNCTION("""COMPUTED_VALUE"""),"OAK")</f>
        <v>OAK</v>
      </c>
      <c r="B1459" s="207" t="str">
        <f ca="1">IFERROR(__xludf.DUMMYFUNCTION("""COMPUTED_VALUE"""),"Avery Lane")</f>
        <v>Avery Lane</v>
      </c>
      <c r="C1459" s="199">
        <f ca="1">IFERROR(__xludf.DUMMYFUNCTION("""COMPUTED_VALUE"""),9)</f>
        <v>9</v>
      </c>
      <c r="D1459" s="199" t="str">
        <f ca="1">IFERROR(__xludf.DUMMYFUNCTION("""COMPUTED_VALUE"""),"G")</f>
        <v>G</v>
      </c>
      <c r="E1459" s="202" t="str">
        <f ca="1">IFERROR(__xludf.DUMMYFUNCTION("""COMPUTED_VALUE"""),"F")</f>
        <v>F</v>
      </c>
      <c r="F1459" s="202" t="str">
        <f ca="1">IFERROR(__xludf.DUMMYFUNCTION("""COMPUTED_VALUE"""),"J")</f>
        <v>J</v>
      </c>
      <c r="G1459" s="202">
        <f ca="1">IFERROR(__xludf.DUMMYFUNCTION("""COMPUTED_VALUE"""),2)</f>
        <v>2</v>
      </c>
      <c r="H1459" s="208"/>
      <c r="I1459" s="208"/>
      <c r="J1459" s="208"/>
      <c r="K1459" s="208"/>
      <c r="L1459" s="208" t="str">
        <v/>
      </c>
      <c r="M1459" s="208" t="str">
        <v/>
      </c>
    </row>
    <row r="1460" spans="1:13" ht="14.4">
      <c r="A1460" s="199" t="str">
        <f ca="1">IFERROR(__xludf.DUMMYFUNCTION("""COMPUTED_VALUE"""),"OAK")</f>
        <v>OAK</v>
      </c>
      <c r="B1460" s="207" t="str">
        <f ca="1">IFERROR(__xludf.DUMMYFUNCTION("""COMPUTED_VALUE"""),"Chelsea McLenahan")</f>
        <v>Chelsea McLenahan</v>
      </c>
      <c r="C1460" s="199">
        <f ca="1">IFERROR(__xludf.DUMMYFUNCTION("""COMPUTED_VALUE"""),8)</f>
        <v>8</v>
      </c>
      <c r="D1460" s="199" t="str">
        <f ca="1">IFERROR(__xludf.DUMMYFUNCTION("""COMPUTED_VALUE"""),"G")</f>
        <v>G</v>
      </c>
      <c r="E1460" s="202" t="str">
        <f ca="1">IFERROR(__xludf.DUMMYFUNCTION("""COMPUTED_VALUE"""),"F")</f>
        <v>F</v>
      </c>
      <c r="F1460" s="202" t="str">
        <f ca="1">IFERROR(__xludf.DUMMYFUNCTION("""COMPUTED_VALUE"""),"J")</f>
        <v>J</v>
      </c>
      <c r="G1460" s="202">
        <f ca="1">IFERROR(__xludf.DUMMYFUNCTION("""COMPUTED_VALUE"""),2)</f>
        <v>2</v>
      </c>
      <c r="H1460" s="208">
        <v>59.2</v>
      </c>
      <c r="I1460" s="208"/>
      <c r="J1460" s="208" t="s">
        <v>121</v>
      </c>
      <c r="K1460" s="208"/>
      <c r="L1460" s="208" t="str">
        <v xml:space="preserve"> 59.2</v>
      </c>
      <c r="M1460" s="208" t="str">
        <v/>
      </c>
    </row>
    <row r="1461" spans="1:13" ht="14.4">
      <c r="A1461" s="199" t="str">
        <f ca="1">IFERROR(__xludf.DUMMYFUNCTION("""COMPUTED_VALUE"""),"OAK")</f>
        <v>OAK</v>
      </c>
      <c r="B1461" s="207" t="str">
        <f ca="1">IFERROR(__xludf.DUMMYFUNCTION("""COMPUTED_VALUE"""),"Harper Lubic")</f>
        <v>Harper Lubic</v>
      </c>
      <c r="C1461" s="199">
        <f ca="1">IFERROR(__xludf.DUMMYFUNCTION("""COMPUTED_VALUE"""),9)</f>
        <v>9</v>
      </c>
      <c r="D1461" s="199" t="str">
        <f ca="1">IFERROR(__xludf.DUMMYFUNCTION("""COMPUTED_VALUE"""),"G")</f>
        <v>G</v>
      </c>
      <c r="E1461" s="202" t="str">
        <f ca="1">IFERROR(__xludf.DUMMYFUNCTION("""COMPUTED_VALUE"""),"F")</f>
        <v>F</v>
      </c>
      <c r="F1461" s="202" t="str">
        <f ca="1">IFERROR(__xludf.DUMMYFUNCTION("""COMPUTED_VALUE"""),"J")</f>
        <v>J</v>
      </c>
      <c r="G1461" s="202">
        <f ca="1">IFERROR(__xludf.DUMMYFUNCTION("""COMPUTED_VALUE"""),2)</f>
        <v>2</v>
      </c>
      <c r="H1461" s="206"/>
      <c r="I1461" s="206"/>
      <c r="J1461" s="206"/>
      <c r="K1461" s="206"/>
      <c r="L1461" s="206" t="str">
        <v/>
      </c>
      <c r="M1461" s="206" t="str">
        <v/>
      </c>
    </row>
    <row r="1462" spans="1:13" ht="14.4">
      <c r="A1462" s="199" t="str">
        <f ca="1">IFERROR(__xludf.DUMMYFUNCTION("""COMPUTED_VALUE"""),"OAK")</f>
        <v>OAK</v>
      </c>
      <c r="B1462" s="207" t="str">
        <f ca="1">IFERROR(__xludf.DUMMYFUNCTION("""COMPUTED_VALUE"""),"Lauren Emerick")</f>
        <v>Lauren Emerick</v>
      </c>
      <c r="C1462" s="199">
        <f ca="1">IFERROR(__xludf.DUMMYFUNCTION("""COMPUTED_VALUE"""),9)</f>
        <v>9</v>
      </c>
      <c r="D1462" s="199" t="str">
        <f ca="1">IFERROR(__xludf.DUMMYFUNCTION("""COMPUTED_VALUE"""),"G")</f>
        <v>G</v>
      </c>
      <c r="E1462" s="202" t="str">
        <f ca="1">IFERROR(__xludf.DUMMYFUNCTION("""COMPUTED_VALUE"""),"F")</f>
        <v>F</v>
      </c>
      <c r="F1462" s="202" t="str">
        <f ca="1">IFERROR(__xludf.DUMMYFUNCTION("""COMPUTED_VALUE"""),"J")</f>
        <v>J</v>
      </c>
      <c r="G1462" s="202">
        <f ca="1">IFERROR(__xludf.DUMMYFUNCTION("""COMPUTED_VALUE"""),2)</f>
        <v>2</v>
      </c>
      <c r="H1462" s="208"/>
      <c r="I1462" s="208"/>
      <c r="J1462" s="208"/>
      <c r="K1462" s="208"/>
      <c r="L1462" s="208" t="str">
        <v/>
      </c>
      <c r="M1462" s="208" t="str">
        <v/>
      </c>
    </row>
    <row r="1463" spans="1:13" ht="14.4">
      <c r="A1463" s="199" t="str">
        <f ca="1">IFERROR(__xludf.DUMMYFUNCTION("""COMPUTED_VALUE"""),"OAK")</f>
        <v>OAK</v>
      </c>
      <c r="B1463" s="207" t="str">
        <f ca="1">IFERROR(__xludf.DUMMYFUNCTION("""COMPUTED_VALUE"""),"Mackenzie Martin")</f>
        <v>Mackenzie Martin</v>
      </c>
      <c r="C1463" s="199">
        <f ca="1">IFERROR(__xludf.DUMMYFUNCTION("""COMPUTED_VALUE"""),9)</f>
        <v>9</v>
      </c>
      <c r="D1463" s="199" t="str">
        <f ca="1">IFERROR(__xludf.DUMMYFUNCTION("""COMPUTED_VALUE"""),"G")</f>
        <v>G</v>
      </c>
      <c r="E1463" s="202" t="str">
        <f ca="1">IFERROR(__xludf.DUMMYFUNCTION("""COMPUTED_VALUE"""),"F")</f>
        <v>F</v>
      </c>
      <c r="F1463" s="202" t="str">
        <f ca="1">IFERROR(__xludf.DUMMYFUNCTION("""COMPUTED_VALUE"""),"J")</f>
        <v>J</v>
      </c>
      <c r="G1463" s="202">
        <f ca="1">IFERROR(__xludf.DUMMYFUNCTION("""COMPUTED_VALUE"""),2)</f>
        <v>2</v>
      </c>
      <c r="H1463" s="208">
        <v>45.9</v>
      </c>
      <c r="I1463" s="208"/>
      <c r="J1463" s="208" t="s">
        <v>121</v>
      </c>
      <c r="K1463" s="208"/>
      <c r="L1463" s="208" t="str">
        <v xml:space="preserve"> 45.9</v>
      </c>
      <c r="M1463" s="208" t="str">
        <v/>
      </c>
    </row>
    <row r="1464" spans="1:13" ht="14.4">
      <c r="A1464" s="199" t="str">
        <f ca="1">IFERROR(__xludf.DUMMYFUNCTION("""COMPUTED_VALUE"""),"OAK")</f>
        <v>OAK</v>
      </c>
      <c r="B1464" s="207" t="str">
        <f ca="1">IFERROR(__xludf.DUMMYFUNCTION("""COMPUTED_VALUE"""),"Simone Wilson")</f>
        <v>Simone Wilson</v>
      </c>
      <c r="C1464" s="199">
        <f ca="1">IFERROR(__xludf.DUMMYFUNCTION("""COMPUTED_VALUE"""),9)</f>
        <v>9</v>
      </c>
      <c r="D1464" s="199" t="str">
        <f ca="1">IFERROR(__xludf.DUMMYFUNCTION("""COMPUTED_VALUE"""),"G")</f>
        <v>G</v>
      </c>
      <c r="E1464" s="202" t="str">
        <f ca="1">IFERROR(__xludf.DUMMYFUNCTION("""COMPUTED_VALUE"""),"F")</f>
        <v>F</v>
      </c>
      <c r="F1464" s="202" t="str">
        <f ca="1">IFERROR(__xludf.DUMMYFUNCTION("""COMPUTED_VALUE"""),"J")</f>
        <v>J</v>
      </c>
      <c r="G1464" s="202">
        <f ca="1">IFERROR(__xludf.DUMMYFUNCTION("""COMPUTED_VALUE"""),2)</f>
        <v>2</v>
      </c>
      <c r="H1464" s="206">
        <v>56.35</v>
      </c>
      <c r="I1464" s="206"/>
      <c r="J1464" s="206" t="s">
        <v>121</v>
      </c>
      <c r="K1464" s="206"/>
      <c r="L1464" s="206" t="str">
        <v xml:space="preserve"> 56.35</v>
      </c>
      <c r="M1464" s="206" t="str">
        <v/>
      </c>
    </row>
    <row r="1465" spans="1:13" ht="14.4">
      <c r="A1465" s="199" t="str">
        <f ca="1">IFERROR(__xludf.DUMMYFUNCTION("""COMPUTED_VALUE"""),"OAK")</f>
        <v>OAK</v>
      </c>
      <c r="B1465" s="207" t="str">
        <f ca="1">IFERROR(__xludf.DUMMYFUNCTION("""COMPUTED_VALUE"""),"Brendan Doe")</f>
        <v>Brendan Doe</v>
      </c>
      <c r="C1465" s="199">
        <f ca="1">IFERROR(__xludf.DUMMYFUNCTION("""COMPUTED_VALUE"""),14)</f>
        <v>14</v>
      </c>
      <c r="D1465" s="199" t="str">
        <f ca="1">IFERROR(__xludf.DUMMYFUNCTION("""COMPUTED_VALUE"""),"B")</f>
        <v>B</v>
      </c>
      <c r="E1465" s="202" t="str">
        <f ca="1">IFERROR(__xludf.DUMMYFUNCTION("""COMPUTED_VALUE"""),"I")</f>
        <v>I</v>
      </c>
      <c r="F1465" s="202" t="str">
        <f ca="1">IFERROR(__xludf.DUMMYFUNCTION("""COMPUTED_VALUE"""),"S")</f>
        <v>S</v>
      </c>
      <c r="G1465" s="202">
        <f ca="1">IFERROR(__xludf.DUMMYFUNCTION("""COMPUTED_VALUE"""),2)</f>
        <v>2</v>
      </c>
      <c r="H1465" s="206"/>
      <c r="I1465" s="206">
        <v>170.9</v>
      </c>
      <c r="J1465" s="206"/>
      <c r="K1465" s="206" t="s">
        <v>121</v>
      </c>
      <c r="L1465" s="206" t="str">
        <v xml:space="preserve"> 170.9</v>
      </c>
      <c r="M1465" s="206" t="str">
        <v/>
      </c>
    </row>
    <row r="1466" spans="1:13" ht="14.4">
      <c r="A1466" s="199" t="str">
        <f ca="1">IFERROR(__xludf.DUMMYFUNCTION("""COMPUTED_VALUE"""),"OAK")</f>
        <v>OAK</v>
      </c>
      <c r="B1466" s="207" t="str">
        <f ca="1">IFERROR(__xludf.DUMMYFUNCTION("""COMPUTED_VALUE"""),"Danny Shipley")</f>
        <v>Danny Shipley</v>
      </c>
      <c r="C1466" s="199">
        <f ca="1">IFERROR(__xludf.DUMMYFUNCTION("""COMPUTED_VALUE"""),13)</f>
        <v>13</v>
      </c>
      <c r="D1466" s="199" t="str">
        <f ca="1">IFERROR(__xludf.DUMMYFUNCTION("""COMPUTED_VALUE"""),"B")</f>
        <v>B</v>
      </c>
      <c r="E1466" s="202" t="str">
        <f ca="1">IFERROR(__xludf.DUMMYFUNCTION("""COMPUTED_VALUE"""),"I")</f>
        <v>I</v>
      </c>
      <c r="F1466" s="202" t="str">
        <f ca="1">IFERROR(__xludf.DUMMYFUNCTION("""COMPUTED_VALUE"""),"S")</f>
        <v>S</v>
      </c>
      <c r="G1466" s="202">
        <f ca="1">IFERROR(__xludf.DUMMYFUNCTION("""COMPUTED_VALUE"""),2)</f>
        <v>2</v>
      </c>
      <c r="H1466" s="208"/>
      <c r="I1466" s="208"/>
      <c r="J1466" s="208"/>
      <c r="K1466" s="208"/>
      <c r="L1466" s="208" t="str">
        <v/>
      </c>
      <c r="M1466" s="208" t="str">
        <v/>
      </c>
    </row>
    <row r="1467" spans="1:13" ht="14.4">
      <c r="A1467" s="199" t="str">
        <f ca="1">IFERROR(__xludf.DUMMYFUNCTION("""COMPUTED_VALUE"""),"OAK")</f>
        <v>OAK</v>
      </c>
      <c r="B1467" s="207" t="str">
        <f ca="1">IFERROR(__xludf.DUMMYFUNCTION("""COMPUTED_VALUE"""),"Dylan Reese")</f>
        <v>Dylan Reese</v>
      </c>
      <c r="C1467" s="199">
        <f ca="1">IFERROR(__xludf.DUMMYFUNCTION("""COMPUTED_VALUE"""),14)</f>
        <v>14</v>
      </c>
      <c r="D1467" s="199" t="str">
        <f ca="1">IFERROR(__xludf.DUMMYFUNCTION("""COMPUTED_VALUE"""),"B")</f>
        <v>B</v>
      </c>
      <c r="E1467" s="202" t="str">
        <f ca="1">IFERROR(__xludf.DUMMYFUNCTION("""COMPUTED_VALUE"""),"I")</f>
        <v>I</v>
      </c>
      <c r="F1467" s="202" t="str">
        <f ca="1">IFERROR(__xludf.DUMMYFUNCTION("""COMPUTED_VALUE"""),"S")</f>
        <v>S</v>
      </c>
      <c r="G1467" s="202">
        <f ca="1">IFERROR(__xludf.DUMMYFUNCTION("""COMPUTED_VALUE"""),2)</f>
        <v>2</v>
      </c>
      <c r="H1467" s="208"/>
      <c r="I1467" s="208">
        <v>100.9</v>
      </c>
      <c r="J1467" s="208"/>
      <c r="K1467" s="208" t="s">
        <v>121</v>
      </c>
      <c r="L1467" s="208" t="str">
        <v xml:space="preserve"> 100.9</v>
      </c>
      <c r="M1467" s="208" t="str">
        <v/>
      </c>
    </row>
    <row r="1468" spans="1:13" ht="14.4">
      <c r="A1468" s="199" t="str">
        <f ca="1">IFERROR(__xludf.DUMMYFUNCTION("""COMPUTED_VALUE"""),"OAK")</f>
        <v>OAK</v>
      </c>
      <c r="B1468" s="207" t="str">
        <f ca="1">IFERROR(__xludf.DUMMYFUNCTION("""COMPUTED_VALUE"""),"Jack Hansen")</f>
        <v>Jack Hansen</v>
      </c>
      <c r="C1468" s="199">
        <f ca="1">IFERROR(__xludf.DUMMYFUNCTION("""COMPUTED_VALUE"""),13)</f>
        <v>13</v>
      </c>
      <c r="D1468" s="199" t="str">
        <f ca="1">IFERROR(__xludf.DUMMYFUNCTION("""COMPUTED_VALUE"""),"B")</f>
        <v>B</v>
      </c>
      <c r="E1468" s="202" t="str">
        <f ca="1">IFERROR(__xludf.DUMMYFUNCTION("""COMPUTED_VALUE"""),"I")</f>
        <v>I</v>
      </c>
      <c r="F1468" s="202" t="str">
        <f ca="1">IFERROR(__xludf.DUMMYFUNCTION("""COMPUTED_VALUE"""),"S")</f>
        <v>S</v>
      </c>
      <c r="G1468" s="202">
        <f ca="1">IFERROR(__xludf.DUMMYFUNCTION("""COMPUTED_VALUE"""),2)</f>
        <v>2</v>
      </c>
      <c r="H1468" s="208"/>
      <c r="I1468" s="208">
        <v>117</v>
      </c>
      <c r="J1468" s="208"/>
      <c r="K1468" s="208" t="s">
        <v>121</v>
      </c>
      <c r="L1468" s="208" t="str">
        <v xml:space="preserve"> 117</v>
      </c>
      <c r="M1468" s="208" t="str">
        <v/>
      </c>
    </row>
    <row r="1469" spans="1:13" ht="14.4">
      <c r="A1469" s="199" t="str">
        <f ca="1">IFERROR(__xludf.DUMMYFUNCTION("""COMPUTED_VALUE"""),"OAK")</f>
        <v>OAK</v>
      </c>
      <c r="B1469" s="207" t="str">
        <f ca="1">IFERROR(__xludf.DUMMYFUNCTION("""COMPUTED_VALUE"""),"Jon Anthony Montel")</f>
        <v>Jon Anthony Montel</v>
      </c>
      <c r="C1469" s="199">
        <f ca="1">IFERROR(__xludf.DUMMYFUNCTION("""COMPUTED_VALUE"""),13)</f>
        <v>13</v>
      </c>
      <c r="D1469" s="199" t="str">
        <f ca="1">IFERROR(__xludf.DUMMYFUNCTION("""COMPUTED_VALUE"""),"B")</f>
        <v>B</v>
      </c>
      <c r="E1469" s="202" t="str">
        <f ca="1">IFERROR(__xludf.DUMMYFUNCTION("""COMPUTED_VALUE"""),"I")</f>
        <v>I</v>
      </c>
      <c r="F1469" s="202" t="str">
        <f ca="1">IFERROR(__xludf.DUMMYFUNCTION("""COMPUTED_VALUE"""),"S")</f>
        <v>S</v>
      </c>
      <c r="G1469" s="202">
        <f ca="1">IFERROR(__xludf.DUMMYFUNCTION("""COMPUTED_VALUE"""),2)</f>
        <v>2</v>
      </c>
      <c r="H1469" s="208"/>
      <c r="I1469" s="208">
        <v>114</v>
      </c>
      <c r="J1469" s="208"/>
      <c r="K1469" s="208" t="s">
        <v>121</v>
      </c>
      <c r="L1469" s="208" t="str">
        <v xml:space="preserve"> 114</v>
      </c>
      <c r="M1469" s="208" t="str">
        <v/>
      </c>
    </row>
    <row r="1470" spans="1:13" ht="14.4">
      <c r="A1470" s="199" t="str">
        <f ca="1">IFERROR(__xludf.DUMMYFUNCTION("""COMPUTED_VALUE"""),"OAK")</f>
        <v>OAK</v>
      </c>
      <c r="B1470" s="207" t="str">
        <f ca="1">IFERROR(__xludf.DUMMYFUNCTION("""COMPUTED_VALUE"""),"Ryan Shipley")</f>
        <v>Ryan Shipley</v>
      </c>
      <c r="C1470" s="199">
        <f ca="1">IFERROR(__xludf.DUMMYFUNCTION("""COMPUTED_VALUE"""),13)</f>
        <v>13</v>
      </c>
      <c r="D1470" s="199" t="str">
        <f ca="1">IFERROR(__xludf.DUMMYFUNCTION("""COMPUTED_VALUE"""),"B")</f>
        <v>B</v>
      </c>
      <c r="E1470" s="202" t="str">
        <f ca="1">IFERROR(__xludf.DUMMYFUNCTION("""COMPUTED_VALUE"""),"I")</f>
        <v>I</v>
      </c>
      <c r="F1470" s="202" t="str">
        <f ca="1">IFERROR(__xludf.DUMMYFUNCTION("""COMPUTED_VALUE"""),"S")</f>
        <v>S</v>
      </c>
      <c r="G1470" s="202">
        <f ca="1">IFERROR(__xludf.DUMMYFUNCTION("""COMPUTED_VALUE"""),2)</f>
        <v>2</v>
      </c>
      <c r="H1470" s="206"/>
      <c r="I1470" s="206">
        <v>79.7</v>
      </c>
      <c r="J1470" s="206"/>
      <c r="K1470" s="206" t="s">
        <v>121</v>
      </c>
      <c r="L1470" s="206" t="str">
        <v xml:space="preserve"> 79.7</v>
      </c>
      <c r="M1470" s="206" t="str">
        <v/>
      </c>
    </row>
    <row r="1471" spans="1:13" ht="14.4">
      <c r="A1471" s="199" t="str">
        <f ca="1">IFERROR(__xludf.DUMMYFUNCTION("""COMPUTED_VALUE"""),"OAK")</f>
        <v>OAK</v>
      </c>
      <c r="B1471" s="207" t="str">
        <f ca="1">IFERROR(__xludf.DUMMYFUNCTION("""COMPUTED_VALUE"""),"Zac Lee")</f>
        <v>Zac Lee</v>
      </c>
      <c r="C1471" s="199">
        <f ca="1">IFERROR(__xludf.DUMMYFUNCTION("""COMPUTED_VALUE"""),13)</f>
        <v>13</v>
      </c>
      <c r="D1471" s="199" t="str">
        <f ca="1">IFERROR(__xludf.DUMMYFUNCTION("""COMPUTED_VALUE"""),"B")</f>
        <v>B</v>
      </c>
      <c r="E1471" s="202" t="str">
        <f ca="1">IFERROR(__xludf.DUMMYFUNCTION("""COMPUTED_VALUE"""),"I")</f>
        <v>I</v>
      </c>
      <c r="F1471" s="202" t="str">
        <f ca="1">IFERROR(__xludf.DUMMYFUNCTION("""COMPUTED_VALUE"""),"S")</f>
        <v>S</v>
      </c>
      <c r="G1471" s="202">
        <f ca="1">IFERROR(__xludf.DUMMYFUNCTION("""COMPUTED_VALUE"""),2)</f>
        <v>2</v>
      </c>
      <c r="H1471" s="208"/>
      <c r="I1471" s="208">
        <v>91.55</v>
      </c>
      <c r="J1471" s="208"/>
      <c r="K1471" s="208" t="s">
        <v>121</v>
      </c>
      <c r="L1471" s="208" t="str">
        <v xml:space="preserve"> 91.55</v>
      </c>
      <c r="M1471" s="208" t="str">
        <v/>
      </c>
    </row>
    <row r="1472" spans="1:13" ht="14.4">
      <c r="A1472" s="199" t="str">
        <f ca="1">IFERROR(__xludf.DUMMYFUNCTION("""COMPUTED_VALUE"""),"OAK")</f>
        <v>OAK</v>
      </c>
      <c r="B1472" s="207" t="str">
        <f ca="1">IFERROR(__xludf.DUMMYFUNCTION("""COMPUTED_VALUE"""),"Megan Shipley")</f>
        <v>Megan Shipley</v>
      </c>
      <c r="C1472" s="199">
        <f ca="1">IFERROR(__xludf.DUMMYFUNCTION("""COMPUTED_VALUE"""),13)</f>
        <v>13</v>
      </c>
      <c r="D1472" s="199" t="str">
        <f ca="1">IFERROR(__xludf.DUMMYFUNCTION("""COMPUTED_VALUE"""),"G")</f>
        <v>G</v>
      </c>
      <c r="E1472" s="202" t="str">
        <f ca="1">IFERROR(__xludf.DUMMYFUNCTION("""COMPUTED_VALUE"""),"I")</f>
        <v>I</v>
      </c>
      <c r="F1472" s="202" t="str">
        <f ca="1">IFERROR(__xludf.DUMMYFUNCTION("""COMPUTED_VALUE"""),"S")</f>
        <v>S</v>
      </c>
      <c r="G1472" s="202">
        <f ca="1">IFERROR(__xludf.DUMMYFUNCTION("""COMPUTED_VALUE"""),2)</f>
        <v>2</v>
      </c>
      <c r="H1472" s="206">
        <v>112.8</v>
      </c>
      <c r="I1472" s="206"/>
      <c r="J1472" s="206" t="s">
        <v>121</v>
      </c>
      <c r="K1472" s="206"/>
      <c r="L1472" s="206" t="str">
        <v xml:space="preserve"> 112.8</v>
      </c>
      <c r="M1472" s="206" t="str">
        <v/>
      </c>
    </row>
    <row r="1473" spans="1:13" ht="14.4">
      <c r="A1473" s="199" t="str">
        <f ca="1">IFERROR(__xludf.DUMMYFUNCTION("""COMPUTED_VALUE"""),"OAK")</f>
        <v>OAK</v>
      </c>
      <c r="B1473" s="207" t="str">
        <f ca="1">IFERROR(__xludf.DUMMYFUNCTION("""COMPUTED_VALUE"""),"Samantha Shuster")</f>
        <v>Samantha Shuster</v>
      </c>
      <c r="C1473" s="199">
        <f ca="1">IFERROR(__xludf.DUMMYFUNCTION("""COMPUTED_VALUE"""),13)</f>
        <v>13</v>
      </c>
      <c r="D1473" s="199" t="str">
        <f ca="1">IFERROR(__xludf.DUMMYFUNCTION("""COMPUTED_VALUE"""),"G")</f>
        <v>G</v>
      </c>
      <c r="E1473" s="202" t="str">
        <f ca="1">IFERROR(__xludf.DUMMYFUNCTION("""COMPUTED_VALUE"""),"I")</f>
        <v>I</v>
      </c>
      <c r="F1473" s="202" t="str">
        <f ca="1">IFERROR(__xludf.DUMMYFUNCTION("""COMPUTED_VALUE"""),"S")</f>
        <v>S</v>
      </c>
      <c r="G1473" s="202">
        <f ca="1">IFERROR(__xludf.DUMMYFUNCTION("""COMPUTED_VALUE"""),2)</f>
        <v>2</v>
      </c>
      <c r="H1473" s="208">
        <v>97.6</v>
      </c>
      <c r="I1473" s="208"/>
      <c r="J1473" s="208" t="s">
        <v>121</v>
      </c>
      <c r="K1473" s="208"/>
      <c r="L1473" s="208" t="str">
        <v xml:space="preserve"> 97.6</v>
      </c>
      <c r="M1473" s="208" t="str">
        <v/>
      </c>
    </row>
    <row r="1474" spans="1:13" ht="14.4">
      <c r="A1474" s="199" t="str">
        <f ca="1">IFERROR(__xludf.DUMMYFUNCTION("""COMPUTED_VALUE"""),"OAK")</f>
        <v>OAK</v>
      </c>
      <c r="B1474" s="207" t="str">
        <f ca="1">IFERROR(__xludf.DUMMYFUNCTION("""COMPUTED_VALUE"""),"Collin Henriques")</f>
        <v>Collin Henriques</v>
      </c>
      <c r="C1474" s="199">
        <f ca="1">IFERROR(__xludf.DUMMYFUNCTION("""COMPUTED_VALUE"""),11)</f>
        <v>11</v>
      </c>
      <c r="D1474" s="199" t="str">
        <f ca="1">IFERROR(__xludf.DUMMYFUNCTION("""COMPUTED_VALUE"""),"B")</f>
        <v>B</v>
      </c>
      <c r="E1474" s="202" t="str">
        <f ca="1">IFERROR(__xludf.DUMMYFUNCTION("""COMPUTED_VALUE"""),"J")</f>
        <v>J</v>
      </c>
      <c r="F1474" s="202" t="str">
        <f ca="1">IFERROR(__xludf.DUMMYFUNCTION("""COMPUTED_VALUE"""),"I")</f>
        <v>I</v>
      </c>
      <c r="G1474" s="202">
        <f ca="1">IFERROR(__xludf.DUMMYFUNCTION("""COMPUTED_VALUE"""),2)</f>
        <v>2</v>
      </c>
      <c r="H1474" s="208"/>
      <c r="I1474" s="208">
        <v>85.3</v>
      </c>
      <c r="J1474" s="208"/>
      <c r="K1474" s="208" t="s">
        <v>121</v>
      </c>
      <c r="L1474" s="208" t="str">
        <v xml:space="preserve"> 85.3</v>
      </c>
      <c r="M1474" s="208" t="str">
        <v/>
      </c>
    </row>
    <row r="1475" spans="1:13" ht="14.4">
      <c r="A1475" s="199" t="str">
        <f ca="1">IFERROR(__xludf.DUMMYFUNCTION("""COMPUTED_VALUE"""),"OAK")</f>
        <v>OAK</v>
      </c>
      <c r="B1475" s="207" t="str">
        <f ca="1">IFERROR(__xludf.DUMMYFUNCTION("""COMPUTED_VALUE"""),"Connor Gill")</f>
        <v>Connor Gill</v>
      </c>
      <c r="C1475" s="199">
        <f ca="1">IFERROR(__xludf.DUMMYFUNCTION("""COMPUTED_VALUE"""),11)</f>
        <v>11</v>
      </c>
      <c r="D1475" s="199" t="str">
        <f ca="1">IFERROR(__xludf.DUMMYFUNCTION("""COMPUTED_VALUE"""),"B")</f>
        <v>B</v>
      </c>
      <c r="E1475" s="202" t="str">
        <f ca="1">IFERROR(__xludf.DUMMYFUNCTION("""COMPUTED_VALUE"""),"J")</f>
        <v>J</v>
      </c>
      <c r="F1475" s="202" t="str">
        <f ca="1">IFERROR(__xludf.DUMMYFUNCTION("""COMPUTED_VALUE"""),"I")</f>
        <v>I</v>
      </c>
      <c r="G1475" s="202">
        <f ca="1">IFERROR(__xludf.DUMMYFUNCTION("""COMPUTED_VALUE"""),2)</f>
        <v>2</v>
      </c>
      <c r="H1475" s="208"/>
      <c r="I1475" s="208"/>
      <c r="J1475" s="208"/>
      <c r="K1475" s="208"/>
      <c r="L1475" s="208" t="str">
        <v/>
      </c>
      <c r="M1475" s="208" t="str">
        <v/>
      </c>
    </row>
    <row r="1476" spans="1:13" ht="14.4">
      <c r="A1476" s="199" t="str">
        <f ca="1">IFERROR(__xludf.DUMMYFUNCTION("""COMPUTED_VALUE"""),"OAK")</f>
        <v>OAK</v>
      </c>
      <c r="B1476" s="207" t="str">
        <f ca="1">IFERROR(__xludf.DUMMYFUNCTION("""COMPUTED_VALUE"""),"James Hayden")</f>
        <v>James Hayden</v>
      </c>
      <c r="C1476" s="199">
        <f ca="1">IFERROR(__xludf.DUMMYFUNCTION("""COMPUTED_VALUE"""),12)</f>
        <v>12</v>
      </c>
      <c r="D1476" s="199" t="str">
        <f ca="1">IFERROR(__xludf.DUMMYFUNCTION("""COMPUTED_VALUE"""),"B")</f>
        <v>B</v>
      </c>
      <c r="E1476" s="202" t="str">
        <f ca="1">IFERROR(__xludf.DUMMYFUNCTION("""COMPUTED_VALUE"""),"J")</f>
        <v>J</v>
      </c>
      <c r="F1476" s="202" t="str">
        <f ca="1">IFERROR(__xludf.DUMMYFUNCTION("""COMPUTED_VALUE"""),"I")</f>
        <v>I</v>
      </c>
      <c r="G1476" s="202">
        <f ca="1">IFERROR(__xludf.DUMMYFUNCTION("""COMPUTED_VALUE"""),2)</f>
        <v>2</v>
      </c>
      <c r="H1476" s="206"/>
      <c r="I1476" s="206">
        <v>89.95</v>
      </c>
      <c r="J1476" s="206"/>
      <c r="K1476" s="206" t="s">
        <v>121</v>
      </c>
      <c r="L1476" s="206" t="str">
        <v xml:space="preserve"> 89.95</v>
      </c>
      <c r="M1476" s="206" t="str">
        <v/>
      </c>
    </row>
    <row r="1477" spans="1:13" ht="14.4">
      <c r="A1477" s="199" t="str">
        <f ca="1">IFERROR(__xludf.DUMMYFUNCTION("""COMPUTED_VALUE"""),"OAK")</f>
        <v>OAK</v>
      </c>
      <c r="B1477" s="207" t="str">
        <f ca="1">IFERROR(__xludf.DUMMYFUNCTION("""COMPUTED_VALUE"""),"Leo Estes")</f>
        <v>Leo Estes</v>
      </c>
      <c r="C1477" s="199">
        <f ca="1">IFERROR(__xludf.DUMMYFUNCTION("""COMPUTED_VALUE"""),11)</f>
        <v>11</v>
      </c>
      <c r="D1477" s="199" t="str">
        <f ca="1">IFERROR(__xludf.DUMMYFUNCTION("""COMPUTED_VALUE"""),"B")</f>
        <v>B</v>
      </c>
      <c r="E1477" s="202" t="str">
        <f ca="1">IFERROR(__xludf.DUMMYFUNCTION("""COMPUTED_VALUE"""),"J")</f>
        <v>J</v>
      </c>
      <c r="F1477" s="202" t="str">
        <f ca="1">IFERROR(__xludf.DUMMYFUNCTION("""COMPUTED_VALUE"""),"I")</f>
        <v>I</v>
      </c>
      <c r="G1477" s="202">
        <f ca="1">IFERROR(__xludf.DUMMYFUNCTION("""COMPUTED_VALUE"""),2)</f>
        <v>2</v>
      </c>
      <c r="H1477" s="208"/>
      <c r="I1477" s="208">
        <v>84</v>
      </c>
      <c r="J1477" s="208"/>
      <c r="K1477" s="208" t="s">
        <v>121</v>
      </c>
      <c r="L1477" s="208" t="str">
        <v xml:space="preserve"> 84</v>
      </c>
      <c r="M1477" s="208" t="str">
        <v/>
      </c>
    </row>
    <row r="1478" spans="1:13" ht="14.4">
      <c r="A1478" s="199" t="str">
        <f ca="1">IFERROR(__xludf.DUMMYFUNCTION("""COMPUTED_VALUE"""),"OAK")</f>
        <v>OAK</v>
      </c>
      <c r="B1478" s="207" t="str">
        <f ca="1">IFERROR(__xludf.DUMMYFUNCTION("""COMPUTED_VALUE"""),"Ryan Emerick")</f>
        <v>Ryan Emerick</v>
      </c>
      <c r="C1478" s="199">
        <f ca="1">IFERROR(__xludf.DUMMYFUNCTION("""COMPUTED_VALUE"""),11)</f>
        <v>11</v>
      </c>
      <c r="D1478" s="199" t="str">
        <f ca="1">IFERROR(__xludf.DUMMYFUNCTION("""COMPUTED_VALUE"""),"B")</f>
        <v>B</v>
      </c>
      <c r="E1478" s="202" t="str">
        <f ca="1">IFERROR(__xludf.DUMMYFUNCTION("""COMPUTED_VALUE"""),"J")</f>
        <v>J</v>
      </c>
      <c r="F1478" s="202" t="str">
        <f ca="1">IFERROR(__xludf.DUMMYFUNCTION("""COMPUTED_VALUE"""),"I")</f>
        <v>I</v>
      </c>
      <c r="G1478" s="202">
        <f ca="1">IFERROR(__xludf.DUMMYFUNCTION("""COMPUTED_VALUE"""),2)</f>
        <v>2</v>
      </c>
      <c r="H1478" s="208"/>
      <c r="I1478" s="208"/>
      <c r="J1478" s="208"/>
      <c r="K1478" s="208"/>
      <c r="L1478" s="208" t="str">
        <v/>
      </c>
      <c r="M1478" s="208" t="str">
        <v/>
      </c>
    </row>
    <row r="1479" spans="1:13" ht="14.4">
      <c r="A1479" s="199" t="str">
        <f ca="1">IFERROR(__xludf.DUMMYFUNCTION("""COMPUTED_VALUE"""),"OAK")</f>
        <v>OAK</v>
      </c>
      <c r="B1479" s="207" t="str">
        <f ca="1">IFERROR(__xludf.DUMMYFUNCTION("""COMPUTED_VALUE"""),"Thibault Lede")</f>
        <v>Thibault Lede</v>
      </c>
      <c r="C1479" s="199">
        <f ca="1">IFERROR(__xludf.DUMMYFUNCTION("""COMPUTED_VALUE"""),12)</f>
        <v>12</v>
      </c>
      <c r="D1479" s="199" t="str">
        <f ca="1">IFERROR(__xludf.DUMMYFUNCTION("""COMPUTED_VALUE"""),"B")</f>
        <v>B</v>
      </c>
      <c r="E1479" s="202" t="str">
        <f ca="1">IFERROR(__xludf.DUMMYFUNCTION("""COMPUTED_VALUE"""),"J")</f>
        <v>J</v>
      </c>
      <c r="F1479" s="202" t="str">
        <f ca="1">IFERROR(__xludf.DUMMYFUNCTION("""COMPUTED_VALUE"""),"I")</f>
        <v>I</v>
      </c>
      <c r="G1479" s="202">
        <f ca="1">IFERROR(__xludf.DUMMYFUNCTION("""COMPUTED_VALUE"""),2)</f>
        <v>2</v>
      </c>
      <c r="H1479" s="206"/>
      <c r="I1479" s="206">
        <v>119.85</v>
      </c>
      <c r="J1479" s="206"/>
      <c r="K1479" s="206" t="s">
        <v>121</v>
      </c>
      <c r="L1479" s="206" t="str">
        <v xml:space="preserve"> 119.85</v>
      </c>
      <c r="M1479" s="206" t="str">
        <v/>
      </c>
    </row>
    <row r="1480" spans="1:13" ht="14.4">
      <c r="A1480" s="199" t="str">
        <f ca="1">IFERROR(__xludf.DUMMYFUNCTION("""COMPUTED_VALUE"""),"OAK")</f>
        <v>OAK</v>
      </c>
      <c r="B1480" s="207" t="str">
        <f ca="1">IFERROR(__xludf.DUMMYFUNCTION("""COMPUTED_VALUE"""),"William Wright")</f>
        <v>William Wright</v>
      </c>
      <c r="C1480" s="199">
        <f ca="1">IFERROR(__xludf.DUMMYFUNCTION("""COMPUTED_VALUE"""),11)</f>
        <v>11</v>
      </c>
      <c r="D1480" s="199" t="str">
        <f ca="1">IFERROR(__xludf.DUMMYFUNCTION("""COMPUTED_VALUE"""),"B")</f>
        <v>B</v>
      </c>
      <c r="E1480" s="202" t="str">
        <f ca="1">IFERROR(__xludf.DUMMYFUNCTION("""COMPUTED_VALUE"""),"J")</f>
        <v>J</v>
      </c>
      <c r="F1480" s="202" t="str">
        <f ca="1">IFERROR(__xludf.DUMMYFUNCTION("""COMPUTED_VALUE"""),"I")</f>
        <v>I</v>
      </c>
      <c r="G1480" s="202">
        <f ca="1">IFERROR(__xludf.DUMMYFUNCTION("""COMPUTED_VALUE"""),2)</f>
        <v>2</v>
      </c>
      <c r="H1480" s="208"/>
      <c r="I1480" s="208">
        <v>75.3</v>
      </c>
      <c r="J1480" s="208"/>
      <c r="K1480" s="208" t="s">
        <v>121</v>
      </c>
      <c r="L1480" s="208" t="str">
        <v xml:space="preserve"> 75.3</v>
      </c>
      <c r="M1480" s="208" t="str">
        <v/>
      </c>
    </row>
    <row r="1481" spans="1:13" ht="14.4">
      <c r="A1481" s="199" t="str">
        <f ca="1">IFERROR(__xludf.DUMMYFUNCTION("""COMPUTED_VALUE"""),"OAK")</f>
        <v>OAK</v>
      </c>
      <c r="B1481" s="207" t="str">
        <f ca="1">IFERROR(__xludf.DUMMYFUNCTION("""COMPUTED_VALUE"""),"Charlotte Henderson")</f>
        <v>Charlotte Henderson</v>
      </c>
      <c r="C1481" s="199">
        <f ca="1">IFERROR(__xludf.DUMMYFUNCTION("""COMPUTED_VALUE"""),11)</f>
        <v>11</v>
      </c>
      <c r="D1481" s="199" t="str">
        <f ca="1">IFERROR(__xludf.DUMMYFUNCTION("""COMPUTED_VALUE"""),"G")</f>
        <v>G</v>
      </c>
      <c r="E1481" s="202" t="str">
        <f ca="1">IFERROR(__xludf.DUMMYFUNCTION("""COMPUTED_VALUE"""),"J")</f>
        <v>J</v>
      </c>
      <c r="F1481" s="202" t="str">
        <f ca="1">IFERROR(__xludf.DUMMYFUNCTION("""COMPUTED_VALUE"""),"I")</f>
        <v>I</v>
      </c>
      <c r="G1481" s="202">
        <f ca="1">IFERROR(__xludf.DUMMYFUNCTION("""COMPUTED_VALUE"""),2)</f>
        <v>2</v>
      </c>
      <c r="H1481" s="208">
        <v>66.25</v>
      </c>
      <c r="I1481" s="208"/>
      <c r="J1481" s="208" t="s">
        <v>121</v>
      </c>
      <c r="K1481" s="208"/>
      <c r="L1481" s="208" t="str">
        <v xml:space="preserve"> 66.25</v>
      </c>
      <c r="M1481" s="208" t="str">
        <v/>
      </c>
    </row>
    <row r="1482" spans="1:13" ht="14.4">
      <c r="A1482" s="199" t="str">
        <f ca="1">IFERROR(__xludf.DUMMYFUNCTION("""COMPUTED_VALUE"""),"OAK")</f>
        <v>OAK</v>
      </c>
      <c r="B1482" s="207" t="str">
        <f ca="1">IFERROR(__xludf.DUMMYFUNCTION("""COMPUTED_VALUE"""),"Ella Henderson")</f>
        <v>Ella Henderson</v>
      </c>
      <c r="C1482" s="199">
        <f ca="1">IFERROR(__xludf.DUMMYFUNCTION("""COMPUTED_VALUE"""),11)</f>
        <v>11</v>
      </c>
      <c r="D1482" s="199" t="str">
        <f ca="1">IFERROR(__xludf.DUMMYFUNCTION("""COMPUTED_VALUE"""),"G")</f>
        <v>G</v>
      </c>
      <c r="E1482" s="202" t="str">
        <f ca="1">IFERROR(__xludf.DUMMYFUNCTION("""COMPUTED_VALUE"""),"J")</f>
        <v>J</v>
      </c>
      <c r="F1482" s="202" t="str">
        <f ca="1">IFERROR(__xludf.DUMMYFUNCTION("""COMPUTED_VALUE"""),"I")</f>
        <v>I</v>
      </c>
      <c r="G1482" s="202">
        <f ca="1">IFERROR(__xludf.DUMMYFUNCTION("""COMPUTED_VALUE"""),2)</f>
        <v>2</v>
      </c>
      <c r="H1482" s="206">
        <v>59.45</v>
      </c>
      <c r="I1482" s="206"/>
      <c r="J1482" s="206" t="s">
        <v>121</v>
      </c>
      <c r="K1482" s="206"/>
      <c r="L1482" s="206" t="str">
        <v xml:space="preserve"> 59.45</v>
      </c>
      <c r="M1482" s="206" t="str">
        <v/>
      </c>
    </row>
    <row r="1483" spans="1:13" ht="14.4">
      <c r="A1483" s="199" t="str">
        <f ca="1">IFERROR(__xludf.DUMMYFUNCTION("""COMPUTED_VALUE"""),"OAK")</f>
        <v>OAK</v>
      </c>
      <c r="B1483" s="207" t="str">
        <f ca="1">IFERROR(__xludf.DUMMYFUNCTION("""COMPUTED_VALUE"""),"Genevieve Wilson")</f>
        <v>Genevieve Wilson</v>
      </c>
      <c r="C1483" s="199">
        <f ca="1">IFERROR(__xludf.DUMMYFUNCTION("""COMPUTED_VALUE"""),11)</f>
        <v>11</v>
      </c>
      <c r="D1483" s="199" t="str">
        <f ca="1">IFERROR(__xludf.DUMMYFUNCTION("""COMPUTED_VALUE"""),"G")</f>
        <v>G</v>
      </c>
      <c r="E1483" s="202" t="str">
        <f ca="1">IFERROR(__xludf.DUMMYFUNCTION("""COMPUTED_VALUE"""),"J")</f>
        <v>J</v>
      </c>
      <c r="F1483" s="202" t="str">
        <f ca="1">IFERROR(__xludf.DUMMYFUNCTION("""COMPUTED_VALUE"""),"I")</f>
        <v>I</v>
      </c>
      <c r="G1483" s="202">
        <f ca="1">IFERROR(__xludf.DUMMYFUNCTION("""COMPUTED_VALUE"""),2)</f>
        <v>2</v>
      </c>
      <c r="H1483" s="206"/>
      <c r="I1483" s="206"/>
      <c r="J1483" s="206"/>
      <c r="K1483" s="206"/>
      <c r="L1483" s="206" t="str">
        <v/>
      </c>
      <c r="M1483" s="206" t="str">
        <v/>
      </c>
    </row>
    <row r="1484" spans="1:13" ht="14.4">
      <c r="A1484" s="199" t="str">
        <f ca="1">IFERROR(__xludf.DUMMYFUNCTION("""COMPUTED_VALUE"""),"OAK")</f>
        <v>OAK</v>
      </c>
      <c r="B1484" s="207" t="str">
        <f ca="1">IFERROR(__xludf.DUMMYFUNCTION("""COMPUTED_VALUE"""),"Isabelle Whang")</f>
        <v>Isabelle Whang</v>
      </c>
      <c r="C1484" s="199">
        <f ca="1">IFERROR(__xludf.DUMMYFUNCTION("""COMPUTED_VALUE"""),12)</f>
        <v>12</v>
      </c>
      <c r="D1484" s="199" t="str">
        <f ca="1">IFERROR(__xludf.DUMMYFUNCTION("""COMPUTED_VALUE"""),"G")</f>
        <v>G</v>
      </c>
      <c r="E1484" s="202" t="str">
        <f ca="1">IFERROR(__xludf.DUMMYFUNCTION("""COMPUTED_VALUE"""),"J")</f>
        <v>J</v>
      </c>
      <c r="F1484" s="202" t="str">
        <f ca="1">IFERROR(__xludf.DUMMYFUNCTION("""COMPUTED_VALUE"""),"I")</f>
        <v>I</v>
      </c>
      <c r="G1484" s="202">
        <f ca="1">IFERROR(__xludf.DUMMYFUNCTION("""COMPUTED_VALUE"""),2)</f>
        <v>2</v>
      </c>
      <c r="H1484" s="206">
        <v>113.2</v>
      </c>
      <c r="I1484" s="206"/>
      <c r="J1484" s="206" t="s">
        <v>121</v>
      </c>
      <c r="K1484" s="206"/>
      <c r="L1484" s="206" t="str">
        <v xml:space="preserve"> 113.2</v>
      </c>
      <c r="M1484" s="206" t="str">
        <v/>
      </c>
    </row>
    <row r="1485" spans="1:13" ht="14.4">
      <c r="A1485" s="199" t="str">
        <f ca="1">IFERROR(__xludf.DUMMYFUNCTION("""COMPUTED_VALUE"""),"OAK")</f>
        <v>OAK</v>
      </c>
      <c r="B1485" s="207" t="str">
        <f ca="1">IFERROR(__xludf.DUMMYFUNCTION("""COMPUTED_VALUE"""),"Lillian Kitzmiller")</f>
        <v>Lillian Kitzmiller</v>
      </c>
      <c r="C1485" s="199">
        <f ca="1">IFERROR(__xludf.DUMMYFUNCTION("""COMPUTED_VALUE"""),11)</f>
        <v>11</v>
      </c>
      <c r="D1485" s="199" t="str">
        <f ca="1">IFERROR(__xludf.DUMMYFUNCTION("""COMPUTED_VALUE"""),"G")</f>
        <v>G</v>
      </c>
      <c r="E1485" s="202" t="str">
        <f ca="1">IFERROR(__xludf.DUMMYFUNCTION("""COMPUTED_VALUE"""),"J")</f>
        <v>J</v>
      </c>
      <c r="F1485" s="202" t="str">
        <f ca="1">IFERROR(__xludf.DUMMYFUNCTION("""COMPUTED_VALUE"""),"I")</f>
        <v>I</v>
      </c>
      <c r="G1485" s="202">
        <f ca="1">IFERROR(__xludf.DUMMYFUNCTION("""COMPUTED_VALUE"""),2)</f>
        <v>2</v>
      </c>
      <c r="H1485" s="208"/>
      <c r="I1485" s="208"/>
      <c r="J1485" s="208"/>
      <c r="K1485" s="208"/>
      <c r="L1485" s="208" t="str">
        <v/>
      </c>
      <c r="M1485" s="208" t="str">
        <v/>
      </c>
    </row>
    <row r="1486" spans="1:13" ht="14.4">
      <c r="A1486" s="199" t="str">
        <f ca="1">IFERROR(__xludf.DUMMYFUNCTION("""COMPUTED_VALUE"""),"OAK")</f>
        <v>OAK</v>
      </c>
      <c r="B1486" s="207" t="str">
        <f ca="1">IFERROR(__xludf.DUMMYFUNCTION("""COMPUTED_VALUE"""),"Sarah Payne")</f>
        <v>Sarah Payne</v>
      </c>
      <c r="C1486" s="199">
        <f ca="1">IFERROR(__xludf.DUMMYFUNCTION("""COMPUTED_VALUE"""),12)</f>
        <v>12</v>
      </c>
      <c r="D1486" s="199" t="str">
        <f ca="1">IFERROR(__xludf.DUMMYFUNCTION("""COMPUTED_VALUE"""),"G")</f>
        <v>G</v>
      </c>
      <c r="E1486" s="202" t="str">
        <f ca="1">IFERROR(__xludf.DUMMYFUNCTION("""COMPUTED_VALUE"""),"J")</f>
        <v>J</v>
      </c>
      <c r="F1486" s="202" t="str">
        <f ca="1">IFERROR(__xludf.DUMMYFUNCTION("""COMPUTED_VALUE"""),"I")</f>
        <v>I</v>
      </c>
      <c r="G1486" s="202">
        <f ca="1">IFERROR(__xludf.DUMMYFUNCTION("""COMPUTED_VALUE"""),2)</f>
        <v>2</v>
      </c>
      <c r="H1486" s="206"/>
      <c r="I1486" s="206"/>
      <c r="J1486" s="206"/>
      <c r="K1486" s="206"/>
      <c r="L1486" s="206" t="str">
        <v/>
      </c>
      <c r="M1486" s="206" t="str">
        <v/>
      </c>
    </row>
    <row r="1487" spans="1:13" ht="14.4">
      <c r="A1487" s="199" t="str">
        <f ca="1">IFERROR(__xludf.DUMMYFUNCTION("""COMPUTED_VALUE"""),"OAK")</f>
        <v>OAK</v>
      </c>
      <c r="B1487" s="207" t="str">
        <f ca="1">IFERROR(__xludf.DUMMYFUNCTION("""COMPUTED_VALUE"""),"Blaise Wuest")</f>
        <v>Blaise Wuest</v>
      </c>
      <c r="C1487" s="199">
        <f ca="1">IFERROR(__xludf.DUMMYFUNCTION("""COMPUTED_VALUE"""),17)</f>
        <v>17</v>
      </c>
      <c r="D1487" s="199" t="str">
        <f ca="1">IFERROR(__xludf.DUMMYFUNCTION("""COMPUTED_VALUE"""),"B")</f>
        <v>B</v>
      </c>
      <c r="E1487" s="202" t="str">
        <f ca="1">IFERROR(__xludf.DUMMYFUNCTION("""COMPUTED_VALUE"""),"S")</f>
        <v>S</v>
      </c>
      <c r="F1487" s="202" t="str">
        <f ca="1">IFERROR(__xludf.DUMMYFUNCTION("""COMPUTED_VALUE"""),"S")</f>
        <v>S</v>
      </c>
      <c r="G1487" s="202">
        <f ca="1">IFERROR(__xludf.DUMMYFUNCTION("""COMPUTED_VALUE"""),2)</f>
        <v>2</v>
      </c>
      <c r="H1487" s="208"/>
      <c r="I1487" s="208">
        <v>161.94999999999999</v>
      </c>
      <c r="J1487" s="208"/>
      <c r="K1487" s="208" t="s">
        <v>121</v>
      </c>
      <c r="L1487" s="208" t="str">
        <v xml:space="preserve"> 161.95</v>
      </c>
      <c r="M1487" s="208" t="str">
        <v/>
      </c>
    </row>
    <row r="1488" spans="1:13" ht="14.4">
      <c r="A1488" s="199" t="str">
        <f ca="1">IFERROR(__xludf.DUMMYFUNCTION("""COMPUTED_VALUE"""),"OAK")</f>
        <v>OAK</v>
      </c>
      <c r="B1488" s="207" t="str">
        <f ca="1">IFERROR(__xludf.DUMMYFUNCTION("""COMPUTED_VALUE"""),"Josh Shipley")</f>
        <v>Josh Shipley</v>
      </c>
      <c r="C1488" s="199">
        <f ca="1">IFERROR(__xludf.DUMMYFUNCTION("""COMPUTED_VALUE"""),17)</f>
        <v>17</v>
      </c>
      <c r="D1488" s="199" t="str">
        <f ca="1">IFERROR(__xludf.DUMMYFUNCTION("""COMPUTED_VALUE"""),"B")</f>
        <v>B</v>
      </c>
      <c r="E1488" s="202" t="str">
        <f ca="1">IFERROR(__xludf.DUMMYFUNCTION("""COMPUTED_VALUE"""),"S")</f>
        <v>S</v>
      </c>
      <c r="F1488" s="202" t="str">
        <f ca="1">IFERROR(__xludf.DUMMYFUNCTION("""COMPUTED_VALUE"""),"S")</f>
        <v>S</v>
      </c>
      <c r="G1488" s="202">
        <f ca="1">IFERROR(__xludf.DUMMYFUNCTION("""COMPUTED_VALUE"""),2)</f>
        <v>2</v>
      </c>
      <c r="H1488" s="208"/>
      <c r="I1488" s="208">
        <v>204.5</v>
      </c>
      <c r="J1488" s="208"/>
      <c r="K1488" s="208" t="s">
        <v>121</v>
      </c>
      <c r="L1488" s="208" t="str">
        <v xml:space="preserve"> 204.5</v>
      </c>
      <c r="M1488" s="208" t="str">
        <v/>
      </c>
    </row>
    <row r="1489" spans="1:13" ht="14.4">
      <c r="A1489" s="199" t="str">
        <f ca="1">IFERROR(__xludf.DUMMYFUNCTION("""COMPUTED_VALUE"""),"OAK")</f>
        <v>OAK</v>
      </c>
      <c r="B1489" s="207" t="str">
        <f ca="1">IFERROR(__xludf.DUMMYFUNCTION("""COMPUTED_VALUE"""),"Nico Shuster")</f>
        <v>Nico Shuster</v>
      </c>
      <c r="C1489" s="199">
        <f ca="1">IFERROR(__xludf.DUMMYFUNCTION("""COMPUTED_VALUE"""),16)</f>
        <v>16</v>
      </c>
      <c r="D1489" s="199" t="str">
        <f ca="1">IFERROR(__xludf.DUMMYFUNCTION("""COMPUTED_VALUE"""),"B")</f>
        <v>B</v>
      </c>
      <c r="E1489" s="202" t="str">
        <f ca="1">IFERROR(__xludf.DUMMYFUNCTION("""COMPUTED_VALUE"""),"S")</f>
        <v>S</v>
      </c>
      <c r="F1489" s="202" t="str">
        <f ca="1">IFERROR(__xludf.DUMMYFUNCTION("""COMPUTED_VALUE"""),"S")</f>
        <v>S</v>
      </c>
      <c r="G1489" s="202">
        <f ca="1">IFERROR(__xludf.DUMMYFUNCTION("""COMPUTED_VALUE"""),2)</f>
        <v>2</v>
      </c>
      <c r="H1489" s="208"/>
      <c r="I1489" s="208">
        <v>168.8</v>
      </c>
      <c r="J1489" s="208"/>
      <c r="K1489" s="208" t="s">
        <v>121</v>
      </c>
      <c r="L1489" s="208" t="str">
        <v xml:space="preserve"> 168.8</v>
      </c>
      <c r="M1489" s="208" t="str">
        <v/>
      </c>
    </row>
    <row r="1490" spans="1:13" ht="14.4">
      <c r="A1490" s="199" t="str">
        <f ca="1">IFERROR(__xludf.DUMMYFUNCTION("""COMPUTED_VALUE"""),"OAK")</f>
        <v>OAK</v>
      </c>
      <c r="B1490" s="207" t="str">
        <f ca="1">IFERROR(__xludf.DUMMYFUNCTION("""COMPUTED_VALUE"""),"Spencer Dearman")</f>
        <v>Spencer Dearman</v>
      </c>
      <c r="C1490" s="199">
        <f ca="1">IFERROR(__xludf.DUMMYFUNCTION("""COMPUTED_VALUE"""),17)</f>
        <v>17</v>
      </c>
      <c r="D1490" s="199" t="str">
        <f ca="1">IFERROR(__xludf.DUMMYFUNCTION("""COMPUTED_VALUE"""),"B")</f>
        <v>B</v>
      </c>
      <c r="E1490" s="202" t="str">
        <f ca="1">IFERROR(__xludf.DUMMYFUNCTION("""COMPUTED_VALUE"""),"S")</f>
        <v>S</v>
      </c>
      <c r="F1490" s="202" t="str">
        <f ca="1">IFERROR(__xludf.DUMMYFUNCTION("""COMPUTED_VALUE"""),"S")</f>
        <v>S</v>
      </c>
      <c r="G1490" s="202">
        <f ca="1">IFERROR(__xludf.DUMMYFUNCTION("""COMPUTED_VALUE"""),2)</f>
        <v>2</v>
      </c>
      <c r="H1490" s="208"/>
      <c r="I1490" s="208"/>
      <c r="J1490" s="208"/>
      <c r="K1490" s="208"/>
      <c r="L1490" s="208" t="str">
        <v/>
      </c>
      <c r="M1490" s="208" t="str">
        <v/>
      </c>
    </row>
    <row r="1491" spans="1:13" ht="14.4">
      <c r="A1491" s="199" t="str">
        <f ca="1">IFERROR(__xludf.DUMMYFUNCTION("""COMPUTED_VALUE"""),"OAK")</f>
        <v>OAK</v>
      </c>
      <c r="B1491" s="207" t="str">
        <f ca="1">IFERROR(__xludf.DUMMYFUNCTION("""COMPUTED_VALUE"""),"Claire Newberry")</f>
        <v>Claire Newberry</v>
      </c>
      <c r="C1491" s="199">
        <f ca="1">IFERROR(__xludf.DUMMYFUNCTION("""COMPUTED_VALUE"""),17)</f>
        <v>17</v>
      </c>
      <c r="D1491" s="199" t="str">
        <f ca="1">IFERROR(__xludf.DUMMYFUNCTION("""COMPUTED_VALUE"""),"G")</f>
        <v>G</v>
      </c>
      <c r="E1491" s="202" t="str">
        <f ca="1">IFERROR(__xludf.DUMMYFUNCTION("""COMPUTED_VALUE"""),"S")</f>
        <v>S</v>
      </c>
      <c r="F1491" s="202" t="str">
        <f ca="1">IFERROR(__xludf.DUMMYFUNCTION("""COMPUTED_VALUE"""),"S")</f>
        <v>S</v>
      </c>
      <c r="G1491" s="202">
        <f ca="1">IFERROR(__xludf.DUMMYFUNCTION("""COMPUTED_VALUE"""),2)</f>
        <v>2</v>
      </c>
      <c r="H1491" s="206">
        <v>145.5</v>
      </c>
      <c r="I1491" s="206"/>
      <c r="J1491" s="206" t="s">
        <v>121</v>
      </c>
      <c r="K1491" s="206"/>
      <c r="L1491" s="206" t="str">
        <v xml:space="preserve"> 145.5</v>
      </c>
      <c r="M1491" s="206" t="str">
        <v/>
      </c>
    </row>
    <row r="1492" spans="1:13" ht="14.4">
      <c r="A1492" s="199" t="str">
        <f ca="1">IFERROR(__xludf.DUMMYFUNCTION("""COMPUTED_VALUE"""),"OAK")</f>
        <v>OAK</v>
      </c>
      <c r="B1492" s="207" t="str">
        <f ca="1">IFERROR(__xludf.DUMMYFUNCTION("""COMPUTED_VALUE"""),"Elise Doe")</f>
        <v>Elise Doe</v>
      </c>
      <c r="C1492" s="199">
        <f ca="1">IFERROR(__xludf.DUMMYFUNCTION("""COMPUTED_VALUE"""),16)</f>
        <v>16</v>
      </c>
      <c r="D1492" s="199" t="str">
        <f ca="1">IFERROR(__xludf.DUMMYFUNCTION("""COMPUTED_VALUE"""),"G")</f>
        <v>G</v>
      </c>
      <c r="E1492" s="202" t="str">
        <f ca="1">IFERROR(__xludf.DUMMYFUNCTION("""COMPUTED_VALUE"""),"S")</f>
        <v>S</v>
      </c>
      <c r="F1492" s="202" t="str">
        <f ca="1">IFERROR(__xludf.DUMMYFUNCTION("""COMPUTED_VALUE"""),"S")</f>
        <v>S</v>
      </c>
      <c r="G1492" s="202">
        <f ca="1">IFERROR(__xludf.DUMMYFUNCTION("""COMPUTED_VALUE"""),2)</f>
        <v>2</v>
      </c>
      <c r="H1492" s="208">
        <v>150.19999999999999</v>
      </c>
      <c r="I1492" s="208"/>
      <c r="J1492" s="208" t="s">
        <v>121</v>
      </c>
      <c r="K1492" s="208"/>
      <c r="L1492" s="208" t="str">
        <v xml:space="preserve"> 150.2</v>
      </c>
      <c r="M1492" s="208" t="str">
        <v/>
      </c>
    </row>
    <row r="1493" spans="1:13" ht="14.4">
      <c r="A1493" s="199" t="str">
        <f ca="1">IFERROR(__xludf.DUMMYFUNCTION("""COMPUTED_VALUE"""),"OAK")</f>
        <v>OAK</v>
      </c>
      <c r="B1493" s="207" t="str">
        <f ca="1">IFERROR(__xludf.DUMMYFUNCTION("""COMPUTED_VALUE"""),"Katie Vaughan")</f>
        <v>Katie Vaughan</v>
      </c>
      <c r="C1493" s="199">
        <f ca="1">IFERROR(__xludf.DUMMYFUNCTION("""COMPUTED_VALUE"""),15)</f>
        <v>15</v>
      </c>
      <c r="D1493" s="199" t="str">
        <f ca="1">IFERROR(__xludf.DUMMYFUNCTION("""COMPUTED_VALUE"""),"G")</f>
        <v>G</v>
      </c>
      <c r="E1493" s="202" t="str">
        <f ca="1">IFERROR(__xludf.DUMMYFUNCTION("""COMPUTED_VALUE"""),"S")</f>
        <v>S</v>
      </c>
      <c r="F1493" s="202" t="str">
        <f ca="1">IFERROR(__xludf.DUMMYFUNCTION("""COMPUTED_VALUE"""),"S")</f>
        <v>S</v>
      </c>
      <c r="G1493" s="202">
        <f ca="1">IFERROR(__xludf.DUMMYFUNCTION("""COMPUTED_VALUE"""),2)</f>
        <v>2</v>
      </c>
      <c r="H1493" s="208">
        <v>176.5</v>
      </c>
      <c r="I1493" s="208"/>
      <c r="J1493" s="208" t="s">
        <v>121</v>
      </c>
      <c r="K1493" s="208"/>
      <c r="L1493" s="208" t="str">
        <v xml:space="preserve"> 176.5</v>
      </c>
      <c r="M1493" s="208" t="str">
        <v/>
      </c>
    </row>
    <row r="1494" spans="1:13" ht="14.4">
      <c r="A1494" s="199" t="str">
        <f ca="1">IFERROR(__xludf.DUMMYFUNCTION("""COMPUTED_VALUE"""),"OAK")</f>
        <v>OAK</v>
      </c>
      <c r="B1494" s="207" t="str">
        <f ca="1">IFERROR(__xludf.DUMMYFUNCTION("""COMPUTED_VALUE"""),"Molly Kenefick")</f>
        <v>Molly Kenefick</v>
      </c>
      <c r="C1494" s="199">
        <f ca="1">IFERROR(__xludf.DUMMYFUNCTION("""COMPUTED_VALUE"""),17)</f>
        <v>17</v>
      </c>
      <c r="D1494" s="199" t="str">
        <f ca="1">IFERROR(__xludf.DUMMYFUNCTION("""COMPUTED_VALUE"""),"G")</f>
        <v>G</v>
      </c>
      <c r="E1494" s="202" t="str">
        <f ca="1">IFERROR(__xludf.DUMMYFUNCTION("""COMPUTED_VALUE"""),"S")</f>
        <v>S</v>
      </c>
      <c r="F1494" s="202" t="str">
        <f ca="1">IFERROR(__xludf.DUMMYFUNCTION("""COMPUTED_VALUE"""),"S")</f>
        <v>S</v>
      </c>
      <c r="G1494" s="202">
        <f ca="1">IFERROR(__xludf.DUMMYFUNCTION("""COMPUTED_VALUE"""),2)</f>
        <v>2</v>
      </c>
      <c r="H1494" s="208"/>
      <c r="I1494" s="208"/>
      <c r="J1494" s="208"/>
      <c r="K1494" s="208"/>
      <c r="L1494" s="208" t="str">
        <v/>
      </c>
      <c r="M1494" s="208" t="str">
        <v/>
      </c>
    </row>
    <row r="1495" spans="1:13" ht="14.4">
      <c r="A1495" s="199" t="str">
        <f ca="1">IFERROR(__xludf.DUMMYFUNCTION("""COMPUTED_VALUE"""),"OAK")</f>
        <v>OAK</v>
      </c>
      <c r="B1495" s="207" t="str">
        <f ca="1">IFERROR(__xludf.DUMMYFUNCTION("""COMPUTED_VALUE"""),"Sophie Whang")</f>
        <v>Sophie Whang</v>
      </c>
      <c r="C1495" s="199">
        <f ca="1">IFERROR(__xludf.DUMMYFUNCTION("""COMPUTED_VALUE"""),16)</f>
        <v>16</v>
      </c>
      <c r="D1495" s="199" t="str">
        <f ca="1">IFERROR(__xludf.DUMMYFUNCTION("""COMPUTED_VALUE"""),"G")</f>
        <v>G</v>
      </c>
      <c r="E1495" s="202" t="str">
        <f ca="1">IFERROR(__xludf.DUMMYFUNCTION("""COMPUTED_VALUE"""),"S")</f>
        <v>S</v>
      </c>
      <c r="F1495" s="202" t="str">
        <f ca="1">IFERROR(__xludf.DUMMYFUNCTION("""COMPUTED_VALUE"""),"S")</f>
        <v>S</v>
      </c>
      <c r="G1495" s="202">
        <f ca="1">IFERROR(__xludf.DUMMYFUNCTION("""COMPUTED_VALUE"""),2)</f>
        <v>2</v>
      </c>
      <c r="H1495" s="208"/>
      <c r="I1495" s="208"/>
      <c r="J1495" s="208"/>
      <c r="K1495" s="208"/>
      <c r="L1495" s="208" t="str">
        <v/>
      </c>
      <c r="M1495" s="208" t="str">
        <v/>
      </c>
    </row>
    <row r="1496" spans="1:13" ht="14.4">
      <c r="A1496" s="199" t="str">
        <f ca="1">IFERROR(__xludf.DUMMYFUNCTION("""COMPUTED_VALUE"""),"OH")</f>
        <v>OH</v>
      </c>
      <c r="B1496" s="207" t="str">
        <f ca="1">IFERROR(__xludf.DUMMYFUNCTION("""COMPUTED_VALUE"""),"Adam Zimmer")</f>
        <v>Adam Zimmer</v>
      </c>
      <c r="C1496" s="199">
        <f ca="1">IFERROR(__xludf.DUMMYFUNCTION("""COMPUTED_VALUE"""),7)</f>
        <v>7</v>
      </c>
      <c r="D1496" s="199" t="str">
        <f ca="1">IFERROR(__xludf.DUMMYFUNCTION("""COMPUTED_VALUE"""),"B")</f>
        <v>B</v>
      </c>
      <c r="E1496" s="202" t="str">
        <f ca="1">IFERROR(__xludf.DUMMYFUNCTION("""COMPUTED_VALUE"""),"F")</f>
        <v>F</v>
      </c>
      <c r="F1496" s="202" t="str">
        <f ca="1">IFERROR(__xludf.DUMMYFUNCTION("""COMPUTED_VALUE"""),"J")</f>
        <v>J</v>
      </c>
      <c r="G1496" s="202">
        <f ca="1">IFERROR(__xludf.DUMMYFUNCTION("""COMPUTED_VALUE"""),6)</f>
        <v>6</v>
      </c>
      <c r="H1496" s="208"/>
      <c r="I1496" s="208">
        <v>31.25</v>
      </c>
      <c r="J1496" s="208"/>
      <c r="K1496" s="208" t="s">
        <v>121</v>
      </c>
      <c r="L1496" s="208" t="str">
        <v xml:space="preserve"> 31.25</v>
      </c>
      <c r="M1496" s="208" t="str">
        <v/>
      </c>
    </row>
    <row r="1497" spans="1:13" ht="14.4">
      <c r="A1497" s="199" t="str">
        <f ca="1">IFERROR(__xludf.DUMMYFUNCTION("""COMPUTED_VALUE"""),"OH")</f>
        <v>OH</v>
      </c>
      <c r="B1497" s="207" t="str">
        <f ca="1">IFERROR(__xludf.DUMMYFUNCTION("""COMPUTED_VALUE"""),"Andrew Barber")</f>
        <v>Andrew Barber</v>
      </c>
      <c r="C1497" s="199">
        <f ca="1">IFERROR(__xludf.DUMMYFUNCTION("""COMPUTED_VALUE"""),10)</f>
        <v>10</v>
      </c>
      <c r="D1497" s="199" t="str">
        <f ca="1">IFERROR(__xludf.DUMMYFUNCTION("""COMPUTED_VALUE"""),"B")</f>
        <v>B</v>
      </c>
      <c r="E1497" s="202" t="str">
        <f ca="1">IFERROR(__xludf.DUMMYFUNCTION("""COMPUTED_VALUE"""),"F")</f>
        <v>F</v>
      </c>
      <c r="F1497" s="202" t="str">
        <f ca="1">IFERROR(__xludf.DUMMYFUNCTION("""COMPUTED_VALUE"""),"J")</f>
        <v>J</v>
      </c>
      <c r="G1497" s="202">
        <f ca="1">IFERROR(__xludf.DUMMYFUNCTION("""COMPUTED_VALUE"""),6)</f>
        <v>6</v>
      </c>
      <c r="H1497" s="208"/>
      <c r="I1497" s="208">
        <v>67.099999999999994</v>
      </c>
      <c r="J1497" s="208"/>
      <c r="K1497" s="208" t="s">
        <v>121</v>
      </c>
      <c r="L1497" s="208" t="str">
        <v xml:space="preserve"> 67.1</v>
      </c>
      <c r="M1497" s="208" t="str">
        <v/>
      </c>
    </row>
    <row r="1498" spans="1:13" ht="14.4">
      <c r="A1498" s="199" t="str">
        <f ca="1">IFERROR(__xludf.DUMMYFUNCTION("""COMPUTED_VALUE"""),"OH")</f>
        <v>OH</v>
      </c>
      <c r="B1498" s="207" t="str">
        <f ca="1">IFERROR(__xludf.DUMMYFUNCTION("""COMPUTED_VALUE"""),"Ben Berona")</f>
        <v>Ben Berona</v>
      </c>
      <c r="C1498" s="199">
        <f ca="1">IFERROR(__xludf.DUMMYFUNCTION("""COMPUTED_VALUE"""),8)</f>
        <v>8</v>
      </c>
      <c r="D1498" s="199" t="str">
        <f ca="1">IFERROR(__xludf.DUMMYFUNCTION("""COMPUTED_VALUE"""),"B")</f>
        <v>B</v>
      </c>
      <c r="E1498" s="202" t="str">
        <f ca="1">IFERROR(__xludf.DUMMYFUNCTION("""COMPUTED_VALUE"""),"F")</f>
        <v>F</v>
      </c>
      <c r="F1498" s="202" t="str">
        <f ca="1">IFERROR(__xludf.DUMMYFUNCTION("""COMPUTED_VALUE"""),"J")</f>
        <v>J</v>
      </c>
      <c r="G1498" s="202">
        <f ca="1">IFERROR(__xludf.DUMMYFUNCTION("""COMPUTED_VALUE"""),6)</f>
        <v>6</v>
      </c>
      <c r="H1498" s="206"/>
      <c r="I1498" s="206">
        <v>49.8</v>
      </c>
      <c r="J1498" s="206"/>
      <c r="K1498" s="206" t="s">
        <v>121</v>
      </c>
      <c r="L1498" s="206" t="str">
        <v xml:space="preserve"> 49.8</v>
      </c>
      <c r="M1498" s="206" t="str">
        <v/>
      </c>
    </row>
    <row r="1499" spans="1:13" ht="14.4">
      <c r="A1499" s="199" t="str">
        <f ca="1">IFERROR(__xludf.DUMMYFUNCTION("""COMPUTED_VALUE"""),"OH")</f>
        <v>OH</v>
      </c>
      <c r="B1499" s="207" t="str">
        <f ca="1">IFERROR(__xludf.DUMMYFUNCTION("""COMPUTED_VALUE"""),"Jackson Fournier")</f>
        <v>Jackson Fournier</v>
      </c>
      <c r="C1499" s="199">
        <f ca="1">IFERROR(__xludf.DUMMYFUNCTION("""COMPUTED_VALUE"""),5)</f>
        <v>5</v>
      </c>
      <c r="D1499" s="199" t="str">
        <f ca="1">IFERROR(__xludf.DUMMYFUNCTION("""COMPUTED_VALUE"""),"B")</f>
        <v>B</v>
      </c>
      <c r="E1499" s="202" t="str">
        <f ca="1">IFERROR(__xludf.DUMMYFUNCTION("""COMPUTED_VALUE"""),"F")</f>
        <v>F</v>
      </c>
      <c r="F1499" s="202" t="str">
        <f ca="1">IFERROR(__xludf.DUMMYFUNCTION("""COMPUTED_VALUE"""),"J")</f>
        <v>J</v>
      </c>
      <c r="G1499" s="202">
        <f ca="1">IFERROR(__xludf.DUMMYFUNCTION("""COMPUTED_VALUE"""),6)</f>
        <v>6</v>
      </c>
      <c r="H1499" s="206"/>
      <c r="I1499" s="206"/>
      <c r="J1499" s="206"/>
      <c r="K1499" s="206"/>
      <c r="L1499" s="206" t="str">
        <v/>
      </c>
      <c r="M1499" s="206" t="str">
        <v/>
      </c>
    </row>
    <row r="1500" spans="1:13" ht="14.4">
      <c r="A1500" s="199" t="str">
        <f ca="1">IFERROR(__xludf.DUMMYFUNCTION("""COMPUTED_VALUE"""),"OH")</f>
        <v>OH</v>
      </c>
      <c r="B1500" s="207" t="str">
        <f ca="1">IFERROR(__xludf.DUMMYFUNCTION("""COMPUTED_VALUE"""),"Joshua Berona")</f>
        <v>Joshua Berona</v>
      </c>
      <c r="C1500" s="199">
        <f ca="1">IFERROR(__xludf.DUMMYFUNCTION("""COMPUTED_VALUE"""),9)</f>
        <v>9</v>
      </c>
      <c r="D1500" s="199" t="str">
        <f ca="1">IFERROR(__xludf.DUMMYFUNCTION("""COMPUTED_VALUE"""),"B")</f>
        <v>B</v>
      </c>
      <c r="E1500" s="202" t="str">
        <f ca="1">IFERROR(__xludf.DUMMYFUNCTION("""COMPUTED_VALUE"""),"F")</f>
        <v>F</v>
      </c>
      <c r="F1500" s="202" t="str">
        <f ca="1">IFERROR(__xludf.DUMMYFUNCTION("""COMPUTED_VALUE"""),"J")</f>
        <v>J</v>
      </c>
      <c r="G1500" s="202">
        <f ca="1">IFERROR(__xludf.DUMMYFUNCTION("""COMPUTED_VALUE"""),6)</f>
        <v>6</v>
      </c>
      <c r="H1500" s="208"/>
      <c r="I1500" s="208">
        <v>37.299999999999997</v>
      </c>
      <c r="J1500" s="208"/>
      <c r="K1500" s="208" t="s">
        <v>121</v>
      </c>
      <c r="L1500" s="208" t="str">
        <v xml:space="preserve"> 37.3</v>
      </c>
      <c r="M1500" s="208" t="str">
        <v/>
      </c>
    </row>
    <row r="1501" spans="1:13" ht="14.4">
      <c r="A1501" s="199" t="str">
        <f ca="1">IFERROR(__xludf.DUMMYFUNCTION("""COMPUTED_VALUE"""),"OH")</f>
        <v>OH</v>
      </c>
      <c r="B1501" s="207" t="str">
        <f ca="1">IFERROR(__xludf.DUMMYFUNCTION("""COMPUTED_VALUE"""),"Kekoa LumHo")</f>
        <v>Kekoa LumHo</v>
      </c>
      <c r="C1501" s="199">
        <f ca="1">IFERROR(__xludf.DUMMYFUNCTION("""COMPUTED_VALUE"""),10)</f>
        <v>10</v>
      </c>
      <c r="D1501" s="199" t="str">
        <f ca="1">IFERROR(__xludf.DUMMYFUNCTION("""COMPUTED_VALUE"""),"B")</f>
        <v>B</v>
      </c>
      <c r="E1501" s="202" t="str">
        <f ca="1">IFERROR(__xludf.DUMMYFUNCTION("""COMPUTED_VALUE"""),"F")</f>
        <v>F</v>
      </c>
      <c r="F1501" s="202" t="str">
        <f ca="1">IFERROR(__xludf.DUMMYFUNCTION("""COMPUTED_VALUE"""),"J")</f>
        <v>J</v>
      </c>
      <c r="G1501" s="202">
        <f ca="1">IFERROR(__xludf.DUMMYFUNCTION("""COMPUTED_VALUE"""),6)</f>
        <v>6</v>
      </c>
      <c r="H1501" s="208"/>
      <c r="I1501" s="208"/>
      <c r="J1501" s="208"/>
      <c r="K1501" s="208"/>
      <c r="L1501" s="208" t="str">
        <v/>
      </c>
      <c r="M1501" s="208" t="str">
        <v/>
      </c>
    </row>
    <row r="1502" spans="1:13" ht="14.4">
      <c r="A1502" s="199" t="str">
        <f ca="1">IFERROR(__xludf.DUMMYFUNCTION("""COMPUTED_VALUE"""),"OH")</f>
        <v>OH</v>
      </c>
      <c r="B1502" s="207" t="str">
        <f ca="1">IFERROR(__xludf.DUMMYFUNCTION("""COMPUTED_VALUE"""),"Nicholas Riekse")</f>
        <v>Nicholas Riekse</v>
      </c>
      <c r="C1502" s="199">
        <f ca="1">IFERROR(__xludf.DUMMYFUNCTION("""COMPUTED_VALUE"""),8)</f>
        <v>8</v>
      </c>
      <c r="D1502" s="199" t="str">
        <f ca="1">IFERROR(__xludf.DUMMYFUNCTION("""COMPUTED_VALUE"""),"B")</f>
        <v>B</v>
      </c>
      <c r="E1502" s="202" t="str">
        <f ca="1">IFERROR(__xludf.DUMMYFUNCTION("""COMPUTED_VALUE"""),"F")</f>
        <v>F</v>
      </c>
      <c r="F1502" s="202" t="str">
        <f ca="1">IFERROR(__xludf.DUMMYFUNCTION("""COMPUTED_VALUE"""),"J")</f>
        <v>J</v>
      </c>
      <c r="G1502" s="202">
        <f ca="1">IFERROR(__xludf.DUMMYFUNCTION("""COMPUTED_VALUE"""),6)</f>
        <v>6</v>
      </c>
      <c r="H1502" s="208"/>
      <c r="I1502" s="208"/>
      <c r="J1502" s="208"/>
      <c r="K1502" s="208"/>
      <c r="L1502" s="208" t="str">
        <v/>
      </c>
      <c r="M1502" s="208" t="str">
        <v/>
      </c>
    </row>
    <row r="1503" spans="1:13" ht="14.4">
      <c r="A1503" s="199" t="str">
        <f ca="1">IFERROR(__xludf.DUMMYFUNCTION("""COMPUTED_VALUE"""),"OH")</f>
        <v>OH</v>
      </c>
      <c r="B1503" s="207" t="str">
        <f ca="1">IFERROR(__xludf.DUMMYFUNCTION("""COMPUTED_VALUE"""),"Ryan Fournier")</f>
        <v>Ryan Fournier</v>
      </c>
      <c r="C1503" s="199">
        <f ca="1">IFERROR(__xludf.DUMMYFUNCTION("""COMPUTED_VALUE"""),8)</f>
        <v>8</v>
      </c>
      <c r="D1503" s="199" t="str">
        <f ca="1">IFERROR(__xludf.DUMMYFUNCTION("""COMPUTED_VALUE"""),"B")</f>
        <v>B</v>
      </c>
      <c r="E1503" s="202" t="str">
        <f ca="1">IFERROR(__xludf.DUMMYFUNCTION("""COMPUTED_VALUE"""),"F")</f>
        <v>F</v>
      </c>
      <c r="F1503" s="202" t="str">
        <f ca="1">IFERROR(__xludf.DUMMYFUNCTION("""COMPUTED_VALUE"""),"J")</f>
        <v>J</v>
      </c>
      <c r="G1503" s="202">
        <f ca="1">IFERROR(__xludf.DUMMYFUNCTION("""COMPUTED_VALUE"""),6)</f>
        <v>6</v>
      </c>
      <c r="H1503" s="208"/>
      <c r="I1503" s="208">
        <v>26.7</v>
      </c>
      <c r="J1503" s="208"/>
      <c r="K1503" s="208" t="s">
        <v>121</v>
      </c>
      <c r="L1503" s="208" t="str">
        <v xml:space="preserve"> 26.7</v>
      </c>
      <c r="M1503" s="208" t="str">
        <v/>
      </c>
    </row>
    <row r="1504" spans="1:13" ht="14.4">
      <c r="A1504" s="199" t="str">
        <f ca="1">IFERROR(__xludf.DUMMYFUNCTION("""COMPUTED_VALUE"""),"OH")</f>
        <v>OH</v>
      </c>
      <c r="B1504" s="207" t="str">
        <f ca="1">IFERROR(__xludf.DUMMYFUNCTION("""COMPUTED_VALUE"""),"Trenton Smith")</f>
        <v>Trenton Smith</v>
      </c>
      <c r="C1504" s="199">
        <f ca="1">IFERROR(__xludf.DUMMYFUNCTION("""COMPUTED_VALUE"""),7)</f>
        <v>7</v>
      </c>
      <c r="D1504" s="199" t="str">
        <f ca="1">IFERROR(__xludf.DUMMYFUNCTION("""COMPUTED_VALUE"""),"B")</f>
        <v>B</v>
      </c>
      <c r="E1504" s="202" t="str">
        <f ca="1">IFERROR(__xludf.DUMMYFUNCTION("""COMPUTED_VALUE"""),"F")</f>
        <v>F</v>
      </c>
      <c r="F1504" s="202" t="str">
        <f ca="1">IFERROR(__xludf.DUMMYFUNCTION("""COMPUTED_VALUE"""),"J")</f>
        <v>J</v>
      </c>
      <c r="G1504" s="202">
        <f ca="1">IFERROR(__xludf.DUMMYFUNCTION("""COMPUTED_VALUE"""),6)</f>
        <v>6</v>
      </c>
      <c r="H1504" s="208"/>
      <c r="I1504" s="208"/>
      <c r="J1504" s="208"/>
      <c r="K1504" s="208"/>
      <c r="L1504" s="208" t="str">
        <v/>
      </c>
      <c r="M1504" s="208" t="str">
        <v/>
      </c>
    </row>
    <row r="1505" spans="1:13" ht="14.4">
      <c r="A1505" s="199" t="str">
        <f ca="1">IFERROR(__xludf.DUMMYFUNCTION("""COMPUTED_VALUE"""),"OH")</f>
        <v>OH</v>
      </c>
      <c r="B1505" s="207" t="str">
        <f ca="1">IFERROR(__xludf.DUMMYFUNCTION("""COMPUTED_VALUE"""),"Will Dickinson")</f>
        <v>Will Dickinson</v>
      </c>
      <c r="C1505" s="199">
        <f ca="1">IFERROR(__xludf.DUMMYFUNCTION("""COMPUTED_VALUE"""),6)</f>
        <v>6</v>
      </c>
      <c r="D1505" s="199" t="str">
        <f ca="1">IFERROR(__xludf.DUMMYFUNCTION("""COMPUTED_VALUE"""),"B")</f>
        <v>B</v>
      </c>
      <c r="E1505" s="202" t="str">
        <f ca="1">IFERROR(__xludf.DUMMYFUNCTION("""COMPUTED_VALUE"""),"F")</f>
        <v>F</v>
      </c>
      <c r="F1505" s="202" t="str">
        <f ca="1">IFERROR(__xludf.DUMMYFUNCTION("""COMPUTED_VALUE"""),"J")</f>
        <v>J</v>
      </c>
      <c r="G1505" s="202">
        <f ca="1">IFERROR(__xludf.DUMMYFUNCTION("""COMPUTED_VALUE"""),6)</f>
        <v>6</v>
      </c>
      <c r="H1505" s="208"/>
      <c r="I1505" s="208">
        <v>46.6</v>
      </c>
      <c r="J1505" s="208"/>
      <c r="K1505" s="208" t="s">
        <v>121</v>
      </c>
      <c r="L1505" s="208" t="str">
        <v xml:space="preserve"> 46.6</v>
      </c>
      <c r="M1505" s="208" t="str">
        <v/>
      </c>
    </row>
    <row r="1506" spans="1:13" ht="14.4">
      <c r="A1506" s="199" t="str">
        <f ca="1">IFERROR(__xludf.DUMMYFUNCTION("""COMPUTED_VALUE"""),"OH")</f>
        <v>OH</v>
      </c>
      <c r="B1506" s="207" t="str">
        <f ca="1">IFERROR(__xludf.DUMMYFUNCTION("""COMPUTED_VALUE"""),"Zack Stickel")</f>
        <v>Zack Stickel</v>
      </c>
      <c r="C1506" s="199">
        <f ca="1">IFERROR(__xludf.DUMMYFUNCTION("""COMPUTED_VALUE"""),7)</f>
        <v>7</v>
      </c>
      <c r="D1506" s="199" t="str">
        <f ca="1">IFERROR(__xludf.DUMMYFUNCTION("""COMPUTED_VALUE"""),"B")</f>
        <v>B</v>
      </c>
      <c r="E1506" s="202" t="str">
        <f ca="1">IFERROR(__xludf.DUMMYFUNCTION("""COMPUTED_VALUE"""),"F")</f>
        <v>F</v>
      </c>
      <c r="F1506" s="202" t="str">
        <f ca="1">IFERROR(__xludf.DUMMYFUNCTION("""COMPUTED_VALUE"""),"J")</f>
        <v>J</v>
      </c>
      <c r="G1506" s="202">
        <f ca="1">IFERROR(__xludf.DUMMYFUNCTION("""COMPUTED_VALUE"""),6)</f>
        <v>6</v>
      </c>
      <c r="H1506" s="208"/>
      <c r="I1506" s="208">
        <v>36.799999999999997</v>
      </c>
      <c r="J1506" s="208"/>
      <c r="K1506" s="208" t="s">
        <v>121</v>
      </c>
      <c r="L1506" s="208" t="str">
        <v xml:space="preserve"> 36.8</v>
      </c>
      <c r="M1506" s="208" t="str">
        <v/>
      </c>
    </row>
    <row r="1507" spans="1:13" ht="14.4">
      <c r="A1507" s="199" t="str">
        <f ca="1">IFERROR(__xludf.DUMMYFUNCTION("""COMPUTED_VALUE"""),"OH")</f>
        <v>OH</v>
      </c>
      <c r="B1507" s="207" t="str">
        <f ca="1">IFERROR(__xludf.DUMMYFUNCTION("""COMPUTED_VALUE"""),"Eima Riekse")</f>
        <v>Eima Riekse</v>
      </c>
      <c r="C1507" s="199">
        <f ca="1">IFERROR(__xludf.DUMMYFUNCTION("""COMPUTED_VALUE"""),10)</f>
        <v>10</v>
      </c>
      <c r="D1507" s="199" t="str">
        <f ca="1">IFERROR(__xludf.DUMMYFUNCTION("""COMPUTED_VALUE"""),"G")</f>
        <v>G</v>
      </c>
      <c r="E1507" s="202" t="str">
        <f ca="1">IFERROR(__xludf.DUMMYFUNCTION("""COMPUTED_VALUE"""),"F")</f>
        <v>F</v>
      </c>
      <c r="F1507" s="202" t="str">
        <f ca="1">IFERROR(__xludf.DUMMYFUNCTION("""COMPUTED_VALUE"""),"J")</f>
        <v>J</v>
      </c>
      <c r="G1507" s="202">
        <f ca="1">IFERROR(__xludf.DUMMYFUNCTION("""COMPUTED_VALUE"""),6)</f>
        <v>6</v>
      </c>
      <c r="H1507" s="206"/>
      <c r="I1507" s="206"/>
      <c r="J1507" s="206"/>
      <c r="K1507" s="206"/>
      <c r="L1507" s="206" t="str">
        <v/>
      </c>
      <c r="M1507" s="206" t="str">
        <v/>
      </c>
    </row>
    <row r="1508" spans="1:13" ht="14.4">
      <c r="A1508" s="199" t="str">
        <f ca="1">IFERROR(__xludf.DUMMYFUNCTION("""COMPUTED_VALUE"""),"OH")</f>
        <v>OH</v>
      </c>
      <c r="B1508" s="207" t="str">
        <f ca="1">IFERROR(__xludf.DUMMYFUNCTION("""COMPUTED_VALUE"""),"Gabby Heredia")</f>
        <v>Gabby Heredia</v>
      </c>
      <c r="C1508" s="199">
        <f ca="1">IFERROR(__xludf.DUMMYFUNCTION("""COMPUTED_VALUE"""),8)</f>
        <v>8</v>
      </c>
      <c r="D1508" s="199" t="str">
        <f ca="1">IFERROR(__xludf.DUMMYFUNCTION("""COMPUTED_VALUE"""),"G")</f>
        <v>G</v>
      </c>
      <c r="E1508" s="202" t="str">
        <f ca="1">IFERROR(__xludf.DUMMYFUNCTION("""COMPUTED_VALUE"""),"F")</f>
        <v>F</v>
      </c>
      <c r="F1508" s="202" t="str">
        <f ca="1">IFERROR(__xludf.DUMMYFUNCTION("""COMPUTED_VALUE"""),"J")</f>
        <v>J</v>
      </c>
      <c r="G1508" s="202">
        <f ca="1">IFERROR(__xludf.DUMMYFUNCTION("""COMPUTED_VALUE"""),6)</f>
        <v>6</v>
      </c>
      <c r="H1508" s="208">
        <v>57.45</v>
      </c>
      <c r="I1508" s="208"/>
      <c r="J1508" s="208" t="s">
        <v>121</v>
      </c>
      <c r="K1508" s="208"/>
      <c r="L1508" s="208" t="str">
        <v xml:space="preserve"> 57.45</v>
      </c>
      <c r="M1508" s="208" t="str">
        <v/>
      </c>
    </row>
    <row r="1509" spans="1:13" ht="14.4">
      <c r="A1509" s="199" t="str">
        <f ca="1">IFERROR(__xludf.DUMMYFUNCTION("""COMPUTED_VALUE"""),"OH")</f>
        <v>OH</v>
      </c>
      <c r="B1509" s="207" t="str">
        <f ca="1">IFERROR(__xludf.DUMMYFUNCTION("""COMPUTED_VALUE"""),"Kiera Carpenter")</f>
        <v>Kiera Carpenter</v>
      </c>
      <c r="C1509" s="199">
        <f ca="1">IFERROR(__xludf.DUMMYFUNCTION("""COMPUTED_VALUE"""),7)</f>
        <v>7</v>
      </c>
      <c r="D1509" s="199" t="str">
        <f ca="1">IFERROR(__xludf.DUMMYFUNCTION("""COMPUTED_VALUE"""),"G")</f>
        <v>G</v>
      </c>
      <c r="E1509" s="202" t="str">
        <f ca="1">IFERROR(__xludf.DUMMYFUNCTION("""COMPUTED_VALUE"""),"F")</f>
        <v>F</v>
      </c>
      <c r="F1509" s="202" t="str">
        <f ca="1">IFERROR(__xludf.DUMMYFUNCTION("""COMPUTED_VALUE"""),"J")</f>
        <v>J</v>
      </c>
      <c r="G1509" s="202">
        <f ca="1">IFERROR(__xludf.DUMMYFUNCTION("""COMPUTED_VALUE"""),6)</f>
        <v>6</v>
      </c>
      <c r="H1509" s="208">
        <v>31.4</v>
      </c>
      <c r="I1509" s="208"/>
      <c r="J1509" s="208" t="s">
        <v>121</v>
      </c>
      <c r="K1509" s="208"/>
      <c r="L1509" s="208" t="str">
        <v xml:space="preserve"> 31.4</v>
      </c>
      <c r="M1509" s="208" t="str">
        <v/>
      </c>
    </row>
    <row r="1510" spans="1:13" ht="14.4">
      <c r="A1510" s="199" t="str">
        <f ca="1">IFERROR(__xludf.DUMMYFUNCTION("""COMPUTED_VALUE"""),"OH")</f>
        <v>OH</v>
      </c>
      <c r="B1510" s="207" t="str">
        <f ca="1">IFERROR(__xludf.DUMMYFUNCTION("""COMPUTED_VALUE"""),"Kyra Drobnis")</f>
        <v>Kyra Drobnis</v>
      </c>
      <c r="C1510" s="199">
        <f ca="1">IFERROR(__xludf.DUMMYFUNCTION("""COMPUTED_VALUE"""),8)</f>
        <v>8</v>
      </c>
      <c r="D1510" s="199" t="str">
        <f ca="1">IFERROR(__xludf.DUMMYFUNCTION("""COMPUTED_VALUE"""),"G")</f>
        <v>G</v>
      </c>
      <c r="E1510" s="202" t="str">
        <f ca="1">IFERROR(__xludf.DUMMYFUNCTION("""COMPUTED_VALUE"""),"F")</f>
        <v>F</v>
      </c>
      <c r="F1510" s="202" t="str">
        <f ca="1">IFERROR(__xludf.DUMMYFUNCTION("""COMPUTED_VALUE"""),"J")</f>
        <v>J</v>
      </c>
      <c r="G1510" s="202">
        <f ca="1">IFERROR(__xludf.DUMMYFUNCTION("""COMPUTED_VALUE"""),6)</f>
        <v>6</v>
      </c>
      <c r="H1510" s="206">
        <v>38.85</v>
      </c>
      <c r="I1510" s="206"/>
      <c r="J1510" s="206" t="s">
        <v>121</v>
      </c>
      <c r="K1510" s="206"/>
      <c r="L1510" s="206" t="str">
        <v xml:space="preserve"> 38.85</v>
      </c>
      <c r="M1510" s="206" t="str">
        <v/>
      </c>
    </row>
    <row r="1511" spans="1:13" ht="14.4">
      <c r="A1511" s="199" t="str">
        <f ca="1">IFERROR(__xludf.DUMMYFUNCTION("""COMPUTED_VALUE"""),"OH")</f>
        <v>OH</v>
      </c>
      <c r="B1511" s="207" t="str">
        <f ca="1">IFERROR(__xludf.DUMMYFUNCTION("""COMPUTED_VALUE"""),"Roxie Griffith")</f>
        <v>Roxie Griffith</v>
      </c>
      <c r="C1511" s="199">
        <f ca="1">IFERROR(__xludf.DUMMYFUNCTION("""COMPUTED_VALUE"""),10)</f>
        <v>10</v>
      </c>
      <c r="D1511" s="199" t="str">
        <f ca="1">IFERROR(__xludf.DUMMYFUNCTION("""COMPUTED_VALUE"""),"G")</f>
        <v>G</v>
      </c>
      <c r="E1511" s="202" t="str">
        <f ca="1">IFERROR(__xludf.DUMMYFUNCTION("""COMPUTED_VALUE"""),"F")</f>
        <v>F</v>
      </c>
      <c r="F1511" s="202" t="str">
        <f ca="1">IFERROR(__xludf.DUMMYFUNCTION("""COMPUTED_VALUE"""),"J")</f>
        <v>J</v>
      </c>
      <c r="G1511" s="202">
        <f ca="1">IFERROR(__xludf.DUMMYFUNCTION("""COMPUTED_VALUE"""),6)</f>
        <v>6</v>
      </c>
      <c r="H1511" s="208">
        <v>41.19</v>
      </c>
      <c r="I1511" s="208"/>
      <c r="J1511" s="208" t="s">
        <v>121</v>
      </c>
      <c r="K1511" s="208"/>
      <c r="L1511" s="208" t="str">
        <v xml:space="preserve"> 41.19</v>
      </c>
      <c r="M1511" s="208" t="str">
        <v/>
      </c>
    </row>
    <row r="1512" spans="1:13" ht="14.4">
      <c r="A1512" s="199" t="str">
        <f ca="1">IFERROR(__xludf.DUMMYFUNCTION("""COMPUTED_VALUE"""),"OH")</f>
        <v>OH</v>
      </c>
      <c r="B1512" s="207" t="str">
        <f ca="1">IFERROR(__xludf.DUMMYFUNCTION("""COMPUTED_VALUE"""),"Samantha Berona")</f>
        <v>Samantha Berona</v>
      </c>
      <c r="C1512" s="199">
        <f ca="1">IFERROR(__xludf.DUMMYFUNCTION("""COMPUTED_VALUE"""),6)</f>
        <v>6</v>
      </c>
      <c r="D1512" s="199" t="str">
        <f ca="1">IFERROR(__xludf.DUMMYFUNCTION("""COMPUTED_VALUE"""),"G")</f>
        <v>G</v>
      </c>
      <c r="E1512" s="202" t="str">
        <f ca="1">IFERROR(__xludf.DUMMYFUNCTION("""COMPUTED_VALUE"""),"F")</f>
        <v>F</v>
      </c>
      <c r="F1512" s="202" t="str">
        <f ca="1">IFERROR(__xludf.DUMMYFUNCTION("""COMPUTED_VALUE"""),"J")</f>
        <v>J</v>
      </c>
      <c r="G1512" s="202">
        <f ca="1">IFERROR(__xludf.DUMMYFUNCTION("""COMPUTED_VALUE"""),6)</f>
        <v>6</v>
      </c>
      <c r="H1512" s="208"/>
      <c r="I1512" s="208"/>
      <c r="J1512" s="208"/>
      <c r="K1512" s="208"/>
      <c r="L1512" s="208" t="str">
        <v/>
      </c>
      <c r="M1512" s="208" t="str">
        <v/>
      </c>
    </row>
    <row r="1513" spans="1:13" ht="14.4">
      <c r="A1513" s="199" t="str">
        <f ca="1">IFERROR(__xludf.DUMMYFUNCTION("""COMPUTED_VALUE"""),"OH")</f>
        <v>OH</v>
      </c>
      <c r="B1513" s="207" t="str">
        <f ca="1">IFERROR(__xludf.DUMMYFUNCTION("""COMPUTED_VALUE"""),"Sarcha Bain")</f>
        <v>Sarcha Bain</v>
      </c>
      <c r="C1513" s="199">
        <f ca="1">IFERROR(__xludf.DUMMYFUNCTION("""COMPUTED_VALUE"""),7)</f>
        <v>7</v>
      </c>
      <c r="D1513" s="199" t="str">
        <f ca="1">IFERROR(__xludf.DUMMYFUNCTION("""COMPUTED_VALUE"""),"G")</f>
        <v>G</v>
      </c>
      <c r="E1513" s="202" t="str">
        <f ca="1">IFERROR(__xludf.DUMMYFUNCTION("""COMPUTED_VALUE"""),"F")</f>
        <v>F</v>
      </c>
      <c r="F1513" s="202" t="str">
        <f ca="1">IFERROR(__xludf.DUMMYFUNCTION("""COMPUTED_VALUE"""),"J")</f>
        <v>J</v>
      </c>
      <c r="G1513" s="202">
        <f ca="1">IFERROR(__xludf.DUMMYFUNCTION("""COMPUTED_VALUE"""),6)</f>
        <v>6</v>
      </c>
      <c r="H1513" s="206"/>
      <c r="I1513" s="206"/>
      <c r="J1513" s="206"/>
      <c r="K1513" s="206"/>
      <c r="L1513" s="206" t="str">
        <v/>
      </c>
      <c r="M1513" s="206" t="str">
        <v/>
      </c>
    </row>
    <row r="1514" spans="1:13" ht="14.4">
      <c r="A1514" s="199" t="str">
        <f ca="1">IFERROR(__xludf.DUMMYFUNCTION("""COMPUTED_VALUE"""),"OH")</f>
        <v>OH</v>
      </c>
      <c r="B1514" s="207" t="str">
        <f ca="1">IFERROR(__xludf.DUMMYFUNCTION("""COMPUTED_VALUE"""),"Tinsley Schneider")</f>
        <v>Tinsley Schneider</v>
      </c>
      <c r="C1514" s="199">
        <f ca="1">IFERROR(__xludf.DUMMYFUNCTION("""COMPUTED_VALUE"""),7)</f>
        <v>7</v>
      </c>
      <c r="D1514" s="199" t="str">
        <f ca="1">IFERROR(__xludf.DUMMYFUNCTION("""COMPUTED_VALUE"""),"G")</f>
        <v>G</v>
      </c>
      <c r="E1514" s="202" t="str">
        <f ca="1">IFERROR(__xludf.DUMMYFUNCTION("""COMPUTED_VALUE"""),"F")</f>
        <v>F</v>
      </c>
      <c r="F1514" s="202" t="str">
        <f ca="1">IFERROR(__xludf.DUMMYFUNCTION("""COMPUTED_VALUE"""),"J")</f>
        <v>J</v>
      </c>
      <c r="G1514" s="202">
        <f ca="1">IFERROR(__xludf.DUMMYFUNCTION("""COMPUTED_VALUE"""),6)</f>
        <v>6</v>
      </c>
      <c r="H1514" s="208"/>
      <c r="I1514" s="208"/>
      <c r="J1514" s="208"/>
      <c r="K1514" s="208"/>
      <c r="L1514" s="208" t="str">
        <v/>
      </c>
      <c r="M1514" s="208" t="str">
        <v/>
      </c>
    </row>
    <row r="1515" spans="1:13" ht="14.4">
      <c r="A1515" s="199" t="str">
        <f ca="1">IFERROR(__xludf.DUMMYFUNCTION("""COMPUTED_VALUE"""),"OH")</f>
        <v>OH</v>
      </c>
      <c r="B1515" s="207" t="str">
        <f ca="1">IFERROR(__xludf.DUMMYFUNCTION("""COMPUTED_VALUE"""),"Grant McClure")</f>
        <v>Grant McClure</v>
      </c>
      <c r="C1515" s="199">
        <f ca="1">IFERROR(__xludf.DUMMYFUNCTION("""COMPUTED_VALUE"""),13)</f>
        <v>13</v>
      </c>
      <c r="D1515" s="199" t="str">
        <f ca="1">IFERROR(__xludf.DUMMYFUNCTION("""COMPUTED_VALUE"""),"B")</f>
        <v>B</v>
      </c>
      <c r="E1515" s="202" t="str">
        <f ca="1">IFERROR(__xludf.DUMMYFUNCTION("""COMPUTED_VALUE"""),"I")</f>
        <v>I</v>
      </c>
      <c r="F1515" s="202" t="str">
        <f ca="1">IFERROR(__xludf.DUMMYFUNCTION("""COMPUTED_VALUE"""),"S")</f>
        <v>S</v>
      </c>
      <c r="G1515" s="202">
        <f ca="1">IFERROR(__xludf.DUMMYFUNCTION("""COMPUTED_VALUE"""),6)</f>
        <v>6</v>
      </c>
      <c r="H1515" s="206"/>
      <c r="I1515" s="206">
        <v>107.4</v>
      </c>
      <c r="J1515" s="206"/>
      <c r="K1515" s="206" t="s">
        <v>121</v>
      </c>
      <c r="L1515" s="206" t="str">
        <v xml:space="preserve"> 107.4</v>
      </c>
      <c r="M1515" s="206" t="str">
        <v/>
      </c>
    </row>
    <row r="1516" spans="1:13" ht="14.4">
      <c r="A1516" s="199" t="str">
        <f ca="1">IFERROR(__xludf.DUMMYFUNCTION("""COMPUTED_VALUE"""),"OH")</f>
        <v>OH</v>
      </c>
      <c r="B1516" s="207" t="str">
        <f ca="1">IFERROR(__xludf.DUMMYFUNCTION("""COMPUTED_VALUE"""),"Danie Wolfe")</f>
        <v>Danie Wolfe</v>
      </c>
      <c r="C1516" s="199">
        <f ca="1">IFERROR(__xludf.DUMMYFUNCTION("""COMPUTED_VALUE"""),13)</f>
        <v>13</v>
      </c>
      <c r="D1516" s="199" t="str">
        <f ca="1">IFERROR(__xludf.DUMMYFUNCTION("""COMPUTED_VALUE"""),"G")</f>
        <v>G</v>
      </c>
      <c r="E1516" s="202" t="str">
        <f ca="1">IFERROR(__xludf.DUMMYFUNCTION("""COMPUTED_VALUE"""),"I")</f>
        <v>I</v>
      </c>
      <c r="F1516" s="202" t="str">
        <f ca="1">IFERROR(__xludf.DUMMYFUNCTION("""COMPUTED_VALUE"""),"S")</f>
        <v>S</v>
      </c>
      <c r="G1516" s="202">
        <f ca="1">IFERROR(__xludf.DUMMYFUNCTION("""COMPUTED_VALUE"""),6)</f>
        <v>6</v>
      </c>
      <c r="H1516" s="206">
        <v>88.25</v>
      </c>
      <c r="I1516" s="206"/>
      <c r="J1516" s="206" t="s">
        <v>121</v>
      </c>
      <c r="K1516" s="206"/>
      <c r="L1516" s="206" t="str">
        <v xml:space="preserve"> 88.25</v>
      </c>
      <c r="M1516" s="206" t="str">
        <v/>
      </c>
    </row>
    <row r="1517" spans="1:13" ht="14.4">
      <c r="A1517" s="199" t="str">
        <f ca="1">IFERROR(__xludf.DUMMYFUNCTION("""COMPUTED_VALUE"""),"OH")</f>
        <v>OH</v>
      </c>
      <c r="B1517" s="207" t="str">
        <f ca="1">IFERROR(__xludf.DUMMYFUNCTION("""COMPUTED_VALUE"""),"Kotryna Bujokas")</f>
        <v>Kotryna Bujokas</v>
      </c>
      <c r="C1517" s="199">
        <f ca="1">IFERROR(__xludf.DUMMYFUNCTION("""COMPUTED_VALUE"""),13)</f>
        <v>13</v>
      </c>
      <c r="D1517" s="199" t="str">
        <f ca="1">IFERROR(__xludf.DUMMYFUNCTION("""COMPUTED_VALUE"""),"G")</f>
        <v>G</v>
      </c>
      <c r="E1517" s="202" t="str">
        <f ca="1">IFERROR(__xludf.DUMMYFUNCTION("""COMPUTED_VALUE"""),"I")</f>
        <v>I</v>
      </c>
      <c r="F1517" s="202" t="str">
        <f ca="1">IFERROR(__xludf.DUMMYFUNCTION("""COMPUTED_VALUE"""),"S")</f>
        <v>S</v>
      </c>
      <c r="G1517" s="202">
        <f ca="1">IFERROR(__xludf.DUMMYFUNCTION("""COMPUTED_VALUE"""),6)</f>
        <v>6</v>
      </c>
      <c r="H1517" s="206">
        <v>111.95</v>
      </c>
      <c r="I1517" s="206"/>
      <c r="J1517" s="206" t="s">
        <v>121</v>
      </c>
      <c r="K1517" s="206"/>
      <c r="L1517" s="206" t="str">
        <v xml:space="preserve"> 111.95</v>
      </c>
      <c r="M1517" s="206" t="str">
        <v/>
      </c>
    </row>
    <row r="1518" spans="1:13" ht="14.4">
      <c r="A1518" s="199" t="str">
        <f ca="1">IFERROR(__xludf.DUMMYFUNCTION("""COMPUTED_VALUE"""),"OH")</f>
        <v>OH</v>
      </c>
      <c r="B1518" s="207" t="str">
        <f ca="1">IFERROR(__xludf.DUMMYFUNCTION("""COMPUTED_VALUE"""),"Zumi Riekse")</f>
        <v>Zumi Riekse</v>
      </c>
      <c r="C1518" s="199">
        <f ca="1">IFERROR(__xludf.DUMMYFUNCTION("""COMPUTED_VALUE"""),14)</f>
        <v>14</v>
      </c>
      <c r="D1518" s="199" t="str">
        <f ca="1">IFERROR(__xludf.DUMMYFUNCTION("""COMPUTED_VALUE"""),"G")</f>
        <v>G</v>
      </c>
      <c r="E1518" s="202" t="str">
        <f ca="1">IFERROR(__xludf.DUMMYFUNCTION("""COMPUTED_VALUE"""),"I")</f>
        <v>I</v>
      </c>
      <c r="F1518" s="202" t="str">
        <f ca="1">IFERROR(__xludf.DUMMYFUNCTION("""COMPUTED_VALUE"""),"S")</f>
        <v>S</v>
      </c>
      <c r="G1518" s="202">
        <f ca="1">IFERROR(__xludf.DUMMYFUNCTION("""COMPUTED_VALUE"""),6)</f>
        <v>6</v>
      </c>
      <c r="H1518" s="208"/>
      <c r="I1518" s="208"/>
      <c r="J1518" s="208"/>
      <c r="K1518" s="208"/>
      <c r="L1518" s="208" t="str">
        <v/>
      </c>
      <c r="M1518" s="208" t="str">
        <v/>
      </c>
    </row>
    <row r="1519" spans="1:13" ht="14.4">
      <c r="A1519" s="199" t="str">
        <f ca="1">IFERROR(__xludf.DUMMYFUNCTION("""COMPUTED_VALUE"""),"OH")</f>
        <v>OH</v>
      </c>
      <c r="B1519" s="207" t="str">
        <f ca="1">IFERROR(__xludf.DUMMYFUNCTION("""COMPUTED_VALUE"""),"Caleb Urias")</f>
        <v>Caleb Urias</v>
      </c>
      <c r="C1519" s="199">
        <f ca="1">IFERROR(__xludf.DUMMYFUNCTION("""COMPUTED_VALUE"""),11)</f>
        <v>11</v>
      </c>
      <c r="D1519" s="199" t="str">
        <f ca="1">IFERROR(__xludf.DUMMYFUNCTION("""COMPUTED_VALUE"""),"B")</f>
        <v>B</v>
      </c>
      <c r="E1519" s="202" t="str">
        <f ca="1">IFERROR(__xludf.DUMMYFUNCTION("""COMPUTED_VALUE"""),"J")</f>
        <v>J</v>
      </c>
      <c r="F1519" s="202" t="str">
        <f ca="1">IFERROR(__xludf.DUMMYFUNCTION("""COMPUTED_VALUE"""),"I")</f>
        <v>I</v>
      </c>
      <c r="G1519" s="202">
        <f ca="1">IFERROR(__xludf.DUMMYFUNCTION("""COMPUTED_VALUE"""),6)</f>
        <v>6</v>
      </c>
      <c r="H1519" s="208"/>
      <c r="I1519" s="208">
        <v>54.25</v>
      </c>
      <c r="J1519" s="208"/>
      <c r="K1519" s="208" t="s">
        <v>121</v>
      </c>
      <c r="L1519" s="208" t="str">
        <v xml:space="preserve"> 54.25</v>
      </c>
      <c r="M1519" s="208" t="str">
        <v/>
      </c>
    </row>
    <row r="1520" spans="1:13" ht="14.4">
      <c r="A1520" s="199" t="str">
        <f ca="1">IFERROR(__xludf.DUMMYFUNCTION("""COMPUTED_VALUE"""),"OH")</f>
        <v>OH</v>
      </c>
      <c r="B1520" s="207" t="str">
        <f ca="1">IFERROR(__xludf.DUMMYFUNCTION("""COMPUTED_VALUE"""),"Casper Bing")</f>
        <v>Casper Bing</v>
      </c>
      <c r="C1520" s="199">
        <f ca="1">IFERROR(__xludf.DUMMYFUNCTION("""COMPUTED_VALUE"""),12)</f>
        <v>12</v>
      </c>
      <c r="D1520" s="199" t="str">
        <f ca="1">IFERROR(__xludf.DUMMYFUNCTION("""COMPUTED_VALUE"""),"B")</f>
        <v>B</v>
      </c>
      <c r="E1520" s="202" t="str">
        <f ca="1">IFERROR(__xludf.DUMMYFUNCTION("""COMPUTED_VALUE"""),"J")</f>
        <v>J</v>
      </c>
      <c r="F1520" s="202" t="str">
        <f ca="1">IFERROR(__xludf.DUMMYFUNCTION("""COMPUTED_VALUE"""),"I")</f>
        <v>I</v>
      </c>
      <c r="G1520" s="202">
        <f ca="1">IFERROR(__xludf.DUMMYFUNCTION("""COMPUTED_VALUE"""),6)</f>
        <v>6</v>
      </c>
      <c r="H1520" s="206"/>
      <c r="I1520" s="206">
        <v>71.599999999999994</v>
      </c>
      <c r="J1520" s="206"/>
      <c r="K1520" s="206" t="s">
        <v>121</v>
      </c>
      <c r="L1520" s="206" t="str">
        <v xml:space="preserve"> 71.6</v>
      </c>
      <c r="M1520" s="206" t="str">
        <v/>
      </c>
    </row>
    <row r="1521" spans="1:13" ht="14.4">
      <c r="A1521" s="199" t="str">
        <f ca="1">IFERROR(__xludf.DUMMYFUNCTION("""COMPUTED_VALUE"""),"OH")</f>
        <v>OH</v>
      </c>
      <c r="B1521" s="207" t="str">
        <f ca="1">IFERROR(__xludf.DUMMYFUNCTION("""COMPUTED_VALUE"""),"Jayden Perry")</f>
        <v>Jayden Perry</v>
      </c>
      <c r="C1521" s="199">
        <f ca="1">IFERROR(__xludf.DUMMYFUNCTION("""COMPUTED_VALUE"""),12)</f>
        <v>12</v>
      </c>
      <c r="D1521" s="199" t="str">
        <f ca="1">IFERROR(__xludf.DUMMYFUNCTION("""COMPUTED_VALUE"""),"B")</f>
        <v>B</v>
      </c>
      <c r="E1521" s="202" t="str">
        <f ca="1">IFERROR(__xludf.DUMMYFUNCTION("""COMPUTED_VALUE"""),"J")</f>
        <v>J</v>
      </c>
      <c r="F1521" s="202" t="str">
        <f ca="1">IFERROR(__xludf.DUMMYFUNCTION("""COMPUTED_VALUE"""),"I")</f>
        <v>I</v>
      </c>
      <c r="G1521" s="202">
        <f ca="1">IFERROR(__xludf.DUMMYFUNCTION("""COMPUTED_VALUE"""),6)</f>
        <v>6</v>
      </c>
      <c r="H1521" s="206"/>
      <c r="I1521" s="206">
        <v>83</v>
      </c>
      <c r="J1521" s="206"/>
      <c r="K1521" s="206" t="s">
        <v>121</v>
      </c>
      <c r="L1521" s="206" t="str">
        <v xml:space="preserve"> 83</v>
      </c>
      <c r="M1521" s="206" t="str">
        <v/>
      </c>
    </row>
    <row r="1522" spans="1:13" ht="14.4">
      <c r="A1522" s="199" t="str">
        <f ca="1">IFERROR(__xludf.DUMMYFUNCTION("""COMPUTED_VALUE"""),"OH")</f>
        <v>OH</v>
      </c>
      <c r="B1522" s="207" t="str">
        <f ca="1">IFERROR(__xludf.DUMMYFUNCTION("""COMPUTED_VALUE"""),"Luke Stickel")</f>
        <v>Luke Stickel</v>
      </c>
      <c r="C1522" s="199">
        <f ca="1">IFERROR(__xludf.DUMMYFUNCTION("""COMPUTED_VALUE"""),11)</f>
        <v>11</v>
      </c>
      <c r="D1522" s="199" t="str">
        <f ca="1">IFERROR(__xludf.DUMMYFUNCTION("""COMPUTED_VALUE"""),"B")</f>
        <v>B</v>
      </c>
      <c r="E1522" s="202" t="str">
        <f ca="1">IFERROR(__xludf.DUMMYFUNCTION("""COMPUTED_VALUE"""),"J")</f>
        <v>J</v>
      </c>
      <c r="F1522" s="202" t="str">
        <f ca="1">IFERROR(__xludf.DUMMYFUNCTION("""COMPUTED_VALUE"""),"I")</f>
        <v>I</v>
      </c>
      <c r="G1522" s="202">
        <f ca="1">IFERROR(__xludf.DUMMYFUNCTION("""COMPUTED_VALUE"""),6)</f>
        <v>6</v>
      </c>
      <c r="H1522" s="206"/>
      <c r="I1522" s="206">
        <v>57.85</v>
      </c>
      <c r="J1522" s="206"/>
      <c r="K1522" s="206" t="s">
        <v>121</v>
      </c>
      <c r="L1522" s="206" t="str">
        <v xml:space="preserve"> 57.85</v>
      </c>
      <c r="M1522" s="206" t="str">
        <v/>
      </c>
    </row>
    <row r="1523" spans="1:13" ht="14.4">
      <c r="A1523" s="199" t="str">
        <f ca="1">IFERROR(__xludf.DUMMYFUNCTION("""COMPUTED_VALUE"""),"OH")</f>
        <v>OH</v>
      </c>
      <c r="B1523" s="207" t="str">
        <f ca="1">IFERROR(__xludf.DUMMYFUNCTION("""COMPUTED_VALUE"""),"Michael Neville")</f>
        <v>Michael Neville</v>
      </c>
      <c r="C1523" s="199">
        <f ca="1">IFERROR(__xludf.DUMMYFUNCTION("""COMPUTED_VALUE"""),12)</f>
        <v>12</v>
      </c>
      <c r="D1523" s="199" t="str">
        <f ca="1">IFERROR(__xludf.DUMMYFUNCTION("""COMPUTED_VALUE"""),"B")</f>
        <v>B</v>
      </c>
      <c r="E1523" s="202" t="str">
        <f ca="1">IFERROR(__xludf.DUMMYFUNCTION("""COMPUTED_VALUE"""),"J")</f>
        <v>J</v>
      </c>
      <c r="F1523" s="202" t="str">
        <f ca="1">IFERROR(__xludf.DUMMYFUNCTION("""COMPUTED_VALUE"""),"I")</f>
        <v>I</v>
      </c>
      <c r="G1523" s="202">
        <f ca="1">IFERROR(__xludf.DUMMYFUNCTION("""COMPUTED_VALUE"""),6)</f>
        <v>6</v>
      </c>
      <c r="H1523" s="206"/>
      <c r="I1523" s="206">
        <v>63.65</v>
      </c>
      <c r="J1523" s="206"/>
      <c r="K1523" s="206" t="s">
        <v>121</v>
      </c>
      <c r="L1523" s="206" t="str">
        <v xml:space="preserve"> 63.65</v>
      </c>
      <c r="M1523" s="206" t="str">
        <v/>
      </c>
    </row>
    <row r="1524" spans="1:13" ht="14.4">
      <c r="A1524" s="199" t="str">
        <f ca="1">IFERROR(__xludf.DUMMYFUNCTION("""COMPUTED_VALUE"""),"OH")</f>
        <v>OH</v>
      </c>
      <c r="B1524" s="207" t="str">
        <f ca="1">IFERROR(__xludf.DUMMYFUNCTION("""COMPUTED_VALUE"""),"Bethany Telleria")</f>
        <v>Bethany Telleria</v>
      </c>
      <c r="C1524" s="199">
        <f ca="1">IFERROR(__xludf.DUMMYFUNCTION("""COMPUTED_VALUE"""),12)</f>
        <v>12</v>
      </c>
      <c r="D1524" s="199" t="str">
        <f ca="1">IFERROR(__xludf.DUMMYFUNCTION("""COMPUTED_VALUE"""),"G")</f>
        <v>G</v>
      </c>
      <c r="E1524" s="202" t="str">
        <f ca="1">IFERROR(__xludf.DUMMYFUNCTION("""COMPUTED_VALUE"""),"J")</f>
        <v>J</v>
      </c>
      <c r="F1524" s="202" t="str">
        <f ca="1">IFERROR(__xludf.DUMMYFUNCTION("""COMPUTED_VALUE"""),"I")</f>
        <v>I</v>
      </c>
      <c r="G1524" s="202">
        <f ca="1">IFERROR(__xludf.DUMMYFUNCTION("""COMPUTED_VALUE"""),6)</f>
        <v>6</v>
      </c>
      <c r="H1524" s="206">
        <v>83.15</v>
      </c>
      <c r="I1524" s="206"/>
      <c r="J1524" s="206" t="s">
        <v>121</v>
      </c>
      <c r="K1524" s="206"/>
      <c r="L1524" s="206" t="str">
        <v xml:space="preserve"> 83.15</v>
      </c>
      <c r="M1524" s="206" t="str">
        <v/>
      </c>
    </row>
    <row r="1525" spans="1:13" ht="14.4">
      <c r="A1525" s="199" t="str">
        <f ca="1">IFERROR(__xludf.DUMMYFUNCTION("""COMPUTED_VALUE"""),"OH")</f>
        <v>OH</v>
      </c>
      <c r="B1525" s="207" t="str">
        <f ca="1">IFERROR(__xludf.DUMMYFUNCTION("""COMPUTED_VALUE"""),"Brianna Land Riekse")</f>
        <v>Brianna Land Riekse</v>
      </c>
      <c r="C1525" s="199">
        <f ca="1">IFERROR(__xludf.DUMMYFUNCTION("""COMPUTED_VALUE"""),11)</f>
        <v>11</v>
      </c>
      <c r="D1525" s="199" t="str">
        <f ca="1">IFERROR(__xludf.DUMMYFUNCTION("""COMPUTED_VALUE"""),"G")</f>
        <v>G</v>
      </c>
      <c r="E1525" s="202" t="str">
        <f ca="1">IFERROR(__xludf.DUMMYFUNCTION("""COMPUTED_VALUE"""),"J")</f>
        <v>J</v>
      </c>
      <c r="F1525" s="202" t="str">
        <f ca="1">IFERROR(__xludf.DUMMYFUNCTION("""COMPUTED_VALUE"""),"I")</f>
        <v>I</v>
      </c>
      <c r="G1525" s="202">
        <f ca="1">IFERROR(__xludf.DUMMYFUNCTION("""COMPUTED_VALUE"""),6)</f>
        <v>6</v>
      </c>
      <c r="H1525" s="208">
        <v>67.75</v>
      </c>
      <c r="I1525" s="208"/>
      <c r="J1525" s="208" t="s">
        <v>121</v>
      </c>
      <c r="K1525" s="208"/>
      <c r="L1525" s="208" t="str">
        <v xml:space="preserve"> 67.75</v>
      </c>
      <c r="M1525" s="208" t="str">
        <v/>
      </c>
    </row>
    <row r="1526" spans="1:13" ht="14.4">
      <c r="A1526" s="199" t="str">
        <f ca="1">IFERROR(__xludf.DUMMYFUNCTION("""COMPUTED_VALUE"""),"OH")</f>
        <v>OH</v>
      </c>
      <c r="B1526" s="207" t="str">
        <f ca="1">IFERROR(__xludf.DUMMYFUNCTION("""COMPUTED_VALUE"""),"Lucy Barber")</f>
        <v>Lucy Barber</v>
      </c>
      <c r="C1526" s="199">
        <f ca="1">IFERROR(__xludf.DUMMYFUNCTION("""COMPUTED_VALUE"""),12)</f>
        <v>12</v>
      </c>
      <c r="D1526" s="199" t="str">
        <f ca="1">IFERROR(__xludf.DUMMYFUNCTION("""COMPUTED_VALUE"""),"G")</f>
        <v>G</v>
      </c>
      <c r="E1526" s="202" t="str">
        <f ca="1">IFERROR(__xludf.DUMMYFUNCTION("""COMPUTED_VALUE"""),"J")</f>
        <v>J</v>
      </c>
      <c r="F1526" s="202" t="str">
        <f ca="1">IFERROR(__xludf.DUMMYFUNCTION("""COMPUTED_VALUE"""),"I")</f>
        <v>I</v>
      </c>
      <c r="G1526" s="202">
        <f ca="1">IFERROR(__xludf.DUMMYFUNCTION("""COMPUTED_VALUE"""),6)</f>
        <v>6</v>
      </c>
      <c r="H1526" s="206">
        <v>62.45</v>
      </c>
      <c r="I1526" s="206"/>
      <c r="J1526" s="206" t="s">
        <v>121</v>
      </c>
      <c r="K1526" s="206"/>
      <c r="L1526" s="206" t="str">
        <v xml:space="preserve"> 62.45</v>
      </c>
      <c r="M1526" s="206" t="str">
        <v/>
      </c>
    </row>
    <row r="1527" spans="1:13" ht="14.4">
      <c r="A1527" s="199" t="str">
        <f ca="1">IFERROR(__xludf.DUMMYFUNCTION("""COMPUTED_VALUE"""),"OH")</f>
        <v>OH</v>
      </c>
      <c r="B1527" s="207" t="str">
        <f ca="1">IFERROR(__xludf.DUMMYFUNCTION("""COMPUTED_VALUE"""),"Rebecca Drobnis")</f>
        <v>Rebecca Drobnis</v>
      </c>
      <c r="C1527" s="199">
        <f ca="1">IFERROR(__xludf.DUMMYFUNCTION("""COMPUTED_VALUE"""),11)</f>
        <v>11</v>
      </c>
      <c r="D1527" s="199" t="str">
        <f ca="1">IFERROR(__xludf.DUMMYFUNCTION("""COMPUTED_VALUE"""),"G")</f>
        <v>G</v>
      </c>
      <c r="E1527" s="202" t="str">
        <f ca="1">IFERROR(__xludf.DUMMYFUNCTION("""COMPUTED_VALUE"""),"J")</f>
        <v>J</v>
      </c>
      <c r="F1527" s="202" t="str">
        <f ca="1">IFERROR(__xludf.DUMMYFUNCTION("""COMPUTED_VALUE"""),"I")</f>
        <v>I</v>
      </c>
      <c r="G1527" s="202">
        <f ca="1">IFERROR(__xludf.DUMMYFUNCTION("""COMPUTED_VALUE"""),6)</f>
        <v>6</v>
      </c>
      <c r="H1527" s="206">
        <v>93.4</v>
      </c>
      <c r="I1527" s="206"/>
      <c r="J1527" s="206" t="s">
        <v>121</v>
      </c>
      <c r="K1527" s="206"/>
      <c r="L1527" s="206" t="str">
        <v xml:space="preserve"> 93.4</v>
      </c>
      <c r="M1527" s="206" t="str">
        <v/>
      </c>
    </row>
    <row r="1528" spans="1:13" ht="14.4">
      <c r="A1528" s="199" t="str">
        <f ca="1">IFERROR(__xludf.DUMMYFUNCTION("""COMPUTED_VALUE"""),"OH")</f>
        <v>OH</v>
      </c>
      <c r="B1528" s="207" t="str">
        <f ca="1">IFERROR(__xludf.DUMMYFUNCTION("""COMPUTED_VALUE"""),"Maggie Toth")</f>
        <v>Maggie Toth</v>
      </c>
      <c r="C1528" s="199">
        <f ca="1">IFERROR(__xludf.DUMMYFUNCTION("""COMPUTED_VALUE"""),18)</f>
        <v>18</v>
      </c>
      <c r="D1528" s="199" t="str">
        <f ca="1">IFERROR(__xludf.DUMMYFUNCTION("""COMPUTED_VALUE"""),"G")</f>
        <v>G</v>
      </c>
      <c r="E1528" s="202" t="str">
        <f ca="1">IFERROR(__xludf.DUMMYFUNCTION("""COMPUTED_VALUE"""),"S")</f>
        <v>S</v>
      </c>
      <c r="F1528" s="202" t="str">
        <f ca="1">IFERROR(__xludf.DUMMYFUNCTION("""COMPUTED_VALUE"""),"S")</f>
        <v>S</v>
      </c>
      <c r="G1528" s="202">
        <f ca="1">IFERROR(__xludf.DUMMYFUNCTION("""COMPUTED_VALUE"""),6)</f>
        <v>6</v>
      </c>
      <c r="H1528" s="208">
        <v>176.55</v>
      </c>
      <c r="I1528" s="208"/>
      <c r="J1528" s="208" t="s">
        <v>121</v>
      </c>
      <c r="K1528" s="208"/>
      <c r="L1528" s="208" t="str">
        <v xml:space="preserve"> 176.55</v>
      </c>
      <c r="M1528" s="208" t="str">
        <v/>
      </c>
    </row>
    <row r="1529" spans="1:13" ht="14.4">
      <c r="A1529" s="199" t="str">
        <f ca="1">IFERROR(__xludf.DUMMYFUNCTION("""COMPUTED_VALUE"""),"OKM")</f>
        <v>OKM</v>
      </c>
      <c r="B1529" s="207" t="str">
        <f ca="1">IFERROR(__xludf.DUMMYFUNCTION("""COMPUTED_VALUE"""),"Brian Stegmaier")</f>
        <v>Brian Stegmaier</v>
      </c>
      <c r="C1529" s="199">
        <f ca="1">IFERROR(__xludf.DUMMYFUNCTION("""COMPUTED_VALUE"""),7)</f>
        <v>7</v>
      </c>
      <c r="D1529" s="199" t="str">
        <f ca="1">IFERROR(__xludf.DUMMYFUNCTION("""COMPUTED_VALUE"""),"B")</f>
        <v>B</v>
      </c>
      <c r="E1529" s="202" t="str">
        <f ca="1">IFERROR(__xludf.DUMMYFUNCTION("""COMPUTED_VALUE"""),"F")</f>
        <v>F</v>
      </c>
      <c r="F1529" s="202" t="str">
        <f ca="1">IFERROR(__xludf.DUMMYFUNCTION("""COMPUTED_VALUE"""),"J")</f>
        <v>J</v>
      </c>
      <c r="G1529" s="202">
        <f ca="1">IFERROR(__xludf.DUMMYFUNCTION("""COMPUTED_VALUE"""),1)</f>
        <v>1</v>
      </c>
      <c r="H1529" s="208"/>
      <c r="I1529" s="208">
        <v>53.25</v>
      </c>
      <c r="J1529" s="208"/>
      <c r="K1529" s="208" t="s">
        <v>123</v>
      </c>
      <c r="L1529" s="208" t="str">
        <v xml:space="preserve"> -53.25</v>
      </c>
      <c r="M1529" s="208" t="str">
        <v>^</v>
      </c>
    </row>
    <row r="1530" spans="1:13" ht="14.4">
      <c r="A1530" s="199" t="str">
        <f ca="1">IFERROR(__xludf.DUMMYFUNCTION("""COMPUTED_VALUE"""),"OKM")</f>
        <v>OKM</v>
      </c>
      <c r="B1530" s="207" t="str">
        <f ca="1">IFERROR(__xludf.DUMMYFUNCTION("""COMPUTED_VALUE"""),"Charles Rubino")</f>
        <v>Charles Rubino</v>
      </c>
      <c r="C1530" s="199">
        <f ca="1">IFERROR(__xludf.DUMMYFUNCTION("""COMPUTED_VALUE"""),10)</f>
        <v>10</v>
      </c>
      <c r="D1530" s="199" t="str">
        <f ca="1">IFERROR(__xludf.DUMMYFUNCTION("""COMPUTED_VALUE"""),"B")</f>
        <v>B</v>
      </c>
      <c r="E1530" s="202" t="str">
        <f ca="1">IFERROR(__xludf.DUMMYFUNCTION("""COMPUTED_VALUE"""),"F")</f>
        <v>F</v>
      </c>
      <c r="F1530" s="202" t="str">
        <f ca="1">IFERROR(__xludf.DUMMYFUNCTION("""COMPUTED_VALUE"""),"J")</f>
        <v>J</v>
      </c>
      <c r="G1530" s="202">
        <f ca="1">IFERROR(__xludf.DUMMYFUNCTION("""COMPUTED_VALUE"""),1)</f>
        <v>1</v>
      </c>
      <c r="H1530" s="208"/>
      <c r="I1530" s="208">
        <v>55.4</v>
      </c>
      <c r="J1530" s="208"/>
      <c r="K1530" s="208" t="s">
        <v>121</v>
      </c>
      <c r="L1530" s="208" t="str">
        <v xml:space="preserve"> 55.4</v>
      </c>
      <c r="M1530" s="208" t="str">
        <v/>
      </c>
    </row>
    <row r="1531" spans="1:13" ht="14.4">
      <c r="A1531" s="199" t="str">
        <f ca="1">IFERROR(__xludf.DUMMYFUNCTION("""COMPUTED_VALUE"""),"OKM")</f>
        <v>OKM</v>
      </c>
      <c r="B1531" s="207" t="str">
        <f ca="1">IFERROR(__xludf.DUMMYFUNCTION("""COMPUTED_VALUE"""),"Jake Conquez")</f>
        <v>Jake Conquez</v>
      </c>
      <c r="C1531" s="199">
        <f ca="1">IFERROR(__xludf.DUMMYFUNCTION("""COMPUTED_VALUE"""),7)</f>
        <v>7</v>
      </c>
      <c r="D1531" s="199" t="str">
        <f ca="1">IFERROR(__xludf.DUMMYFUNCTION("""COMPUTED_VALUE"""),"B")</f>
        <v>B</v>
      </c>
      <c r="E1531" s="202" t="str">
        <f ca="1">IFERROR(__xludf.DUMMYFUNCTION("""COMPUTED_VALUE"""),"F")</f>
        <v>F</v>
      </c>
      <c r="F1531" s="202" t="str">
        <f ca="1">IFERROR(__xludf.DUMMYFUNCTION("""COMPUTED_VALUE"""),"J")</f>
        <v>J</v>
      </c>
      <c r="G1531" s="202">
        <f ca="1">IFERROR(__xludf.DUMMYFUNCTION("""COMPUTED_VALUE"""),1)</f>
        <v>1</v>
      </c>
      <c r="H1531" s="206"/>
      <c r="I1531" s="206">
        <v>49.5</v>
      </c>
      <c r="J1531" s="206"/>
      <c r="K1531" s="206" t="s">
        <v>121</v>
      </c>
      <c r="L1531" s="206" t="str">
        <v xml:space="preserve"> 49.5</v>
      </c>
      <c r="M1531" s="206" t="str">
        <v/>
      </c>
    </row>
    <row r="1532" spans="1:13" ht="14.4">
      <c r="A1532" s="199" t="str">
        <f ca="1">IFERROR(__xludf.DUMMYFUNCTION("""COMPUTED_VALUE"""),"OKM")</f>
        <v>OKM</v>
      </c>
      <c r="B1532" s="207" t="str">
        <f ca="1">IFERROR(__xludf.DUMMYFUNCTION("""COMPUTED_VALUE"""),"Luke Nobles")</f>
        <v>Luke Nobles</v>
      </c>
      <c r="C1532" s="199">
        <f ca="1">IFERROR(__xludf.DUMMYFUNCTION("""COMPUTED_VALUE"""),10)</f>
        <v>10</v>
      </c>
      <c r="D1532" s="199" t="str">
        <f ca="1">IFERROR(__xludf.DUMMYFUNCTION("""COMPUTED_VALUE"""),"B")</f>
        <v>B</v>
      </c>
      <c r="E1532" s="202" t="str">
        <f ca="1">IFERROR(__xludf.DUMMYFUNCTION("""COMPUTED_VALUE"""),"F")</f>
        <v>F</v>
      </c>
      <c r="F1532" s="202" t="str">
        <f ca="1">IFERROR(__xludf.DUMMYFUNCTION("""COMPUTED_VALUE"""),"J")</f>
        <v>J</v>
      </c>
      <c r="G1532" s="202">
        <f ca="1">IFERROR(__xludf.DUMMYFUNCTION("""COMPUTED_VALUE"""),1)</f>
        <v>1</v>
      </c>
      <c r="H1532" s="206"/>
      <c r="I1532" s="206">
        <v>42.05</v>
      </c>
      <c r="J1532" s="206"/>
      <c r="K1532" s="206" t="s">
        <v>121</v>
      </c>
      <c r="L1532" s="206" t="str">
        <v xml:space="preserve"> 42.05</v>
      </c>
      <c r="M1532" s="206" t="str">
        <v/>
      </c>
    </row>
    <row r="1533" spans="1:13" ht="14.4">
      <c r="A1533" s="199" t="str">
        <f ca="1">IFERROR(__xludf.DUMMYFUNCTION("""COMPUTED_VALUE"""),"OKM")</f>
        <v>OKM</v>
      </c>
      <c r="B1533" s="207" t="str">
        <f ca="1">IFERROR(__xludf.DUMMYFUNCTION("""COMPUTED_VALUE"""),"Matthew Hughes")</f>
        <v>Matthew Hughes</v>
      </c>
      <c r="C1533" s="199">
        <f ca="1">IFERROR(__xludf.DUMMYFUNCTION("""COMPUTED_VALUE"""),9)</f>
        <v>9</v>
      </c>
      <c r="D1533" s="199" t="str">
        <f ca="1">IFERROR(__xludf.DUMMYFUNCTION("""COMPUTED_VALUE"""),"B")</f>
        <v>B</v>
      </c>
      <c r="E1533" s="202" t="str">
        <f ca="1">IFERROR(__xludf.DUMMYFUNCTION("""COMPUTED_VALUE"""),"F")</f>
        <v>F</v>
      </c>
      <c r="F1533" s="202" t="str">
        <f ca="1">IFERROR(__xludf.DUMMYFUNCTION("""COMPUTED_VALUE"""),"J")</f>
        <v>J</v>
      </c>
      <c r="G1533" s="202">
        <f ca="1">IFERROR(__xludf.DUMMYFUNCTION("""COMPUTED_VALUE"""),1)</f>
        <v>1</v>
      </c>
      <c r="H1533" s="208"/>
      <c r="I1533" s="208"/>
      <c r="J1533" s="208"/>
      <c r="K1533" s="208"/>
      <c r="L1533" s="208" t="str">
        <v/>
      </c>
      <c r="M1533" s="208" t="str">
        <v/>
      </c>
    </row>
    <row r="1534" spans="1:13" ht="14.4">
      <c r="A1534" s="199" t="str">
        <f ca="1">IFERROR(__xludf.DUMMYFUNCTION("""COMPUTED_VALUE"""),"OKM")</f>
        <v>OKM</v>
      </c>
      <c r="B1534" s="207" t="str">
        <f ca="1">IFERROR(__xludf.DUMMYFUNCTION("""COMPUTED_VALUE"""),"Treyton Green")</f>
        <v>Treyton Green</v>
      </c>
      <c r="C1534" s="199">
        <f ca="1">IFERROR(__xludf.DUMMYFUNCTION("""COMPUTED_VALUE"""),9)</f>
        <v>9</v>
      </c>
      <c r="D1534" s="199" t="str">
        <f ca="1">IFERROR(__xludf.DUMMYFUNCTION("""COMPUTED_VALUE"""),"B")</f>
        <v>B</v>
      </c>
      <c r="E1534" s="202" t="str">
        <f ca="1">IFERROR(__xludf.DUMMYFUNCTION("""COMPUTED_VALUE"""),"F")</f>
        <v>F</v>
      </c>
      <c r="F1534" s="202" t="str">
        <f ca="1">IFERROR(__xludf.DUMMYFUNCTION("""COMPUTED_VALUE"""),"J")</f>
        <v>J</v>
      </c>
      <c r="G1534" s="202">
        <f ca="1">IFERROR(__xludf.DUMMYFUNCTION("""COMPUTED_VALUE"""),1)</f>
        <v>1</v>
      </c>
      <c r="H1534" s="208"/>
      <c r="I1534" s="208">
        <v>31.7</v>
      </c>
      <c r="J1534" s="208"/>
      <c r="K1534" s="208" t="s">
        <v>121</v>
      </c>
      <c r="L1534" s="208" t="str">
        <v xml:space="preserve"> 31.7</v>
      </c>
      <c r="M1534" s="208" t="str">
        <v/>
      </c>
    </row>
    <row r="1535" spans="1:13" ht="14.4">
      <c r="A1535" s="199" t="str">
        <f ca="1">IFERROR(__xludf.DUMMYFUNCTION("""COMPUTED_VALUE"""),"OKM")</f>
        <v>OKM</v>
      </c>
      <c r="B1535" s="207" t="str">
        <f ca="1">IFERROR(__xludf.DUMMYFUNCTION("""COMPUTED_VALUE"""),"Ada Goehring")</f>
        <v>Ada Goehring</v>
      </c>
      <c r="C1535" s="199">
        <f ca="1">IFERROR(__xludf.DUMMYFUNCTION("""COMPUTED_VALUE"""),7)</f>
        <v>7</v>
      </c>
      <c r="D1535" s="199" t="str">
        <f ca="1">IFERROR(__xludf.DUMMYFUNCTION("""COMPUTED_VALUE"""),"G")</f>
        <v>G</v>
      </c>
      <c r="E1535" s="202" t="str">
        <f ca="1">IFERROR(__xludf.DUMMYFUNCTION("""COMPUTED_VALUE"""),"F")</f>
        <v>F</v>
      </c>
      <c r="F1535" s="202" t="str">
        <f ca="1">IFERROR(__xludf.DUMMYFUNCTION("""COMPUTED_VALUE"""),"J")</f>
        <v>J</v>
      </c>
      <c r="G1535" s="202">
        <f ca="1">IFERROR(__xludf.DUMMYFUNCTION("""COMPUTED_VALUE"""),1)</f>
        <v>1</v>
      </c>
      <c r="H1535" s="208"/>
      <c r="I1535" s="208"/>
      <c r="J1535" s="208"/>
      <c r="K1535" s="208"/>
      <c r="L1535" s="208" t="str">
        <v/>
      </c>
      <c r="M1535" s="208" t="str">
        <v/>
      </c>
    </row>
    <row r="1536" spans="1:13" ht="14.4">
      <c r="A1536" s="199" t="str">
        <f ca="1">IFERROR(__xludf.DUMMYFUNCTION("""COMPUTED_VALUE"""),"OKM")</f>
        <v>OKM</v>
      </c>
      <c r="B1536" s="207" t="str">
        <f ca="1">IFERROR(__xludf.DUMMYFUNCTION("""COMPUTED_VALUE"""),"Alex Shrieves")</f>
        <v>Alex Shrieves</v>
      </c>
      <c r="C1536" s="199">
        <f ca="1">IFERROR(__xludf.DUMMYFUNCTION("""COMPUTED_VALUE"""),6)</f>
        <v>6</v>
      </c>
      <c r="D1536" s="199" t="str">
        <f ca="1">IFERROR(__xludf.DUMMYFUNCTION("""COMPUTED_VALUE"""),"G")</f>
        <v>G</v>
      </c>
      <c r="E1536" s="202" t="str">
        <f ca="1">IFERROR(__xludf.DUMMYFUNCTION("""COMPUTED_VALUE"""),"F")</f>
        <v>F</v>
      </c>
      <c r="F1536" s="202" t="str">
        <f ca="1">IFERROR(__xludf.DUMMYFUNCTION("""COMPUTED_VALUE"""),"J")</f>
        <v>J</v>
      </c>
      <c r="G1536" s="202">
        <f ca="1">IFERROR(__xludf.DUMMYFUNCTION("""COMPUTED_VALUE"""),1)</f>
        <v>1</v>
      </c>
      <c r="H1536" s="208"/>
      <c r="I1536" s="208"/>
      <c r="J1536" s="208"/>
      <c r="K1536" s="208"/>
      <c r="L1536" s="208" t="str">
        <v/>
      </c>
      <c r="M1536" s="208" t="str">
        <v/>
      </c>
    </row>
    <row r="1537" spans="1:13" ht="14.4">
      <c r="A1537" s="199" t="str">
        <f ca="1">IFERROR(__xludf.DUMMYFUNCTION("""COMPUTED_VALUE"""),"OKM")</f>
        <v>OKM</v>
      </c>
      <c r="B1537" s="207" t="str">
        <f ca="1">IFERROR(__xludf.DUMMYFUNCTION("""COMPUTED_VALUE"""),"Anya Osterhout")</f>
        <v>Anya Osterhout</v>
      </c>
      <c r="C1537" s="199">
        <f ca="1">IFERROR(__xludf.DUMMYFUNCTION("""COMPUTED_VALUE"""),10)</f>
        <v>10</v>
      </c>
      <c r="D1537" s="199" t="str">
        <f ca="1">IFERROR(__xludf.DUMMYFUNCTION("""COMPUTED_VALUE"""),"G")</f>
        <v>G</v>
      </c>
      <c r="E1537" s="202" t="str">
        <f ca="1">IFERROR(__xludf.DUMMYFUNCTION("""COMPUTED_VALUE"""),"F")</f>
        <v>F</v>
      </c>
      <c r="F1537" s="202" t="str">
        <f ca="1">IFERROR(__xludf.DUMMYFUNCTION("""COMPUTED_VALUE"""),"J")</f>
        <v>J</v>
      </c>
      <c r="G1537" s="202">
        <f ca="1">IFERROR(__xludf.DUMMYFUNCTION("""COMPUTED_VALUE"""),1)</f>
        <v>1</v>
      </c>
      <c r="H1537" s="208">
        <v>74.849999999999994</v>
      </c>
      <c r="I1537" s="208"/>
      <c r="J1537" s="208" t="s">
        <v>121</v>
      </c>
      <c r="K1537" s="208"/>
      <c r="L1537" s="208" t="str">
        <v xml:space="preserve"> 74.85</v>
      </c>
      <c r="M1537" s="208" t="str">
        <v/>
      </c>
    </row>
    <row r="1538" spans="1:13" ht="14.4">
      <c r="A1538" s="199" t="str">
        <f ca="1">IFERROR(__xludf.DUMMYFUNCTION("""COMPUTED_VALUE"""),"OKM")</f>
        <v>OKM</v>
      </c>
      <c r="B1538" s="207" t="str">
        <f ca="1">IFERROR(__xludf.DUMMYFUNCTION("""COMPUTED_VALUE"""),"Emma Mallis")</f>
        <v>Emma Mallis</v>
      </c>
      <c r="C1538" s="199">
        <f ca="1">IFERROR(__xludf.DUMMYFUNCTION("""COMPUTED_VALUE"""),9)</f>
        <v>9</v>
      </c>
      <c r="D1538" s="199" t="str">
        <f ca="1">IFERROR(__xludf.DUMMYFUNCTION("""COMPUTED_VALUE"""),"G")</f>
        <v>G</v>
      </c>
      <c r="E1538" s="202" t="str">
        <f ca="1">IFERROR(__xludf.DUMMYFUNCTION("""COMPUTED_VALUE"""),"F")</f>
        <v>F</v>
      </c>
      <c r="F1538" s="202" t="str">
        <f ca="1">IFERROR(__xludf.DUMMYFUNCTION("""COMPUTED_VALUE"""),"J")</f>
        <v>J</v>
      </c>
      <c r="G1538" s="202">
        <f ca="1">IFERROR(__xludf.DUMMYFUNCTION("""COMPUTED_VALUE"""),1)</f>
        <v>1</v>
      </c>
      <c r="H1538" s="206"/>
      <c r="I1538" s="206"/>
      <c r="J1538" s="206"/>
      <c r="K1538" s="206"/>
      <c r="L1538" s="206" t="str">
        <v/>
      </c>
      <c r="M1538" s="206" t="str">
        <v/>
      </c>
    </row>
    <row r="1539" spans="1:13" ht="14.4">
      <c r="A1539" s="199" t="str">
        <f ca="1">IFERROR(__xludf.DUMMYFUNCTION("""COMPUTED_VALUE"""),"OKM")</f>
        <v>OKM</v>
      </c>
      <c r="B1539" s="207" t="str">
        <f ca="1">IFERROR(__xludf.DUMMYFUNCTION("""COMPUTED_VALUE"""),"Grace Goehring")</f>
        <v>Grace Goehring</v>
      </c>
      <c r="C1539" s="199">
        <f ca="1">IFERROR(__xludf.DUMMYFUNCTION("""COMPUTED_VALUE"""),10)</f>
        <v>10</v>
      </c>
      <c r="D1539" s="199" t="str">
        <f ca="1">IFERROR(__xludf.DUMMYFUNCTION("""COMPUTED_VALUE"""),"G")</f>
        <v>G</v>
      </c>
      <c r="E1539" s="202" t="str">
        <f ca="1">IFERROR(__xludf.DUMMYFUNCTION("""COMPUTED_VALUE"""),"F")</f>
        <v>F</v>
      </c>
      <c r="F1539" s="202" t="str">
        <f ca="1">IFERROR(__xludf.DUMMYFUNCTION("""COMPUTED_VALUE"""),"J")</f>
        <v>J</v>
      </c>
      <c r="G1539" s="202">
        <f ca="1">IFERROR(__xludf.DUMMYFUNCTION("""COMPUTED_VALUE"""),1)</f>
        <v>1</v>
      </c>
      <c r="H1539" s="206"/>
      <c r="I1539" s="206"/>
      <c r="J1539" s="206"/>
      <c r="K1539" s="206"/>
      <c r="L1539" s="206" t="str">
        <v/>
      </c>
      <c r="M1539" s="206" t="str">
        <v/>
      </c>
    </row>
    <row r="1540" spans="1:13" ht="14.4">
      <c r="A1540" s="199" t="str">
        <f ca="1">IFERROR(__xludf.DUMMYFUNCTION("""COMPUTED_VALUE"""),"OKM")</f>
        <v>OKM</v>
      </c>
      <c r="B1540" s="207" t="str">
        <f ca="1">IFERROR(__xludf.DUMMYFUNCTION("""COMPUTED_VALUE"""),"Hannah Neumann")</f>
        <v>Hannah Neumann</v>
      </c>
      <c r="C1540" s="199">
        <f ca="1">IFERROR(__xludf.DUMMYFUNCTION("""COMPUTED_VALUE"""),8)</f>
        <v>8</v>
      </c>
      <c r="D1540" s="199" t="str">
        <f ca="1">IFERROR(__xludf.DUMMYFUNCTION("""COMPUTED_VALUE"""),"G")</f>
        <v>G</v>
      </c>
      <c r="E1540" s="202" t="str">
        <f ca="1">IFERROR(__xludf.DUMMYFUNCTION("""COMPUTED_VALUE"""),"F")</f>
        <v>F</v>
      </c>
      <c r="F1540" s="202" t="str">
        <f ca="1">IFERROR(__xludf.DUMMYFUNCTION("""COMPUTED_VALUE"""),"J")</f>
        <v>J</v>
      </c>
      <c r="G1540" s="202">
        <f ca="1">IFERROR(__xludf.DUMMYFUNCTION("""COMPUTED_VALUE"""),1)</f>
        <v>1</v>
      </c>
      <c r="H1540" s="206"/>
      <c r="I1540" s="206"/>
      <c r="J1540" s="206"/>
      <c r="K1540" s="206"/>
      <c r="L1540" s="206" t="str">
        <v/>
      </c>
      <c r="M1540" s="206" t="str">
        <v/>
      </c>
    </row>
    <row r="1541" spans="1:13" ht="14.4">
      <c r="A1541" s="199" t="str">
        <f ca="1">IFERROR(__xludf.DUMMYFUNCTION("""COMPUTED_VALUE"""),"OKM")</f>
        <v>OKM</v>
      </c>
      <c r="B1541" s="207" t="str">
        <f ca="1">IFERROR(__xludf.DUMMYFUNCTION("""COMPUTED_VALUE"""),"Juliette Baldesi")</f>
        <v>Juliette Baldesi</v>
      </c>
      <c r="C1541" s="199">
        <f ca="1">IFERROR(__xludf.DUMMYFUNCTION("""COMPUTED_VALUE"""),7)</f>
        <v>7</v>
      </c>
      <c r="D1541" s="199" t="str">
        <f ca="1">IFERROR(__xludf.DUMMYFUNCTION("""COMPUTED_VALUE"""),"G")</f>
        <v>G</v>
      </c>
      <c r="E1541" s="202" t="str">
        <f ca="1">IFERROR(__xludf.DUMMYFUNCTION("""COMPUTED_VALUE"""),"F")</f>
        <v>F</v>
      </c>
      <c r="F1541" s="202" t="str">
        <f ca="1">IFERROR(__xludf.DUMMYFUNCTION("""COMPUTED_VALUE"""),"J")</f>
        <v>J</v>
      </c>
      <c r="G1541" s="202">
        <f ca="1">IFERROR(__xludf.DUMMYFUNCTION("""COMPUTED_VALUE"""),1)</f>
        <v>1</v>
      </c>
      <c r="H1541" s="206">
        <v>20.95</v>
      </c>
      <c r="I1541" s="206"/>
      <c r="J1541" s="206" t="s">
        <v>121</v>
      </c>
      <c r="K1541" s="206"/>
      <c r="L1541" s="206" t="str">
        <v xml:space="preserve"> 20.95</v>
      </c>
      <c r="M1541" s="206" t="str">
        <v/>
      </c>
    </row>
    <row r="1542" spans="1:13" ht="14.4">
      <c r="A1542" s="199" t="str">
        <f ca="1">IFERROR(__xludf.DUMMYFUNCTION("""COMPUTED_VALUE"""),"OKM")</f>
        <v>OKM</v>
      </c>
      <c r="B1542" s="207" t="str">
        <f ca="1">IFERROR(__xludf.DUMMYFUNCTION("""COMPUTED_VALUE"""),"Maddie Speed")</f>
        <v>Maddie Speed</v>
      </c>
      <c r="C1542" s="199">
        <f ca="1">IFERROR(__xludf.DUMMYFUNCTION("""COMPUTED_VALUE"""),10)</f>
        <v>10</v>
      </c>
      <c r="D1542" s="199" t="str">
        <f ca="1">IFERROR(__xludf.DUMMYFUNCTION("""COMPUTED_VALUE"""),"G")</f>
        <v>G</v>
      </c>
      <c r="E1542" s="202" t="str">
        <f ca="1">IFERROR(__xludf.DUMMYFUNCTION("""COMPUTED_VALUE"""),"F")</f>
        <v>F</v>
      </c>
      <c r="F1542" s="202" t="str">
        <f ca="1">IFERROR(__xludf.DUMMYFUNCTION("""COMPUTED_VALUE"""),"J")</f>
        <v>J</v>
      </c>
      <c r="G1542" s="202">
        <f ca="1">IFERROR(__xludf.DUMMYFUNCTION("""COMPUTED_VALUE"""),1)</f>
        <v>1</v>
      </c>
      <c r="H1542" s="208"/>
      <c r="I1542" s="208"/>
      <c r="J1542" s="208"/>
      <c r="K1542" s="208"/>
      <c r="L1542" s="208" t="str">
        <v/>
      </c>
      <c r="M1542" s="208" t="str">
        <v/>
      </c>
    </row>
    <row r="1543" spans="1:13" ht="14.4">
      <c r="A1543" s="199" t="str">
        <f ca="1">IFERROR(__xludf.DUMMYFUNCTION("""COMPUTED_VALUE"""),"OKM")</f>
        <v>OKM</v>
      </c>
      <c r="B1543" s="207" t="str">
        <f ca="1">IFERROR(__xludf.DUMMYFUNCTION("""COMPUTED_VALUE"""),"Rosie Tritten")</f>
        <v>Rosie Tritten</v>
      </c>
      <c r="C1543" s="199">
        <f ca="1">IFERROR(__xludf.DUMMYFUNCTION("""COMPUTED_VALUE"""),10)</f>
        <v>10</v>
      </c>
      <c r="D1543" s="199" t="str">
        <f ca="1">IFERROR(__xludf.DUMMYFUNCTION("""COMPUTED_VALUE"""),"G")</f>
        <v>G</v>
      </c>
      <c r="E1543" s="202" t="str">
        <f ca="1">IFERROR(__xludf.DUMMYFUNCTION("""COMPUTED_VALUE"""),"F")</f>
        <v>F</v>
      </c>
      <c r="F1543" s="202" t="str">
        <f ca="1">IFERROR(__xludf.DUMMYFUNCTION("""COMPUTED_VALUE"""),"J")</f>
        <v>J</v>
      </c>
      <c r="G1543" s="202">
        <f ca="1">IFERROR(__xludf.DUMMYFUNCTION("""COMPUTED_VALUE"""),1)</f>
        <v>1</v>
      </c>
      <c r="H1543" s="206"/>
      <c r="I1543" s="206"/>
      <c r="J1543" s="206"/>
      <c r="K1543" s="206"/>
      <c r="L1543" s="206" t="str">
        <v/>
      </c>
      <c r="M1543" s="206" t="str">
        <v/>
      </c>
    </row>
    <row r="1544" spans="1:13" ht="14.4">
      <c r="A1544" s="199" t="str">
        <f ca="1">IFERROR(__xludf.DUMMYFUNCTION("""COMPUTED_VALUE"""),"OKM")</f>
        <v>OKM</v>
      </c>
      <c r="B1544" s="207" t="str">
        <f ca="1">IFERROR(__xludf.DUMMYFUNCTION("""COMPUTED_VALUE"""),"Samantha Kluger")</f>
        <v>Samantha Kluger</v>
      </c>
      <c r="C1544" s="199">
        <f ca="1">IFERROR(__xludf.DUMMYFUNCTION("""COMPUTED_VALUE"""),10)</f>
        <v>10</v>
      </c>
      <c r="D1544" s="199" t="str">
        <f ca="1">IFERROR(__xludf.DUMMYFUNCTION("""COMPUTED_VALUE"""),"G")</f>
        <v>G</v>
      </c>
      <c r="E1544" s="202" t="str">
        <f ca="1">IFERROR(__xludf.DUMMYFUNCTION("""COMPUTED_VALUE"""),"F")</f>
        <v>F</v>
      </c>
      <c r="F1544" s="202" t="str">
        <f ca="1">IFERROR(__xludf.DUMMYFUNCTION("""COMPUTED_VALUE"""),"J")</f>
        <v>J</v>
      </c>
      <c r="G1544" s="202">
        <f ca="1">IFERROR(__xludf.DUMMYFUNCTION("""COMPUTED_VALUE"""),1)</f>
        <v>1</v>
      </c>
      <c r="H1544" s="208">
        <v>60</v>
      </c>
      <c r="I1544" s="208"/>
      <c r="J1544" s="208" t="s">
        <v>121</v>
      </c>
      <c r="K1544" s="208"/>
      <c r="L1544" s="208" t="str">
        <v xml:space="preserve"> 60</v>
      </c>
      <c r="M1544" s="208" t="str">
        <v/>
      </c>
    </row>
    <row r="1545" spans="1:13" ht="14.4">
      <c r="A1545" s="199" t="str">
        <f ca="1">IFERROR(__xludf.DUMMYFUNCTION("""COMPUTED_VALUE"""),"OKM")</f>
        <v>OKM</v>
      </c>
      <c r="B1545" s="207" t="str">
        <f ca="1">IFERROR(__xludf.DUMMYFUNCTION("""COMPUTED_VALUE"""),"Shannon Stegmaier")</f>
        <v>Shannon Stegmaier</v>
      </c>
      <c r="C1545" s="199">
        <f ca="1">IFERROR(__xludf.DUMMYFUNCTION("""COMPUTED_VALUE"""),10)</f>
        <v>10</v>
      </c>
      <c r="D1545" s="199" t="str">
        <f ca="1">IFERROR(__xludf.DUMMYFUNCTION("""COMPUTED_VALUE"""),"G")</f>
        <v>G</v>
      </c>
      <c r="E1545" s="202" t="str">
        <f ca="1">IFERROR(__xludf.DUMMYFUNCTION("""COMPUTED_VALUE"""),"F")</f>
        <v>F</v>
      </c>
      <c r="F1545" s="202" t="str">
        <f ca="1">IFERROR(__xludf.DUMMYFUNCTION("""COMPUTED_VALUE"""),"J")</f>
        <v>J</v>
      </c>
      <c r="G1545" s="202">
        <f ca="1">IFERROR(__xludf.DUMMYFUNCTION("""COMPUTED_VALUE"""),1)</f>
        <v>1</v>
      </c>
      <c r="H1545" s="208">
        <v>61.1</v>
      </c>
      <c r="I1545" s="208"/>
      <c r="J1545" s="208" t="s">
        <v>121</v>
      </c>
      <c r="K1545" s="208"/>
      <c r="L1545" s="208" t="str">
        <v xml:space="preserve"> 61.1</v>
      </c>
      <c r="M1545" s="208" t="str">
        <v/>
      </c>
    </row>
    <row r="1546" spans="1:13" ht="14.4">
      <c r="A1546" s="199" t="str">
        <f ca="1">IFERROR(__xludf.DUMMYFUNCTION("""COMPUTED_VALUE"""),"OKM")</f>
        <v>OKM</v>
      </c>
      <c r="B1546" s="207" t="str">
        <f ca="1">IFERROR(__xludf.DUMMYFUNCTION("""COMPUTED_VALUE"""),"Vivian Lightfoot")</f>
        <v>Vivian Lightfoot</v>
      </c>
      <c r="C1546" s="199">
        <f ca="1">IFERROR(__xludf.DUMMYFUNCTION("""COMPUTED_VALUE"""),9)</f>
        <v>9</v>
      </c>
      <c r="D1546" s="199" t="str">
        <f ca="1">IFERROR(__xludf.DUMMYFUNCTION("""COMPUTED_VALUE"""),"G")</f>
        <v>G</v>
      </c>
      <c r="E1546" s="202" t="str">
        <f ca="1">IFERROR(__xludf.DUMMYFUNCTION("""COMPUTED_VALUE"""),"F")</f>
        <v>F</v>
      </c>
      <c r="F1546" s="202" t="str">
        <f ca="1">IFERROR(__xludf.DUMMYFUNCTION("""COMPUTED_VALUE"""),"J")</f>
        <v>J</v>
      </c>
      <c r="G1546" s="202">
        <f ca="1">IFERROR(__xludf.DUMMYFUNCTION("""COMPUTED_VALUE"""),1)</f>
        <v>1</v>
      </c>
      <c r="H1546" s="206">
        <v>65.95</v>
      </c>
      <c r="I1546" s="206"/>
      <c r="J1546" s="206" t="s">
        <v>121</v>
      </c>
      <c r="K1546" s="206"/>
      <c r="L1546" s="206" t="str">
        <v xml:space="preserve"> 65.95</v>
      </c>
      <c r="M1546" s="206" t="str">
        <v/>
      </c>
    </row>
    <row r="1547" spans="1:13" ht="14.4">
      <c r="A1547" s="199" t="str">
        <f ca="1">IFERROR(__xludf.DUMMYFUNCTION("""COMPUTED_VALUE"""),"OKM")</f>
        <v>OKM</v>
      </c>
      <c r="B1547" s="207" t="str">
        <f ca="1">IFERROR(__xludf.DUMMYFUNCTION("""COMPUTED_VALUE"""),"Zavier Green")</f>
        <v>Zavier Green</v>
      </c>
      <c r="C1547" s="199">
        <f ca="1">IFERROR(__xludf.DUMMYFUNCTION("""COMPUTED_VALUE"""),14)</f>
        <v>14</v>
      </c>
      <c r="D1547" s="199" t="str">
        <f ca="1">IFERROR(__xludf.DUMMYFUNCTION("""COMPUTED_VALUE"""),"B")</f>
        <v>B</v>
      </c>
      <c r="E1547" s="202" t="str">
        <f ca="1">IFERROR(__xludf.DUMMYFUNCTION("""COMPUTED_VALUE"""),"I")</f>
        <v>I</v>
      </c>
      <c r="F1547" s="202" t="str">
        <f ca="1">IFERROR(__xludf.DUMMYFUNCTION("""COMPUTED_VALUE"""),"S")</f>
        <v>S</v>
      </c>
      <c r="G1547" s="202">
        <f ca="1">IFERROR(__xludf.DUMMYFUNCTION("""COMPUTED_VALUE"""),1)</f>
        <v>1</v>
      </c>
      <c r="H1547" s="208"/>
      <c r="I1547" s="208">
        <v>94.9</v>
      </c>
      <c r="J1547" s="208"/>
      <c r="K1547" s="208" t="s">
        <v>121</v>
      </c>
      <c r="L1547" s="208" t="str">
        <v xml:space="preserve"> 94.9</v>
      </c>
      <c r="M1547" s="208" t="str">
        <v/>
      </c>
    </row>
    <row r="1548" spans="1:13" ht="14.4">
      <c r="A1548" s="199" t="str">
        <f ca="1">IFERROR(__xludf.DUMMYFUNCTION("""COMPUTED_VALUE"""),"OKM")</f>
        <v>OKM</v>
      </c>
      <c r="B1548" s="207" t="str">
        <f ca="1">IFERROR(__xludf.DUMMYFUNCTION("""COMPUTED_VALUE"""),"Lindsay Kawane")</f>
        <v>Lindsay Kawane</v>
      </c>
      <c r="C1548" s="199">
        <f ca="1">IFERROR(__xludf.DUMMYFUNCTION("""COMPUTED_VALUE"""),14)</f>
        <v>14</v>
      </c>
      <c r="D1548" s="199" t="str">
        <f ca="1">IFERROR(__xludf.DUMMYFUNCTION("""COMPUTED_VALUE"""),"G")</f>
        <v>G</v>
      </c>
      <c r="E1548" s="202" t="str">
        <f ca="1">IFERROR(__xludf.DUMMYFUNCTION("""COMPUTED_VALUE"""),"I")</f>
        <v>I</v>
      </c>
      <c r="F1548" s="202" t="str">
        <f ca="1">IFERROR(__xludf.DUMMYFUNCTION("""COMPUTED_VALUE"""),"S")</f>
        <v>S</v>
      </c>
      <c r="G1548" s="202">
        <f ca="1">IFERROR(__xludf.DUMMYFUNCTION("""COMPUTED_VALUE"""),1)</f>
        <v>1</v>
      </c>
      <c r="H1548" s="206">
        <v>92.55</v>
      </c>
      <c r="I1548" s="206"/>
      <c r="J1548" s="206" t="s">
        <v>121</v>
      </c>
      <c r="K1548" s="206"/>
      <c r="L1548" s="206" t="str">
        <v xml:space="preserve"> 92.55</v>
      </c>
      <c r="M1548" s="206" t="str">
        <v/>
      </c>
    </row>
    <row r="1549" spans="1:13" ht="14.4">
      <c r="A1549" s="199" t="str">
        <f ca="1">IFERROR(__xludf.DUMMYFUNCTION("""COMPUTED_VALUE"""),"OKM")</f>
        <v>OKM</v>
      </c>
      <c r="B1549" s="207" t="str">
        <f ca="1">IFERROR(__xludf.DUMMYFUNCTION("""COMPUTED_VALUE"""),"Maria Hughes")</f>
        <v>Maria Hughes</v>
      </c>
      <c r="C1549" s="199">
        <f ca="1">IFERROR(__xludf.DUMMYFUNCTION("""COMPUTED_VALUE"""),14)</f>
        <v>14</v>
      </c>
      <c r="D1549" s="199" t="str">
        <f ca="1">IFERROR(__xludf.DUMMYFUNCTION("""COMPUTED_VALUE"""),"G")</f>
        <v>G</v>
      </c>
      <c r="E1549" s="202" t="str">
        <f ca="1">IFERROR(__xludf.DUMMYFUNCTION("""COMPUTED_VALUE"""),"I")</f>
        <v>I</v>
      </c>
      <c r="F1549" s="202" t="str">
        <f ca="1">IFERROR(__xludf.DUMMYFUNCTION("""COMPUTED_VALUE"""),"S")</f>
        <v>S</v>
      </c>
      <c r="G1549" s="202">
        <f ca="1">IFERROR(__xludf.DUMMYFUNCTION("""COMPUTED_VALUE"""),1)</f>
        <v>1</v>
      </c>
      <c r="H1549" s="206"/>
      <c r="I1549" s="206"/>
      <c r="J1549" s="206"/>
      <c r="K1549" s="206"/>
      <c r="L1549" s="206" t="str">
        <v/>
      </c>
      <c r="M1549" s="206" t="str">
        <v/>
      </c>
    </row>
    <row r="1550" spans="1:13" ht="14.4">
      <c r="A1550" s="199" t="str">
        <f ca="1">IFERROR(__xludf.DUMMYFUNCTION("""COMPUTED_VALUE"""),"OKM")</f>
        <v>OKM</v>
      </c>
      <c r="B1550" s="207" t="str">
        <f ca="1">IFERROR(__xludf.DUMMYFUNCTION("""COMPUTED_VALUE"""),"Olivia Osterhout")</f>
        <v>Olivia Osterhout</v>
      </c>
      <c r="C1550" s="199">
        <f ca="1">IFERROR(__xludf.DUMMYFUNCTION("""COMPUTED_VALUE"""),13)</f>
        <v>13</v>
      </c>
      <c r="D1550" s="199" t="str">
        <f ca="1">IFERROR(__xludf.DUMMYFUNCTION("""COMPUTED_VALUE"""),"G")</f>
        <v>G</v>
      </c>
      <c r="E1550" s="202" t="str">
        <f ca="1">IFERROR(__xludf.DUMMYFUNCTION("""COMPUTED_VALUE"""),"I")</f>
        <v>I</v>
      </c>
      <c r="F1550" s="202" t="str">
        <f ca="1">IFERROR(__xludf.DUMMYFUNCTION("""COMPUTED_VALUE"""),"S")</f>
        <v>S</v>
      </c>
      <c r="G1550" s="202">
        <f ca="1">IFERROR(__xludf.DUMMYFUNCTION("""COMPUTED_VALUE"""),1)</f>
        <v>1</v>
      </c>
      <c r="H1550" s="208">
        <v>64.150000000000006</v>
      </c>
      <c r="I1550" s="208"/>
      <c r="J1550" s="208" t="s">
        <v>121</v>
      </c>
      <c r="K1550" s="208"/>
      <c r="L1550" s="208" t="str">
        <v xml:space="preserve"> 64.15</v>
      </c>
      <c r="M1550" s="208" t="str">
        <v/>
      </c>
    </row>
    <row r="1551" spans="1:13" ht="14.4">
      <c r="A1551" s="199" t="str">
        <f ca="1">IFERROR(__xludf.DUMMYFUNCTION("""COMPUTED_VALUE"""),"OKM")</f>
        <v>OKM</v>
      </c>
      <c r="B1551" s="207" t="str">
        <f ca="1">IFERROR(__xludf.DUMMYFUNCTION("""COMPUTED_VALUE"""),"Ben Nichols")</f>
        <v>Ben Nichols</v>
      </c>
      <c r="C1551" s="199">
        <f ca="1">IFERROR(__xludf.DUMMYFUNCTION("""COMPUTED_VALUE"""),11)</f>
        <v>11</v>
      </c>
      <c r="D1551" s="199" t="str">
        <f ca="1">IFERROR(__xludf.DUMMYFUNCTION("""COMPUTED_VALUE"""),"B")</f>
        <v>B</v>
      </c>
      <c r="E1551" s="202" t="str">
        <f ca="1">IFERROR(__xludf.DUMMYFUNCTION("""COMPUTED_VALUE"""),"J")</f>
        <v>J</v>
      </c>
      <c r="F1551" s="202" t="str">
        <f ca="1">IFERROR(__xludf.DUMMYFUNCTION("""COMPUTED_VALUE"""),"I")</f>
        <v>I</v>
      </c>
      <c r="G1551" s="202">
        <f ca="1">IFERROR(__xludf.DUMMYFUNCTION("""COMPUTED_VALUE"""),1)</f>
        <v>1</v>
      </c>
      <c r="H1551" s="206"/>
      <c r="I1551" s="206"/>
      <c r="J1551" s="206"/>
      <c r="K1551" s="206"/>
      <c r="L1551" s="206" t="str">
        <v/>
      </c>
      <c r="M1551" s="206" t="str">
        <v/>
      </c>
    </row>
    <row r="1552" spans="1:13" ht="14.4">
      <c r="A1552" s="199" t="str">
        <f ca="1">IFERROR(__xludf.DUMMYFUNCTION("""COMPUTED_VALUE"""),"OKM")</f>
        <v>OKM</v>
      </c>
      <c r="B1552" s="207" t="str">
        <f ca="1">IFERROR(__xludf.DUMMYFUNCTION("""COMPUTED_VALUE"""),"Miles Teague")</f>
        <v>Miles Teague</v>
      </c>
      <c r="C1552" s="199">
        <f ca="1">IFERROR(__xludf.DUMMYFUNCTION("""COMPUTED_VALUE"""),12)</f>
        <v>12</v>
      </c>
      <c r="D1552" s="199" t="str">
        <f ca="1">IFERROR(__xludf.DUMMYFUNCTION("""COMPUTED_VALUE"""),"B")</f>
        <v>B</v>
      </c>
      <c r="E1552" s="202" t="str">
        <f ca="1">IFERROR(__xludf.DUMMYFUNCTION("""COMPUTED_VALUE"""),"J")</f>
        <v>J</v>
      </c>
      <c r="F1552" s="202" t="str">
        <f ca="1">IFERROR(__xludf.DUMMYFUNCTION("""COMPUTED_VALUE"""),"I")</f>
        <v>I</v>
      </c>
      <c r="G1552" s="202">
        <f ca="1">IFERROR(__xludf.DUMMYFUNCTION("""COMPUTED_VALUE"""),1)</f>
        <v>1</v>
      </c>
      <c r="H1552" s="208"/>
      <c r="I1552" s="208">
        <v>57.45</v>
      </c>
      <c r="J1552" s="208"/>
      <c r="K1552" s="208" t="s">
        <v>121</v>
      </c>
      <c r="L1552" s="208" t="str">
        <v xml:space="preserve"> 57.45</v>
      </c>
      <c r="M1552" s="208" t="str">
        <v/>
      </c>
    </row>
    <row r="1553" spans="1:13" ht="14.4">
      <c r="A1553" s="199" t="str">
        <f ca="1">IFERROR(__xludf.DUMMYFUNCTION("""COMPUTED_VALUE"""),"OKM")</f>
        <v>OKM</v>
      </c>
      <c r="B1553" s="207" t="str">
        <f ca="1">IFERROR(__xludf.DUMMYFUNCTION("""COMPUTED_VALUE"""),"Abby Swartz")</f>
        <v>Abby Swartz</v>
      </c>
      <c r="C1553" s="199">
        <f ca="1">IFERROR(__xludf.DUMMYFUNCTION("""COMPUTED_VALUE"""),12)</f>
        <v>12</v>
      </c>
      <c r="D1553" s="199" t="str">
        <f ca="1">IFERROR(__xludf.DUMMYFUNCTION("""COMPUTED_VALUE"""),"G")</f>
        <v>G</v>
      </c>
      <c r="E1553" s="202" t="str">
        <f ca="1">IFERROR(__xludf.DUMMYFUNCTION("""COMPUTED_VALUE"""),"J")</f>
        <v>J</v>
      </c>
      <c r="F1553" s="202" t="str">
        <f ca="1">IFERROR(__xludf.DUMMYFUNCTION("""COMPUTED_VALUE"""),"I")</f>
        <v>I</v>
      </c>
      <c r="G1553" s="202">
        <f ca="1">IFERROR(__xludf.DUMMYFUNCTION("""COMPUTED_VALUE"""),1)</f>
        <v>1</v>
      </c>
      <c r="H1553" s="206">
        <v>61.1</v>
      </c>
      <c r="I1553" s="206"/>
      <c r="J1553" s="206" t="s">
        <v>121</v>
      </c>
      <c r="K1553" s="206"/>
      <c r="L1553" s="206" t="str">
        <v xml:space="preserve"> 61.1</v>
      </c>
      <c r="M1553" s="206" t="str">
        <v/>
      </c>
    </row>
    <row r="1554" spans="1:13" ht="14.4">
      <c r="A1554" s="199" t="str">
        <f ca="1">IFERROR(__xludf.DUMMYFUNCTION("""COMPUTED_VALUE"""),"OKM")</f>
        <v>OKM</v>
      </c>
      <c r="B1554" s="207" t="str">
        <f ca="1">IFERROR(__xludf.DUMMYFUNCTION("""COMPUTED_VALUE"""),"Abby West")</f>
        <v>Abby West</v>
      </c>
      <c r="C1554" s="199">
        <f ca="1">IFERROR(__xludf.DUMMYFUNCTION("""COMPUTED_VALUE"""),11)</f>
        <v>11</v>
      </c>
      <c r="D1554" s="199" t="str">
        <f ca="1">IFERROR(__xludf.DUMMYFUNCTION("""COMPUTED_VALUE"""),"G")</f>
        <v>G</v>
      </c>
      <c r="E1554" s="202" t="str">
        <f ca="1">IFERROR(__xludf.DUMMYFUNCTION("""COMPUTED_VALUE"""),"J")</f>
        <v>J</v>
      </c>
      <c r="F1554" s="202" t="str">
        <f ca="1">IFERROR(__xludf.DUMMYFUNCTION("""COMPUTED_VALUE"""),"I")</f>
        <v>I</v>
      </c>
      <c r="G1554" s="202">
        <f ca="1">IFERROR(__xludf.DUMMYFUNCTION("""COMPUTED_VALUE"""),1)</f>
        <v>1</v>
      </c>
      <c r="H1554" s="208">
        <v>48.85</v>
      </c>
      <c r="I1554" s="208"/>
      <c r="J1554" s="208" t="s">
        <v>121</v>
      </c>
      <c r="K1554" s="208"/>
      <c r="L1554" s="208" t="str">
        <v xml:space="preserve"> 48.85</v>
      </c>
      <c r="M1554" s="208" t="str">
        <v/>
      </c>
    </row>
    <row r="1555" spans="1:13" ht="14.4">
      <c r="A1555" s="199" t="str">
        <f ca="1">IFERROR(__xludf.DUMMYFUNCTION("""COMPUTED_VALUE"""),"OKM")</f>
        <v>OKM</v>
      </c>
      <c r="B1555" s="207" t="str">
        <f ca="1">IFERROR(__xludf.DUMMYFUNCTION("""COMPUTED_VALUE"""),"Beatrice Shirley")</f>
        <v>Beatrice Shirley</v>
      </c>
      <c r="C1555" s="199">
        <f ca="1">IFERROR(__xludf.DUMMYFUNCTION("""COMPUTED_VALUE"""),11)</f>
        <v>11</v>
      </c>
      <c r="D1555" s="199" t="str">
        <f ca="1">IFERROR(__xludf.DUMMYFUNCTION("""COMPUTED_VALUE"""),"G")</f>
        <v>G</v>
      </c>
      <c r="E1555" s="202" t="str">
        <f ca="1">IFERROR(__xludf.DUMMYFUNCTION("""COMPUTED_VALUE"""),"J")</f>
        <v>J</v>
      </c>
      <c r="F1555" s="202" t="str">
        <f ca="1">IFERROR(__xludf.DUMMYFUNCTION("""COMPUTED_VALUE"""),"I")</f>
        <v>I</v>
      </c>
      <c r="G1555" s="202">
        <f ca="1">IFERROR(__xludf.DUMMYFUNCTION("""COMPUTED_VALUE"""),1)</f>
        <v>1</v>
      </c>
      <c r="H1555" s="206"/>
      <c r="I1555" s="206"/>
      <c r="J1555" s="206"/>
      <c r="K1555" s="206"/>
      <c r="L1555" s="206" t="str">
        <v/>
      </c>
      <c r="M1555" s="206" t="str">
        <v/>
      </c>
    </row>
    <row r="1556" spans="1:13" ht="14.4">
      <c r="A1556" s="199" t="str">
        <f ca="1">IFERROR(__xludf.DUMMYFUNCTION("""COMPUTED_VALUE"""),"OKM")</f>
        <v>OKM</v>
      </c>
      <c r="B1556" s="207" t="str">
        <f ca="1">IFERROR(__xludf.DUMMYFUNCTION("""COMPUTED_VALUE"""),"Caroline Copes")</f>
        <v>Caroline Copes</v>
      </c>
      <c r="C1556" s="199">
        <f ca="1">IFERROR(__xludf.DUMMYFUNCTION("""COMPUTED_VALUE"""),11)</f>
        <v>11</v>
      </c>
      <c r="D1556" s="199" t="str">
        <f ca="1">IFERROR(__xludf.DUMMYFUNCTION("""COMPUTED_VALUE"""),"G")</f>
        <v>G</v>
      </c>
      <c r="E1556" s="202" t="str">
        <f ca="1">IFERROR(__xludf.DUMMYFUNCTION("""COMPUTED_VALUE"""),"J")</f>
        <v>J</v>
      </c>
      <c r="F1556" s="202" t="str">
        <f ca="1">IFERROR(__xludf.DUMMYFUNCTION("""COMPUTED_VALUE"""),"I")</f>
        <v>I</v>
      </c>
      <c r="G1556" s="202">
        <f ca="1">IFERROR(__xludf.DUMMYFUNCTION("""COMPUTED_VALUE"""),1)</f>
        <v>1</v>
      </c>
      <c r="H1556" s="206">
        <v>75.7</v>
      </c>
      <c r="I1556" s="206"/>
      <c r="J1556" s="206" t="s">
        <v>121</v>
      </c>
      <c r="K1556" s="206"/>
      <c r="L1556" s="206" t="str">
        <v xml:space="preserve"> 75.7</v>
      </c>
      <c r="M1556" s="206" t="str">
        <v/>
      </c>
    </row>
    <row r="1557" spans="1:13" ht="14.4">
      <c r="A1557" s="199" t="str">
        <f ca="1">IFERROR(__xludf.DUMMYFUNCTION("""COMPUTED_VALUE"""),"OKM")</f>
        <v>OKM</v>
      </c>
      <c r="B1557" s="207" t="str">
        <f ca="1">IFERROR(__xludf.DUMMYFUNCTION("""COMPUTED_VALUE"""),"Paige Kiddey")</f>
        <v>Paige Kiddey</v>
      </c>
      <c r="C1557" s="199">
        <f ca="1">IFERROR(__xludf.DUMMYFUNCTION("""COMPUTED_VALUE"""),12)</f>
        <v>12</v>
      </c>
      <c r="D1557" s="199" t="str">
        <f ca="1">IFERROR(__xludf.DUMMYFUNCTION("""COMPUTED_VALUE"""),"G")</f>
        <v>G</v>
      </c>
      <c r="E1557" s="202" t="str">
        <f ca="1">IFERROR(__xludf.DUMMYFUNCTION("""COMPUTED_VALUE"""),"J")</f>
        <v>J</v>
      </c>
      <c r="F1557" s="202" t="str">
        <f ca="1">IFERROR(__xludf.DUMMYFUNCTION("""COMPUTED_VALUE"""),"I")</f>
        <v>I</v>
      </c>
      <c r="G1557" s="202">
        <f ca="1">IFERROR(__xludf.DUMMYFUNCTION("""COMPUTED_VALUE"""),1)</f>
        <v>1</v>
      </c>
      <c r="H1557" s="206">
        <v>66.25</v>
      </c>
      <c r="I1557" s="206"/>
      <c r="J1557" s="206" t="s">
        <v>121</v>
      </c>
      <c r="K1557" s="206"/>
      <c r="L1557" s="206" t="str">
        <v xml:space="preserve"> 66.25</v>
      </c>
      <c r="M1557" s="206" t="str">
        <v/>
      </c>
    </row>
    <row r="1558" spans="1:13" ht="14.4">
      <c r="A1558" s="199" t="str">
        <f ca="1">IFERROR(__xludf.DUMMYFUNCTION("""COMPUTED_VALUE"""),"OKM")</f>
        <v>OKM</v>
      </c>
      <c r="B1558" s="207" t="str">
        <f ca="1">IFERROR(__xludf.DUMMYFUNCTION("""COMPUTED_VALUE"""),"Adam Osterhout")</f>
        <v>Adam Osterhout</v>
      </c>
      <c r="C1558" s="199">
        <f ca="1">IFERROR(__xludf.DUMMYFUNCTION("""COMPUTED_VALUE"""),15)</f>
        <v>15</v>
      </c>
      <c r="D1558" s="199" t="str">
        <f ca="1">IFERROR(__xludf.DUMMYFUNCTION("""COMPUTED_VALUE"""),"B")</f>
        <v>B</v>
      </c>
      <c r="E1558" s="202" t="str">
        <f ca="1">IFERROR(__xludf.DUMMYFUNCTION("""COMPUTED_VALUE"""),"S")</f>
        <v>S</v>
      </c>
      <c r="F1558" s="202" t="str">
        <f ca="1">IFERROR(__xludf.DUMMYFUNCTION("""COMPUTED_VALUE"""),"S")</f>
        <v>S</v>
      </c>
      <c r="G1558" s="202">
        <f ca="1">IFERROR(__xludf.DUMMYFUNCTION("""COMPUTED_VALUE"""),1)</f>
        <v>1</v>
      </c>
      <c r="H1558" s="206"/>
      <c r="I1558" s="206">
        <v>147.80000000000001</v>
      </c>
      <c r="J1558" s="206"/>
      <c r="K1558" s="206" t="s">
        <v>121</v>
      </c>
      <c r="L1558" s="206" t="str">
        <v xml:space="preserve"> 147.8</v>
      </c>
      <c r="M1558" s="206" t="str">
        <v/>
      </c>
    </row>
    <row r="1559" spans="1:13" ht="14.4">
      <c r="A1559" s="199" t="str">
        <f ca="1">IFERROR(__xludf.DUMMYFUNCTION("""COMPUTED_VALUE"""),"OKM")</f>
        <v>OKM</v>
      </c>
      <c r="B1559" s="207" t="str">
        <f ca="1">IFERROR(__xludf.DUMMYFUNCTION("""COMPUTED_VALUE"""),"JP Wiluz")</f>
        <v>JP Wiluz</v>
      </c>
      <c r="C1559" s="199">
        <f ca="1">IFERROR(__xludf.DUMMYFUNCTION("""COMPUTED_VALUE"""),19)</f>
        <v>19</v>
      </c>
      <c r="D1559" s="199" t="str">
        <f ca="1">IFERROR(__xludf.DUMMYFUNCTION("""COMPUTED_VALUE"""),"B")</f>
        <v>B</v>
      </c>
      <c r="E1559" s="202" t="str">
        <f ca="1">IFERROR(__xludf.DUMMYFUNCTION("""COMPUTED_VALUE"""),"S")</f>
        <v>S</v>
      </c>
      <c r="F1559" s="202" t="str">
        <f ca="1">IFERROR(__xludf.DUMMYFUNCTION("""COMPUTED_VALUE"""),"S")</f>
        <v>S</v>
      </c>
      <c r="G1559" s="202">
        <f ca="1">IFERROR(__xludf.DUMMYFUNCTION("""COMPUTED_VALUE"""),1)</f>
        <v>1</v>
      </c>
      <c r="H1559" s="206"/>
      <c r="I1559" s="206">
        <v>179.55</v>
      </c>
      <c r="J1559" s="206"/>
      <c r="K1559" s="206" t="s">
        <v>121</v>
      </c>
      <c r="L1559" s="206" t="str">
        <v xml:space="preserve"> 179.55</v>
      </c>
      <c r="M1559" s="206" t="str">
        <v/>
      </c>
    </row>
    <row r="1560" spans="1:13" ht="14.4">
      <c r="A1560" s="199" t="str">
        <f ca="1">IFERROR(__xludf.DUMMYFUNCTION("""COMPUTED_VALUE"""),"OKM")</f>
        <v>OKM</v>
      </c>
      <c r="B1560" s="207" t="str">
        <f ca="1">IFERROR(__xludf.DUMMYFUNCTION("""COMPUTED_VALUE"""),"Liam MIller")</f>
        <v>Liam MIller</v>
      </c>
      <c r="C1560" s="199">
        <f ca="1">IFERROR(__xludf.DUMMYFUNCTION("""COMPUTED_VALUE"""),15)</f>
        <v>15</v>
      </c>
      <c r="D1560" s="199" t="str">
        <f ca="1">IFERROR(__xludf.DUMMYFUNCTION("""COMPUTED_VALUE"""),"B")</f>
        <v>B</v>
      </c>
      <c r="E1560" s="202" t="str">
        <f ca="1">IFERROR(__xludf.DUMMYFUNCTION("""COMPUTED_VALUE"""),"S")</f>
        <v>S</v>
      </c>
      <c r="F1560" s="202" t="str">
        <f ca="1">IFERROR(__xludf.DUMMYFUNCTION("""COMPUTED_VALUE"""),"S")</f>
        <v>S</v>
      </c>
      <c r="G1560" s="202">
        <f ca="1">IFERROR(__xludf.DUMMYFUNCTION("""COMPUTED_VALUE"""),1)</f>
        <v>1</v>
      </c>
      <c r="H1560" s="208"/>
      <c r="I1560" s="208">
        <v>260.10000000000002</v>
      </c>
      <c r="J1560" s="208"/>
      <c r="K1560" s="208" t="s">
        <v>121</v>
      </c>
      <c r="L1560" s="208" t="str">
        <v xml:space="preserve"> 260.1</v>
      </c>
      <c r="M1560" s="208" t="str">
        <v/>
      </c>
    </row>
    <row r="1561" spans="1:13" ht="14.4">
      <c r="A1561" s="199" t="str">
        <f ca="1">IFERROR(__xludf.DUMMYFUNCTION("""COMPUTED_VALUE"""),"OKM")</f>
        <v>OKM</v>
      </c>
      <c r="B1561" s="207" t="str">
        <f ca="1">IFERROR(__xludf.DUMMYFUNCTION("""COMPUTED_VALUE"""),"Thomas Hughes")</f>
        <v>Thomas Hughes</v>
      </c>
      <c r="C1561" s="199">
        <f ca="1">IFERROR(__xludf.DUMMYFUNCTION("""COMPUTED_VALUE"""),16)</f>
        <v>16</v>
      </c>
      <c r="D1561" s="199" t="str">
        <f ca="1">IFERROR(__xludf.DUMMYFUNCTION("""COMPUTED_VALUE"""),"B")</f>
        <v>B</v>
      </c>
      <c r="E1561" s="202" t="str">
        <f ca="1">IFERROR(__xludf.DUMMYFUNCTION("""COMPUTED_VALUE"""),"S")</f>
        <v>S</v>
      </c>
      <c r="F1561" s="202" t="str">
        <f ca="1">IFERROR(__xludf.DUMMYFUNCTION("""COMPUTED_VALUE"""),"S")</f>
        <v>S</v>
      </c>
      <c r="G1561" s="202">
        <f ca="1">IFERROR(__xludf.DUMMYFUNCTION("""COMPUTED_VALUE"""),1)</f>
        <v>1</v>
      </c>
      <c r="H1561" s="206"/>
      <c r="I1561" s="206">
        <v>187</v>
      </c>
      <c r="J1561" s="206"/>
      <c r="K1561" s="206" t="s">
        <v>121</v>
      </c>
      <c r="L1561" s="206" t="str">
        <v xml:space="preserve"> 187</v>
      </c>
      <c r="M1561" s="206" t="str">
        <v/>
      </c>
    </row>
    <row r="1562" spans="1:13" ht="14.4">
      <c r="A1562" s="199" t="str">
        <f ca="1">IFERROR(__xludf.DUMMYFUNCTION("""COMPUTED_VALUE"""),"OKM")</f>
        <v>OKM</v>
      </c>
      <c r="B1562" s="207" t="str">
        <f ca="1">IFERROR(__xludf.DUMMYFUNCTION("""COMPUTED_VALUE"""),"Ainsley Taylor")</f>
        <v>Ainsley Taylor</v>
      </c>
      <c r="C1562" s="199">
        <f ca="1">IFERROR(__xludf.DUMMYFUNCTION("""COMPUTED_VALUE"""),16)</f>
        <v>16</v>
      </c>
      <c r="D1562" s="199" t="str">
        <f ca="1">IFERROR(__xludf.DUMMYFUNCTION("""COMPUTED_VALUE"""),"G")</f>
        <v>G</v>
      </c>
      <c r="E1562" s="202" t="str">
        <f ca="1">IFERROR(__xludf.DUMMYFUNCTION("""COMPUTED_VALUE"""),"S")</f>
        <v>S</v>
      </c>
      <c r="F1562" s="202" t="str">
        <f ca="1">IFERROR(__xludf.DUMMYFUNCTION("""COMPUTED_VALUE"""),"S")</f>
        <v>S</v>
      </c>
      <c r="G1562" s="202">
        <f ca="1">IFERROR(__xludf.DUMMYFUNCTION("""COMPUTED_VALUE"""),1)</f>
        <v>1</v>
      </c>
      <c r="H1562" s="206"/>
      <c r="I1562" s="206"/>
      <c r="J1562" s="206"/>
      <c r="K1562" s="206"/>
      <c r="L1562" s="206" t="str">
        <v/>
      </c>
      <c r="M1562" s="206" t="str">
        <v/>
      </c>
    </row>
    <row r="1563" spans="1:13" ht="14.4">
      <c r="A1563" s="199" t="str">
        <f ca="1">IFERROR(__xludf.DUMMYFUNCTION("""COMPUTED_VALUE"""),"OKM")</f>
        <v>OKM</v>
      </c>
      <c r="B1563" s="207" t="str">
        <f ca="1">IFERROR(__xludf.DUMMYFUNCTION("""COMPUTED_VALUE"""),"Cara DeJesus")</f>
        <v>Cara DeJesus</v>
      </c>
      <c r="C1563" s="199">
        <f ca="1">IFERROR(__xludf.DUMMYFUNCTION("""COMPUTED_VALUE"""),16)</f>
        <v>16</v>
      </c>
      <c r="D1563" s="199" t="str">
        <f ca="1">IFERROR(__xludf.DUMMYFUNCTION("""COMPUTED_VALUE"""),"G")</f>
        <v>G</v>
      </c>
      <c r="E1563" s="202" t="str">
        <f ca="1">IFERROR(__xludf.DUMMYFUNCTION("""COMPUTED_VALUE"""),"S")</f>
        <v>S</v>
      </c>
      <c r="F1563" s="202" t="str">
        <f ca="1">IFERROR(__xludf.DUMMYFUNCTION("""COMPUTED_VALUE"""),"S")</f>
        <v>S</v>
      </c>
      <c r="G1563" s="202">
        <f ca="1">IFERROR(__xludf.DUMMYFUNCTION("""COMPUTED_VALUE"""),1)</f>
        <v>1</v>
      </c>
      <c r="H1563" s="208">
        <v>219.15</v>
      </c>
      <c r="I1563" s="208"/>
      <c r="J1563" s="208" t="s">
        <v>121</v>
      </c>
      <c r="K1563" s="208"/>
      <c r="L1563" s="208" t="str">
        <v xml:space="preserve"> 219.15</v>
      </c>
      <c r="M1563" s="208" t="str">
        <v/>
      </c>
    </row>
    <row r="1564" spans="1:13" ht="14.4">
      <c r="A1564" s="199" t="str">
        <f ca="1">IFERROR(__xludf.DUMMYFUNCTION("""COMPUTED_VALUE"""),"OKM")</f>
        <v>OKM</v>
      </c>
      <c r="B1564" s="207" t="str">
        <f ca="1">IFERROR(__xludf.DUMMYFUNCTION("""COMPUTED_VALUE"""),"Sania Dhond")</f>
        <v>Sania Dhond</v>
      </c>
      <c r="C1564" s="199">
        <f ca="1">IFERROR(__xludf.DUMMYFUNCTION("""COMPUTED_VALUE"""),15)</f>
        <v>15</v>
      </c>
      <c r="D1564" s="199" t="str">
        <f ca="1">IFERROR(__xludf.DUMMYFUNCTION("""COMPUTED_VALUE"""),"G")</f>
        <v>G</v>
      </c>
      <c r="E1564" s="202" t="str">
        <f ca="1">IFERROR(__xludf.DUMMYFUNCTION("""COMPUTED_VALUE"""),"S")</f>
        <v>S</v>
      </c>
      <c r="F1564" s="202" t="str">
        <f ca="1">IFERROR(__xludf.DUMMYFUNCTION("""COMPUTED_VALUE"""),"S")</f>
        <v>S</v>
      </c>
      <c r="G1564" s="202">
        <f ca="1">IFERROR(__xludf.DUMMYFUNCTION("""COMPUTED_VALUE"""),1)</f>
        <v>1</v>
      </c>
      <c r="H1564" s="206">
        <v>165.95</v>
      </c>
      <c r="I1564" s="206"/>
      <c r="J1564" s="206" t="s">
        <v>121</v>
      </c>
      <c r="K1564" s="206"/>
      <c r="L1564" s="206" t="str">
        <v xml:space="preserve"> 165.95</v>
      </c>
      <c r="M1564" s="206" t="str">
        <v/>
      </c>
    </row>
    <row r="1565" spans="1:13" ht="14.4">
      <c r="A1565" s="199" t="str">
        <f ca="1">IFERROR(__xludf.DUMMYFUNCTION("""COMPUTED_VALUE"""),"PAR")</f>
        <v>PAR</v>
      </c>
      <c r="B1565" s="207" t="str">
        <f ca="1">IFERROR(__xludf.DUMMYFUNCTION("""COMPUTED_VALUE"""),"AJ Gordon")</f>
        <v>AJ Gordon</v>
      </c>
      <c r="C1565" s="199">
        <f ca="1">IFERROR(__xludf.DUMMYFUNCTION("""COMPUTED_VALUE"""),8)</f>
        <v>8</v>
      </c>
      <c r="D1565" s="199" t="str">
        <f ca="1">IFERROR(__xludf.DUMMYFUNCTION("""COMPUTED_VALUE"""),"B")</f>
        <v>B</v>
      </c>
      <c r="E1565" s="202" t="str">
        <f ca="1">IFERROR(__xludf.DUMMYFUNCTION("""COMPUTED_VALUE"""),"F")</f>
        <v>F</v>
      </c>
      <c r="F1565" s="202" t="str">
        <f ca="1">IFERROR(__xludf.DUMMYFUNCTION("""COMPUTED_VALUE"""),"J")</f>
        <v>J</v>
      </c>
      <c r="G1565" s="202">
        <f ca="1">IFERROR(__xludf.DUMMYFUNCTION("""COMPUTED_VALUE"""),6)</f>
        <v>6</v>
      </c>
      <c r="H1565" s="206"/>
      <c r="I1565" s="206"/>
      <c r="J1565" s="206"/>
      <c r="K1565" s="206"/>
      <c r="L1565" s="206" t="str">
        <v/>
      </c>
      <c r="M1565" s="206" t="str">
        <v/>
      </c>
    </row>
    <row r="1566" spans="1:13" ht="14.4">
      <c r="A1566" s="199" t="str">
        <f ca="1">IFERROR(__xludf.DUMMYFUNCTION("""COMPUTED_VALUE"""),"PAR")</f>
        <v>PAR</v>
      </c>
      <c r="B1566" s="207" t="str">
        <f ca="1">IFERROR(__xludf.DUMMYFUNCTION("""COMPUTED_VALUE"""),"Avery Edwards")</f>
        <v>Avery Edwards</v>
      </c>
      <c r="C1566" s="199">
        <f ca="1">IFERROR(__xludf.DUMMYFUNCTION("""COMPUTED_VALUE"""),10)</f>
        <v>10</v>
      </c>
      <c r="D1566" s="199" t="str">
        <f ca="1">IFERROR(__xludf.DUMMYFUNCTION("""COMPUTED_VALUE"""),"B")</f>
        <v>B</v>
      </c>
      <c r="E1566" s="202" t="str">
        <f ca="1">IFERROR(__xludf.DUMMYFUNCTION("""COMPUTED_VALUE"""),"F")</f>
        <v>F</v>
      </c>
      <c r="F1566" s="202" t="str">
        <f ca="1">IFERROR(__xludf.DUMMYFUNCTION("""COMPUTED_VALUE"""),"J")</f>
        <v>J</v>
      </c>
      <c r="G1566" s="202">
        <f ca="1">IFERROR(__xludf.DUMMYFUNCTION("""COMPUTED_VALUE"""),6)</f>
        <v>6</v>
      </c>
      <c r="H1566" s="206"/>
      <c r="I1566" s="206">
        <v>29.75</v>
      </c>
      <c r="J1566" s="206"/>
      <c r="K1566" s="206" t="s">
        <v>121</v>
      </c>
      <c r="L1566" s="206" t="str">
        <v xml:space="preserve"> 29.75</v>
      </c>
      <c r="M1566" s="206" t="str">
        <v/>
      </c>
    </row>
    <row r="1567" spans="1:13" ht="14.4">
      <c r="A1567" s="199" t="str">
        <f ca="1">IFERROR(__xludf.DUMMYFUNCTION("""COMPUTED_VALUE"""),"PAR")</f>
        <v>PAR</v>
      </c>
      <c r="B1567" s="207" t="str">
        <f ca="1">IFERROR(__xludf.DUMMYFUNCTION("""COMPUTED_VALUE"""),"Drew Avila")</f>
        <v>Drew Avila</v>
      </c>
      <c r="C1567" s="199">
        <f ca="1">IFERROR(__xludf.DUMMYFUNCTION("""COMPUTED_VALUE"""),10)</f>
        <v>10</v>
      </c>
      <c r="D1567" s="199" t="str">
        <f ca="1">IFERROR(__xludf.DUMMYFUNCTION("""COMPUTED_VALUE"""),"B")</f>
        <v>B</v>
      </c>
      <c r="E1567" s="202" t="str">
        <f ca="1">IFERROR(__xludf.DUMMYFUNCTION("""COMPUTED_VALUE"""),"F")</f>
        <v>F</v>
      </c>
      <c r="F1567" s="202" t="str">
        <f ca="1">IFERROR(__xludf.DUMMYFUNCTION("""COMPUTED_VALUE"""),"J")</f>
        <v>J</v>
      </c>
      <c r="G1567" s="202">
        <f ca="1">IFERROR(__xludf.DUMMYFUNCTION("""COMPUTED_VALUE"""),6)</f>
        <v>6</v>
      </c>
      <c r="H1567" s="206"/>
      <c r="I1567" s="206">
        <v>40.299999999999997</v>
      </c>
      <c r="J1567" s="206"/>
      <c r="K1567" s="206" t="s">
        <v>121</v>
      </c>
      <c r="L1567" s="206" t="str">
        <v xml:space="preserve"> 40.3</v>
      </c>
      <c r="M1567" s="206" t="str">
        <v/>
      </c>
    </row>
    <row r="1568" spans="1:13" ht="14.4">
      <c r="A1568" s="199" t="str">
        <f ca="1">IFERROR(__xludf.DUMMYFUNCTION("""COMPUTED_VALUE"""),"PAR")</f>
        <v>PAR</v>
      </c>
      <c r="B1568" s="207" t="str">
        <f ca="1">IFERROR(__xludf.DUMMYFUNCTION("""COMPUTED_VALUE"""),"Fynn Miller")</f>
        <v>Fynn Miller</v>
      </c>
      <c r="C1568" s="199">
        <f ca="1">IFERROR(__xludf.DUMMYFUNCTION("""COMPUTED_VALUE"""),7)</f>
        <v>7</v>
      </c>
      <c r="D1568" s="199" t="str">
        <f ca="1">IFERROR(__xludf.DUMMYFUNCTION("""COMPUTED_VALUE"""),"B")</f>
        <v>B</v>
      </c>
      <c r="E1568" s="202" t="str">
        <f ca="1">IFERROR(__xludf.DUMMYFUNCTION("""COMPUTED_VALUE"""),"F")</f>
        <v>F</v>
      </c>
      <c r="F1568" s="202" t="str">
        <f ca="1">IFERROR(__xludf.DUMMYFUNCTION("""COMPUTED_VALUE"""),"J")</f>
        <v>J</v>
      </c>
      <c r="G1568" s="202">
        <f ca="1">IFERROR(__xludf.DUMMYFUNCTION("""COMPUTED_VALUE"""),6)</f>
        <v>6</v>
      </c>
      <c r="H1568" s="206"/>
      <c r="I1568" s="206">
        <v>25.5</v>
      </c>
      <c r="J1568" s="206"/>
      <c r="K1568" s="206" t="s">
        <v>121</v>
      </c>
      <c r="L1568" s="206" t="str">
        <v xml:space="preserve"> 25.5</v>
      </c>
      <c r="M1568" s="206" t="str">
        <v/>
      </c>
    </row>
    <row r="1569" spans="1:13" ht="14.4">
      <c r="A1569" s="199" t="str">
        <f ca="1">IFERROR(__xludf.DUMMYFUNCTION("""COMPUTED_VALUE"""),"PAR")</f>
        <v>PAR</v>
      </c>
      <c r="B1569" s="207" t="str">
        <f ca="1">IFERROR(__xludf.DUMMYFUNCTION("""COMPUTED_VALUE"""),"Nolan Scott")</f>
        <v>Nolan Scott</v>
      </c>
      <c r="C1569" s="199">
        <f ca="1">IFERROR(__xludf.DUMMYFUNCTION("""COMPUTED_VALUE"""),10)</f>
        <v>10</v>
      </c>
      <c r="D1569" s="199" t="str">
        <f ca="1">IFERROR(__xludf.DUMMYFUNCTION("""COMPUTED_VALUE"""),"B")</f>
        <v>B</v>
      </c>
      <c r="E1569" s="202" t="str">
        <f ca="1">IFERROR(__xludf.DUMMYFUNCTION("""COMPUTED_VALUE"""),"F")</f>
        <v>F</v>
      </c>
      <c r="F1569" s="202" t="str">
        <f ca="1">IFERROR(__xludf.DUMMYFUNCTION("""COMPUTED_VALUE"""),"J")</f>
        <v>J</v>
      </c>
      <c r="G1569" s="202">
        <f ca="1">IFERROR(__xludf.DUMMYFUNCTION("""COMPUTED_VALUE"""),6)</f>
        <v>6</v>
      </c>
      <c r="H1569" s="206"/>
      <c r="I1569" s="206">
        <v>57.3</v>
      </c>
      <c r="J1569" s="206"/>
      <c r="K1569" s="206" t="s">
        <v>121</v>
      </c>
      <c r="L1569" s="206" t="str">
        <v xml:space="preserve"> 57.3</v>
      </c>
      <c r="M1569" s="206" t="str">
        <v/>
      </c>
    </row>
    <row r="1570" spans="1:13" ht="14.4">
      <c r="A1570" s="199" t="str">
        <f ca="1">IFERROR(__xludf.DUMMYFUNCTION("""COMPUTED_VALUE"""),"PAR")</f>
        <v>PAR</v>
      </c>
      <c r="B1570" s="207" t="str">
        <f ca="1">IFERROR(__xludf.DUMMYFUNCTION("""COMPUTED_VALUE"""),"Aubree Burnside")</f>
        <v>Aubree Burnside</v>
      </c>
      <c r="C1570" s="199">
        <f ca="1">IFERROR(__xludf.DUMMYFUNCTION("""COMPUTED_VALUE"""),10)</f>
        <v>10</v>
      </c>
      <c r="D1570" s="199" t="str">
        <f ca="1">IFERROR(__xludf.DUMMYFUNCTION("""COMPUTED_VALUE"""),"G")</f>
        <v>G</v>
      </c>
      <c r="E1570" s="202" t="str">
        <f ca="1">IFERROR(__xludf.DUMMYFUNCTION("""COMPUTED_VALUE"""),"F")</f>
        <v>F</v>
      </c>
      <c r="F1570" s="202" t="str">
        <f ca="1">IFERROR(__xludf.DUMMYFUNCTION("""COMPUTED_VALUE"""),"J")</f>
        <v>J</v>
      </c>
      <c r="G1570" s="202">
        <f ca="1">IFERROR(__xludf.DUMMYFUNCTION("""COMPUTED_VALUE"""),6)</f>
        <v>6</v>
      </c>
      <c r="H1570" s="206">
        <v>83.55</v>
      </c>
      <c r="I1570" s="206"/>
      <c r="J1570" s="206" t="s">
        <v>123</v>
      </c>
      <c r="K1570" s="206"/>
      <c r="L1570" s="206" t="str">
        <v xml:space="preserve"> -83.55</v>
      </c>
      <c r="M1570" s="206" t="str">
        <v>^</v>
      </c>
    </row>
    <row r="1571" spans="1:13" ht="14.4">
      <c r="A1571" s="199" t="str">
        <f ca="1">IFERROR(__xludf.DUMMYFUNCTION("""COMPUTED_VALUE"""),"PAR")</f>
        <v>PAR</v>
      </c>
      <c r="B1571" s="207" t="str">
        <f ca="1">IFERROR(__xludf.DUMMYFUNCTION("""COMPUTED_VALUE"""),"Bridget Caines")</f>
        <v>Bridget Caines</v>
      </c>
      <c r="C1571" s="199">
        <f ca="1">IFERROR(__xludf.DUMMYFUNCTION("""COMPUTED_VALUE"""),8)</f>
        <v>8</v>
      </c>
      <c r="D1571" s="199" t="str">
        <f ca="1">IFERROR(__xludf.DUMMYFUNCTION("""COMPUTED_VALUE"""),"G")</f>
        <v>G</v>
      </c>
      <c r="E1571" s="202" t="str">
        <f ca="1">IFERROR(__xludf.DUMMYFUNCTION("""COMPUTED_VALUE"""),"F")</f>
        <v>F</v>
      </c>
      <c r="F1571" s="202" t="str">
        <f ca="1">IFERROR(__xludf.DUMMYFUNCTION("""COMPUTED_VALUE"""),"J")</f>
        <v>J</v>
      </c>
      <c r="G1571" s="202">
        <f ca="1">IFERROR(__xludf.DUMMYFUNCTION("""COMPUTED_VALUE"""),6)</f>
        <v>6</v>
      </c>
      <c r="H1571" s="208">
        <v>19</v>
      </c>
      <c r="I1571" s="208"/>
      <c r="J1571" s="208" t="s">
        <v>121</v>
      </c>
      <c r="K1571" s="208"/>
      <c r="L1571" s="208" t="str">
        <v xml:space="preserve"> 19</v>
      </c>
      <c r="M1571" s="208" t="str">
        <v/>
      </c>
    </row>
    <row r="1572" spans="1:13" ht="14.4">
      <c r="A1572" s="199" t="str">
        <f ca="1">IFERROR(__xludf.DUMMYFUNCTION("""COMPUTED_VALUE"""),"PAR")</f>
        <v>PAR</v>
      </c>
      <c r="B1572" s="207" t="str">
        <f ca="1">IFERROR(__xludf.DUMMYFUNCTION("""COMPUTED_VALUE"""),"Brielle Burnside")</f>
        <v>Brielle Burnside</v>
      </c>
      <c r="C1572" s="199">
        <f ca="1">IFERROR(__xludf.DUMMYFUNCTION("""COMPUTED_VALUE"""),7)</f>
        <v>7</v>
      </c>
      <c r="D1572" s="199" t="str">
        <f ca="1">IFERROR(__xludf.DUMMYFUNCTION("""COMPUTED_VALUE"""),"G")</f>
        <v>G</v>
      </c>
      <c r="E1572" s="202" t="str">
        <f ca="1">IFERROR(__xludf.DUMMYFUNCTION("""COMPUTED_VALUE"""),"F")</f>
        <v>F</v>
      </c>
      <c r="F1572" s="202" t="str">
        <f ca="1">IFERROR(__xludf.DUMMYFUNCTION("""COMPUTED_VALUE"""),"J")</f>
        <v>J</v>
      </c>
      <c r="G1572" s="202">
        <f ca="1">IFERROR(__xludf.DUMMYFUNCTION("""COMPUTED_VALUE"""),6)</f>
        <v>6</v>
      </c>
      <c r="H1572" s="206">
        <v>25</v>
      </c>
      <c r="I1572" s="206"/>
      <c r="J1572" s="206" t="s">
        <v>121</v>
      </c>
      <c r="K1572" s="206"/>
      <c r="L1572" s="206" t="str">
        <v xml:space="preserve"> 25</v>
      </c>
      <c r="M1572" s="206" t="str">
        <v/>
      </c>
    </row>
    <row r="1573" spans="1:13" ht="14.4">
      <c r="A1573" s="199" t="str">
        <f ca="1">IFERROR(__xludf.DUMMYFUNCTION("""COMPUTED_VALUE"""),"PAR")</f>
        <v>PAR</v>
      </c>
      <c r="B1573" s="207" t="str">
        <f ca="1">IFERROR(__xludf.DUMMYFUNCTION("""COMPUTED_VALUE"""),"Charlotte Rotteveel")</f>
        <v>Charlotte Rotteveel</v>
      </c>
      <c r="C1573" s="199">
        <f ca="1">IFERROR(__xludf.DUMMYFUNCTION("""COMPUTED_VALUE"""),8)</f>
        <v>8</v>
      </c>
      <c r="D1573" s="199" t="str">
        <f ca="1">IFERROR(__xludf.DUMMYFUNCTION("""COMPUTED_VALUE"""),"G")</f>
        <v>G</v>
      </c>
      <c r="E1573" s="202" t="str">
        <f ca="1">IFERROR(__xludf.DUMMYFUNCTION("""COMPUTED_VALUE"""),"F")</f>
        <v>F</v>
      </c>
      <c r="F1573" s="202" t="str">
        <f ca="1">IFERROR(__xludf.DUMMYFUNCTION("""COMPUTED_VALUE"""),"J")</f>
        <v>J</v>
      </c>
      <c r="G1573" s="202">
        <f ca="1">IFERROR(__xludf.DUMMYFUNCTION("""COMPUTED_VALUE"""),6)</f>
        <v>6</v>
      </c>
      <c r="H1573" s="206">
        <v>66.599999999999994</v>
      </c>
      <c r="I1573" s="206"/>
      <c r="J1573" s="206" t="s">
        <v>121</v>
      </c>
      <c r="K1573" s="206"/>
      <c r="L1573" s="206" t="str">
        <v xml:space="preserve"> 66.6</v>
      </c>
      <c r="M1573" s="206" t="str">
        <v/>
      </c>
    </row>
    <row r="1574" spans="1:13" ht="14.4">
      <c r="A1574" s="199" t="str">
        <f ca="1">IFERROR(__xludf.DUMMYFUNCTION("""COMPUTED_VALUE"""),"PAR")</f>
        <v>PAR</v>
      </c>
      <c r="B1574" s="207" t="str">
        <f ca="1">IFERROR(__xludf.DUMMYFUNCTION("""COMPUTED_VALUE"""),"Gabby Smith")</f>
        <v>Gabby Smith</v>
      </c>
      <c r="C1574" s="199">
        <f ca="1">IFERROR(__xludf.DUMMYFUNCTION("""COMPUTED_VALUE"""),8)</f>
        <v>8</v>
      </c>
      <c r="D1574" s="199" t="str">
        <f ca="1">IFERROR(__xludf.DUMMYFUNCTION("""COMPUTED_VALUE"""),"G")</f>
        <v>G</v>
      </c>
      <c r="E1574" s="202" t="str">
        <f ca="1">IFERROR(__xludf.DUMMYFUNCTION("""COMPUTED_VALUE"""),"F")</f>
        <v>F</v>
      </c>
      <c r="F1574" s="202" t="str">
        <f ca="1">IFERROR(__xludf.DUMMYFUNCTION("""COMPUTED_VALUE"""),"J")</f>
        <v>J</v>
      </c>
      <c r="G1574" s="202">
        <f ca="1">IFERROR(__xludf.DUMMYFUNCTION("""COMPUTED_VALUE"""),6)</f>
        <v>6</v>
      </c>
      <c r="H1574" s="206">
        <v>29.7</v>
      </c>
      <c r="I1574" s="206"/>
      <c r="J1574" s="206" t="s">
        <v>121</v>
      </c>
      <c r="K1574" s="206"/>
      <c r="L1574" s="206" t="str">
        <v xml:space="preserve"> 29.7</v>
      </c>
      <c r="M1574" s="206" t="str">
        <v/>
      </c>
    </row>
    <row r="1575" spans="1:13" ht="14.4">
      <c r="A1575" s="199" t="str">
        <f ca="1">IFERROR(__xludf.DUMMYFUNCTION("""COMPUTED_VALUE"""),"PAR")</f>
        <v>PAR</v>
      </c>
      <c r="B1575" s="207" t="str">
        <f ca="1">IFERROR(__xludf.DUMMYFUNCTION("""COMPUTED_VALUE"""),"Gabrielle Subsavage")</f>
        <v>Gabrielle Subsavage</v>
      </c>
      <c r="C1575" s="199">
        <f ca="1">IFERROR(__xludf.DUMMYFUNCTION("""COMPUTED_VALUE"""),9)</f>
        <v>9</v>
      </c>
      <c r="D1575" s="199" t="str">
        <f ca="1">IFERROR(__xludf.DUMMYFUNCTION("""COMPUTED_VALUE"""),"G")</f>
        <v>G</v>
      </c>
      <c r="E1575" s="202" t="str">
        <f ca="1">IFERROR(__xludf.DUMMYFUNCTION("""COMPUTED_VALUE"""),"F")</f>
        <v>F</v>
      </c>
      <c r="F1575" s="202" t="str">
        <f ca="1">IFERROR(__xludf.DUMMYFUNCTION("""COMPUTED_VALUE"""),"J")</f>
        <v>J</v>
      </c>
      <c r="G1575" s="202">
        <f ca="1">IFERROR(__xludf.DUMMYFUNCTION("""COMPUTED_VALUE"""),6)</f>
        <v>6</v>
      </c>
      <c r="H1575" s="206">
        <v>40.6</v>
      </c>
      <c r="I1575" s="206"/>
      <c r="J1575" s="206" t="s">
        <v>121</v>
      </c>
      <c r="K1575" s="206"/>
      <c r="L1575" s="206" t="str">
        <v xml:space="preserve"> 40.6</v>
      </c>
      <c r="M1575" s="206" t="str">
        <v/>
      </c>
    </row>
    <row r="1576" spans="1:13" ht="14.4">
      <c r="A1576" s="199" t="str">
        <f ca="1">IFERROR(__xludf.DUMMYFUNCTION("""COMPUTED_VALUE"""),"PAR")</f>
        <v>PAR</v>
      </c>
      <c r="B1576" s="207" t="str">
        <f ca="1">IFERROR(__xludf.DUMMYFUNCTION("""COMPUTED_VALUE"""),"Hadley Miller")</f>
        <v>Hadley Miller</v>
      </c>
      <c r="C1576" s="199">
        <f ca="1">IFERROR(__xludf.DUMMYFUNCTION("""COMPUTED_VALUE"""),6)</f>
        <v>6</v>
      </c>
      <c r="D1576" s="199" t="str">
        <f ca="1">IFERROR(__xludf.DUMMYFUNCTION("""COMPUTED_VALUE"""),"G")</f>
        <v>G</v>
      </c>
      <c r="E1576" s="202" t="str">
        <f ca="1">IFERROR(__xludf.DUMMYFUNCTION("""COMPUTED_VALUE"""),"F")</f>
        <v>F</v>
      </c>
      <c r="F1576" s="202" t="str">
        <f ca="1">IFERROR(__xludf.DUMMYFUNCTION("""COMPUTED_VALUE"""),"J")</f>
        <v>J</v>
      </c>
      <c r="G1576" s="202">
        <f ca="1">IFERROR(__xludf.DUMMYFUNCTION("""COMPUTED_VALUE"""),6)</f>
        <v>6</v>
      </c>
      <c r="H1576" s="208">
        <v>26.5</v>
      </c>
      <c r="I1576" s="208"/>
      <c r="J1576" s="208" t="s">
        <v>121</v>
      </c>
      <c r="K1576" s="208"/>
      <c r="L1576" s="208" t="str">
        <v xml:space="preserve"> 26.5</v>
      </c>
      <c r="M1576" s="208" t="str">
        <v/>
      </c>
    </row>
    <row r="1577" spans="1:13" ht="14.4">
      <c r="A1577" s="199" t="str">
        <f ca="1">IFERROR(__xludf.DUMMYFUNCTION("""COMPUTED_VALUE"""),"PAR")</f>
        <v>PAR</v>
      </c>
      <c r="B1577" s="207" t="str">
        <f ca="1">IFERROR(__xludf.DUMMYFUNCTION("""COMPUTED_VALUE"""),"Lara Henry")</f>
        <v>Lara Henry</v>
      </c>
      <c r="C1577" s="199">
        <f ca="1">IFERROR(__xludf.DUMMYFUNCTION("""COMPUTED_VALUE"""),8)</f>
        <v>8</v>
      </c>
      <c r="D1577" s="199" t="str">
        <f ca="1">IFERROR(__xludf.DUMMYFUNCTION("""COMPUTED_VALUE"""),"G")</f>
        <v>G</v>
      </c>
      <c r="E1577" s="202" t="str">
        <f ca="1">IFERROR(__xludf.DUMMYFUNCTION("""COMPUTED_VALUE"""),"F")</f>
        <v>F</v>
      </c>
      <c r="F1577" s="202" t="str">
        <f ca="1">IFERROR(__xludf.DUMMYFUNCTION("""COMPUTED_VALUE"""),"J")</f>
        <v>J</v>
      </c>
      <c r="G1577" s="202">
        <f ca="1">IFERROR(__xludf.DUMMYFUNCTION("""COMPUTED_VALUE"""),6)</f>
        <v>6</v>
      </c>
      <c r="H1577" s="206"/>
      <c r="I1577" s="206"/>
      <c r="J1577" s="206"/>
      <c r="K1577" s="206"/>
      <c r="L1577" s="206" t="str">
        <v/>
      </c>
      <c r="M1577" s="206" t="str">
        <v/>
      </c>
    </row>
    <row r="1578" spans="1:13" ht="14.4">
      <c r="A1578" s="199" t="str">
        <f ca="1">IFERROR(__xludf.DUMMYFUNCTION("""COMPUTED_VALUE"""),"PAR")</f>
        <v>PAR</v>
      </c>
      <c r="B1578" s="207" t="str">
        <f ca="1">IFERROR(__xludf.DUMMYFUNCTION("""COMPUTED_VALUE"""),"Tanisa Kanchanawanchai")</f>
        <v>Tanisa Kanchanawanchai</v>
      </c>
      <c r="C1578" s="199">
        <f ca="1">IFERROR(__xludf.DUMMYFUNCTION("""COMPUTED_VALUE"""),9)</f>
        <v>9</v>
      </c>
      <c r="D1578" s="199" t="str">
        <f ca="1">IFERROR(__xludf.DUMMYFUNCTION("""COMPUTED_VALUE"""),"G")</f>
        <v>G</v>
      </c>
      <c r="E1578" s="202" t="str">
        <f ca="1">IFERROR(__xludf.DUMMYFUNCTION("""COMPUTED_VALUE"""),"F")</f>
        <v>F</v>
      </c>
      <c r="F1578" s="202" t="str">
        <f ca="1">IFERROR(__xludf.DUMMYFUNCTION("""COMPUTED_VALUE"""),"J")</f>
        <v>J</v>
      </c>
      <c r="G1578" s="202">
        <f ca="1">IFERROR(__xludf.DUMMYFUNCTION("""COMPUTED_VALUE"""),6)</f>
        <v>6</v>
      </c>
      <c r="H1578" s="206">
        <v>28.7</v>
      </c>
      <c r="I1578" s="206"/>
      <c r="J1578" s="206" t="s">
        <v>121</v>
      </c>
      <c r="K1578" s="206"/>
      <c r="L1578" s="206" t="str">
        <v xml:space="preserve"> 28.7</v>
      </c>
      <c r="M1578" s="206" t="str">
        <v/>
      </c>
    </row>
    <row r="1579" spans="1:13" ht="14.4">
      <c r="A1579" s="199" t="str">
        <f ca="1">IFERROR(__xludf.DUMMYFUNCTION("""COMPUTED_VALUE"""),"PAR")</f>
        <v>PAR</v>
      </c>
      <c r="B1579" s="207" t="str">
        <f ca="1">IFERROR(__xludf.DUMMYFUNCTION("""COMPUTED_VALUE"""),"Daniel Belloni")</f>
        <v>Daniel Belloni</v>
      </c>
      <c r="C1579" s="199">
        <f ca="1">IFERROR(__xludf.DUMMYFUNCTION("""COMPUTED_VALUE"""),14)</f>
        <v>14</v>
      </c>
      <c r="D1579" s="199" t="str">
        <f ca="1">IFERROR(__xludf.DUMMYFUNCTION("""COMPUTED_VALUE"""),"B")</f>
        <v>B</v>
      </c>
      <c r="E1579" s="202" t="str">
        <f ca="1">IFERROR(__xludf.DUMMYFUNCTION("""COMPUTED_VALUE"""),"I")</f>
        <v>I</v>
      </c>
      <c r="F1579" s="202" t="str">
        <f ca="1">IFERROR(__xludf.DUMMYFUNCTION("""COMPUTED_VALUE"""),"S")</f>
        <v>S</v>
      </c>
      <c r="G1579" s="202">
        <f ca="1">IFERROR(__xludf.DUMMYFUNCTION("""COMPUTED_VALUE"""),6)</f>
        <v>6</v>
      </c>
      <c r="H1579" s="206"/>
      <c r="I1579" s="206">
        <v>112.75</v>
      </c>
      <c r="J1579" s="206"/>
      <c r="K1579" s="206" t="s">
        <v>121</v>
      </c>
      <c r="L1579" s="206" t="str">
        <v xml:space="preserve"> 112.75</v>
      </c>
      <c r="M1579" s="206" t="str">
        <v/>
      </c>
    </row>
    <row r="1580" spans="1:13" ht="14.4">
      <c r="A1580" s="199" t="str">
        <f ca="1">IFERROR(__xludf.DUMMYFUNCTION("""COMPUTED_VALUE"""),"PAR")</f>
        <v>PAR</v>
      </c>
      <c r="B1580" s="207" t="str">
        <f ca="1">IFERROR(__xludf.DUMMYFUNCTION("""COMPUTED_VALUE"""),"Evan Vink")</f>
        <v>Evan Vink</v>
      </c>
      <c r="C1580" s="199">
        <f ca="1">IFERROR(__xludf.DUMMYFUNCTION("""COMPUTED_VALUE"""),13)</f>
        <v>13</v>
      </c>
      <c r="D1580" s="199" t="str">
        <f ca="1">IFERROR(__xludf.DUMMYFUNCTION("""COMPUTED_VALUE"""),"B")</f>
        <v>B</v>
      </c>
      <c r="E1580" s="202" t="str">
        <f ca="1">IFERROR(__xludf.DUMMYFUNCTION("""COMPUTED_VALUE"""),"I")</f>
        <v>I</v>
      </c>
      <c r="F1580" s="202" t="str">
        <f ca="1">IFERROR(__xludf.DUMMYFUNCTION("""COMPUTED_VALUE"""),"S")</f>
        <v>S</v>
      </c>
      <c r="G1580" s="202">
        <f ca="1">IFERROR(__xludf.DUMMYFUNCTION("""COMPUTED_VALUE"""),6)</f>
        <v>6</v>
      </c>
      <c r="H1580" s="208"/>
      <c r="I1580" s="208">
        <v>110.45</v>
      </c>
      <c r="J1580" s="208"/>
      <c r="K1580" s="208" t="s">
        <v>121</v>
      </c>
      <c r="L1580" s="208" t="str">
        <v xml:space="preserve"> 110.45</v>
      </c>
      <c r="M1580" s="208" t="str">
        <v/>
      </c>
    </row>
    <row r="1581" spans="1:13" ht="14.4">
      <c r="A1581" s="199" t="str">
        <f ca="1">IFERROR(__xludf.DUMMYFUNCTION("""COMPUTED_VALUE"""),"PAR")</f>
        <v>PAR</v>
      </c>
      <c r="B1581" s="207" t="str">
        <f ca="1">IFERROR(__xludf.DUMMYFUNCTION("""COMPUTED_VALUE"""),"Garrett Kendall")</f>
        <v>Garrett Kendall</v>
      </c>
      <c r="C1581" s="199">
        <f ca="1">IFERROR(__xludf.DUMMYFUNCTION("""COMPUTED_VALUE"""),14)</f>
        <v>14</v>
      </c>
      <c r="D1581" s="199" t="str">
        <f ca="1">IFERROR(__xludf.DUMMYFUNCTION("""COMPUTED_VALUE"""),"B")</f>
        <v>B</v>
      </c>
      <c r="E1581" s="202" t="str">
        <f ca="1">IFERROR(__xludf.DUMMYFUNCTION("""COMPUTED_VALUE"""),"I")</f>
        <v>I</v>
      </c>
      <c r="F1581" s="202" t="str">
        <f ca="1">IFERROR(__xludf.DUMMYFUNCTION("""COMPUTED_VALUE"""),"S")</f>
        <v>S</v>
      </c>
      <c r="G1581" s="202">
        <f ca="1">IFERROR(__xludf.DUMMYFUNCTION("""COMPUTED_VALUE"""),6)</f>
        <v>6</v>
      </c>
      <c r="H1581" s="206"/>
      <c r="I1581" s="206">
        <v>76.2</v>
      </c>
      <c r="J1581" s="206"/>
      <c r="K1581" s="206" t="s">
        <v>121</v>
      </c>
      <c r="L1581" s="206" t="str">
        <v xml:space="preserve"> 76.2</v>
      </c>
      <c r="M1581" s="206" t="str">
        <v/>
      </c>
    </row>
    <row r="1582" spans="1:13" ht="14.4">
      <c r="A1582" s="199" t="str">
        <f ca="1">IFERROR(__xludf.DUMMYFUNCTION("""COMPUTED_VALUE"""),"PAR")</f>
        <v>PAR</v>
      </c>
      <c r="B1582" s="207" t="str">
        <f ca="1">IFERROR(__xludf.DUMMYFUNCTION("""COMPUTED_VALUE"""),"Isabel Smith")</f>
        <v>Isabel Smith</v>
      </c>
      <c r="C1582" s="199">
        <f ca="1">IFERROR(__xludf.DUMMYFUNCTION("""COMPUTED_VALUE"""),14)</f>
        <v>14</v>
      </c>
      <c r="D1582" s="199" t="str">
        <f ca="1">IFERROR(__xludf.DUMMYFUNCTION("""COMPUTED_VALUE"""),"G")</f>
        <v>G</v>
      </c>
      <c r="E1582" s="202" t="str">
        <f ca="1">IFERROR(__xludf.DUMMYFUNCTION("""COMPUTED_VALUE"""),"I")</f>
        <v>I</v>
      </c>
      <c r="F1582" s="202" t="str">
        <f ca="1">IFERROR(__xludf.DUMMYFUNCTION("""COMPUTED_VALUE"""),"S")</f>
        <v>S</v>
      </c>
      <c r="G1582" s="202">
        <f ca="1">IFERROR(__xludf.DUMMYFUNCTION("""COMPUTED_VALUE"""),6)</f>
        <v>6</v>
      </c>
      <c r="H1582" s="206">
        <v>135.25</v>
      </c>
      <c r="I1582" s="206"/>
      <c r="J1582" s="206" t="s">
        <v>121</v>
      </c>
      <c r="K1582" s="206"/>
      <c r="L1582" s="206" t="str">
        <v xml:space="preserve"> 135.25</v>
      </c>
      <c r="M1582" s="206" t="str">
        <v/>
      </c>
    </row>
    <row r="1583" spans="1:13" ht="14.4">
      <c r="A1583" s="199" t="str">
        <f ca="1">IFERROR(__xludf.DUMMYFUNCTION("""COMPUTED_VALUE"""),"PAR")</f>
        <v>PAR</v>
      </c>
      <c r="B1583" s="207" t="str">
        <f ca="1">IFERROR(__xludf.DUMMYFUNCTION("""COMPUTED_VALUE"""),"Meg Barrie")</f>
        <v>Meg Barrie</v>
      </c>
      <c r="C1583" s="199">
        <f ca="1">IFERROR(__xludf.DUMMYFUNCTION("""COMPUTED_VALUE"""),13)</f>
        <v>13</v>
      </c>
      <c r="D1583" s="199" t="str">
        <f ca="1">IFERROR(__xludf.DUMMYFUNCTION("""COMPUTED_VALUE"""),"G")</f>
        <v>G</v>
      </c>
      <c r="E1583" s="202" t="str">
        <f ca="1">IFERROR(__xludf.DUMMYFUNCTION("""COMPUTED_VALUE"""),"I")</f>
        <v>I</v>
      </c>
      <c r="F1583" s="202" t="str">
        <f ca="1">IFERROR(__xludf.DUMMYFUNCTION("""COMPUTED_VALUE"""),"S")</f>
        <v>S</v>
      </c>
      <c r="G1583" s="202">
        <f ca="1">IFERROR(__xludf.DUMMYFUNCTION("""COMPUTED_VALUE"""),6)</f>
        <v>6</v>
      </c>
      <c r="H1583" s="208"/>
      <c r="I1583" s="208"/>
      <c r="J1583" s="208"/>
      <c r="K1583" s="208"/>
      <c r="L1583" s="208" t="str">
        <v/>
      </c>
      <c r="M1583" s="208" t="str">
        <v/>
      </c>
    </row>
    <row r="1584" spans="1:13" ht="14.4">
      <c r="A1584" s="199" t="str">
        <f ca="1">IFERROR(__xludf.DUMMYFUNCTION("""COMPUTED_VALUE"""),"PAR")</f>
        <v>PAR</v>
      </c>
      <c r="B1584" s="207" t="str">
        <f ca="1">IFERROR(__xludf.DUMMYFUNCTION("""COMPUTED_VALUE"""),"Alex Avila")</f>
        <v>Alex Avila</v>
      </c>
      <c r="C1584" s="199">
        <f ca="1">IFERROR(__xludf.DUMMYFUNCTION("""COMPUTED_VALUE"""),12)</f>
        <v>12</v>
      </c>
      <c r="D1584" s="199" t="str">
        <f ca="1">IFERROR(__xludf.DUMMYFUNCTION("""COMPUTED_VALUE"""),"B")</f>
        <v>B</v>
      </c>
      <c r="E1584" s="202" t="str">
        <f ca="1">IFERROR(__xludf.DUMMYFUNCTION("""COMPUTED_VALUE"""),"J")</f>
        <v>J</v>
      </c>
      <c r="F1584" s="202" t="str">
        <f ca="1">IFERROR(__xludf.DUMMYFUNCTION("""COMPUTED_VALUE"""),"I")</f>
        <v>I</v>
      </c>
      <c r="G1584" s="202">
        <f ca="1">IFERROR(__xludf.DUMMYFUNCTION("""COMPUTED_VALUE"""),6)</f>
        <v>6</v>
      </c>
      <c r="H1584" s="208"/>
      <c r="I1584" s="208">
        <v>77.05</v>
      </c>
      <c r="J1584" s="208"/>
      <c r="K1584" s="208" t="s">
        <v>121</v>
      </c>
      <c r="L1584" s="208" t="str">
        <v xml:space="preserve"> 77.05</v>
      </c>
      <c r="M1584" s="208" t="str">
        <v/>
      </c>
    </row>
    <row r="1585" spans="1:13" ht="14.4">
      <c r="A1585" s="199" t="str">
        <f ca="1">IFERROR(__xludf.DUMMYFUNCTION("""COMPUTED_VALUE"""),"PAR")</f>
        <v>PAR</v>
      </c>
      <c r="B1585" s="207" t="str">
        <f ca="1">IFERROR(__xludf.DUMMYFUNCTION("""COMPUTED_VALUE"""),"Alex Smith")</f>
        <v>Alex Smith</v>
      </c>
      <c r="C1585" s="199">
        <f ca="1">IFERROR(__xludf.DUMMYFUNCTION("""COMPUTED_VALUE"""),11)</f>
        <v>11</v>
      </c>
      <c r="D1585" s="199" t="str">
        <f ca="1">IFERROR(__xludf.DUMMYFUNCTION("""COMPUTED_VALUE"""),"B")</f>
        <v>B</v>
      </c>
      <c r="E1585" s="202" t="str">
        <f ca="1">IFERROR(__xludf.DUMMYFUNCTION("""COMPUTED_VALUE"""),"J")</f>
        <v>J</v>
      </c>
      <c r="F1585" s="202" t="str">
        <f ca="1">IFERROR(__xludf.DUMMYFUNCTION("""COMPUTED_VALUE"""),"I")</f>
        <v>I</v>
      </c>
      <c r="G1585" s="202">
        <f ca="1">IFERROR(__xludf.DUMMYFUNCTION("""COMPUTED_VALUE"""),6)</f>
        <v>6</v>
      </c>
      <c r="H1585" s="208"/>
      <c r="I1585" s="208">
        <v>90.4</v>
      </c>
      <c r="J1585" s="208"/>
      <c r="K1585" s="208" t="s">
        <v>121</v>
      </c>
      <c r="L1585" s="208" t="str">
        <v xml:space="preserve"> 90.4</v>
      </c>
      <c r="M1585" s="208" t="str">
        <v/>
      </c>
    </row>
    <row r="1586" spans="1:13" ht="14.4">
      <c r="A1586" s="199" t="str">
        <f ca="1">IFERROR(__xludf.DUMMYFUNCTION("""COMPUTED_VALUE"""),"PAR")</f>
        <v>PAR</v>
      </c>
      <c r="B1586" s="207" t="str">
        <f ca="1">IFERROR(__xludf.DUMMYFUNCTION("""COMPUTED_VALUE"""),"Jack Caines")</f>
        <v>Jack Caines</v>
      </c>
      <c r="C1586" s="199">
        <f ca="1">IFERROR(__xludf.DUMMYFUNCTION("""COMPUTED_VALUE"""),12)</f>
        <v>12</v>
      </c>
      <c r="D1586" s="199" t="str">
        <f ca="1">IFERROR(__xludf.DUMMYFUNCTION("""COMPUTED_VALUE"""),"B")</f>
        <v>B</v>
      </c>
      <c r="E1586" s="202" t="str">
        <f ca="1">IFERROR(__xludf.DUMMYFUNCTION("""COMPUTED_VALUE"""),"J")</f>
        <v>J</v>
      </c>
      <c r="F1586" s="202" t="str">
        <f ca="1">IFERROR(__xludf.DUMMYFUNCTION("""COMPUTED_VALUE"""),"I")</f>
        <v>I</v>
      </c>
      <c r="G1586" s="202">
        <f ca="1">IFERROR(__xludf.DUMMYFUNCTION("""COMPUTED_VALUE"""),6)</f>
        <v>6</v>
      </c>
      <c r="H1586" s="208"/>
      <c r="I1586" s="208">
        <v>74.3</v>
      </c>
      <c r="J1586" s="208"/>
      <c r="K1586" s="208" t="s">
        <v>121</v>
      </c>
      <c r="L1586" s="208" t="str">
        <v xml:space="preserve"> 74.3</v>
      </c>
      <c r="M1586" s="208" t="str">
        <v/>
      </c>
    </row>
    <row r="1587" spans="1:13" ht="14.4">
      <c r="A1587" s="199" t="str">
        <f ca="1">IFERROR(__xludf.DUMMYFUNCTION("""COMPUTED_VALUE"""),"PAR")</f>
        <v>PAR</v>
      </c>
      <c r="B1587" s="207" t="str">
        <f ca="1">IFERROR(__xludf.DUMMYFUNCTION("""COMPUTED_VALUE"""),"Tarin Kanchanawanchai")</f>
        <v>Tarin Kanchanawanchai</v>
      </c>
      <c r="C1587" s="199">
        <f ca="1">IFERROR(__xludf.DUMMYFUNCTION("""COMPUTED_VALUE"""),12)</f>
        <v>12</v>
      </c>
      <c r="D1587" s="199" t="str">
        <f ca="1">IFERROR(__xludf.DUMMYFUNCTION("""COMPUTED_VALUE"""),"B")</f>
        <v>B</v>
      </c>
      <c r="E1587" s="202" t="str">
        <f ca="1">IFERROR(__xludf.DUMMYFUNCTION("""COMPUTED_VALUE"""),"J")</f>
        <v>J</v>
      </c>
      <c r="F1587" s="202" t="str">
        <f ca="1">IFERROR(__xludf.DUMMYFUNCTION("""COMPUTED_VALUE"""),"I")</f>
        <v>I</v>
      </c>
      <c r="G1587" s="202">
        <f ca="1">IFERROR(__xludf.DUMMYFUNCTION("""COMPUTED_VALUE"""),6)</f>
        <v>6</v>
      </c>
      <c r="H1587" s="206"/>
      <c r="I1587" s="206"/>
      <c r="J1587" s="206"/>
      <c r="K1587" s="206"/>
      <c r="L1587" s="206" t="str">
        <v/>
      </c>
      <c r="M1587" s="206" t="str">
        <v/>
      </c>
    </row>
    <row r="1588" spans="1:13" ht="14.4">
      <c r="A1588" s="199" t="str">
        <f ca="1">IFERROR(__xludf.DUMMYFUNCTION("""COMPUTED_VALUE"""),"PAR")</f>
        <v>PAR</v>
      </c>
      <c r="B1588" s="207" t="str">
        <f ca="1">IFERROR(__xludf.DUMMYFUNCTION("""COMPUTED_VALUE"""),"Caeden Beavers")</f>
        <v>Caeden Beavers</v>
      </c>
      <c r="C1588" s="199">
        <f ca="1">IFERROR(__xludf.DUMMYFUNCTION("""COMPUTED_VALUE"""),17)</f>
        <v>17</v>
      </c>
      <c r="D1588" s="199" t="str">
        <f ca="1">IFERROR(__xludf.DUMMYFUNCTION("""COMPUTED_VALUE"""),"B")</f>
        <v>B</v>
      </c>
      <c r="E1588" s="202" t="str">
        <f ca="1">IFERROR(__xludf.DUMMYFUNCTION("""COMPUTED_VALUE"""),"S")</f>
        <v>S</v>
      </c>
      <c r="F1588" s="202" t="str">
        <f ca="1">IFERROR(__xludf.DUMMYFUNCTION("""COMPUTED_VALUE"""),"S")</f>
        <v>S</v>
      </c>
      <c r="G1588" s="202">
        <f ca="1">IFERROR(__xludf.DUMMYFUNCTION("""COMPUTED_VALUE"""),6)</f>
        <v>6</v>
      </c>
      <c r="H1588" s="208"/>
      <c r="I1588" s="208">
        <v>175.95</v>
      </c>
      <c r="J1588" s="208"/>
      <c r="K1588" s="208" t="s">
        <v>121</v>
      </c>
      <c r="L1588" s="208" t="str">
        <v xml:space="preserve"> 175.95</v>
      </c>
      <c r="M1588" s="208" t="str">
        <v/>
      </c>
    </row>
    <row r="1589" spans="1:13" ht="14.4">
      <c r="A1589" s="199" t="str">
        <f ca="1">IFERROR(__xludf.DUMMYFUNCTION("""COMPUTED_VALUE"""),"PAR")</f>
        <v>PAR</v>
      </c>
      <c r="B1589" s="207" t="str">
        <f ca="1">IFERROR(__xludf.DUMMYFUNCTION("""COMPUTED_VALUE"""),"Daniel Cate")</f>
        <v>Daniel Cate</v>
      </c>
      <c r="C1589" s="199">
        <f ca="1">IFERROR(__xludf.DUMMYFUNCTION("""COMPUTED_VALUE"""),15)</f>
        <v>15</v>
      </c>
      <c r="D1589" s="199" t="str">
        <f ca="1">IFERROR(__xludf.DUMMYFUNCTION("""COMPUTED_VALUE"""),"B")</f>
        <v>B</v>
      </c>
      <c r="E1589" s="202" t="str">
        <f ca="1">IFERROR(__xludf.DUMMYFUNCTION("""COMPUTED_VALUE"""),"S")</f>
        <v>S</v>
      </c>
      <c r="F1589" s="202" t="str">
        <f ca="1">IFERROR(__xludf.DUMMYFUNCTION("""COMPUTED_VALUE"""),"S")</f>
        <v>S</v>
      </c>
      <c r="G1589" s="202">
        <f ca="1">IFERROR(__xludf.DUMMYFUNCTION("""COMPUTED_VALUE"""),6)</f>
        <v>6</v>
      </c>
      <c r="H1589" s="206"/>
      <c r="I1589" s="206">
        <v>155.69999999999999</v>
      </c>
      <c r="J1589" s="206"/>
      <c r="K1589" s="206" t="s">
        <v>121</v>
      </c>
      <c r="L1589" s="206" t="str">
        <v xml:space="preserve"> 155.7</v>
      </c>
      <c r="M1589" s="206" t="str">
        <v/>
      </c>
    </row>
    <row r="1590" spans="1:13" ht="14.4">
      <c r="A1590" s="199" t="str">
        <f ca="1">IFERROR(__xludf.DUMMYFUNCTION("""COMPUTED_VALUE"""),"PAR")</f>
        <v>PAR</v>
      </c>
      <c r="B1590" s="207" t="str">
        <f ca="1">IFERROR(__xludf.DUMMYFUNCTION("""COMPUTED_VALUE"""),"David Avila")</f>
        <v>David Avila</v>
      </c>
      <c r="C1590" s="199">
        <f ca="1">IFERROR(__xludf.DUMMYFUNCTION("""COMPUTED_VALUE"""),16)</f>
        <v>16</v>
      </c>
      <c r="D1590" s="199" t="str">
        <f ca="1">IFERROR(__xludf.DUMMYFUNCTION("""COMPUTED_VALUE"""),"B")</f>
        <v>B</v>
      </c>
      <c r="E1590" s="202" t="str">
        <f ca="1">IFERROR(__xludf.DUMMYFUNCTION("""COMPUTED_VALUE"""),"S")</f>
        <v>S</v>
      </c>
      <c r="F1590" s="202" t="str">
        <f ca="1">IFERROR(__xludf.DUMMYFUNCTION("""COMPUTED_VALUE"""),"S")</f>
        <v>S</v>
      </c>
      <c r="G1590" s="202">
        <f ca="1">IFERROR(__xludf.DUMMYFUNCTION("""COMPUTED_VALUE"""),6)</f>
        <v>6</v>
      </c>
      <c r="H1590" s="206"/>
      <c r="I1590" s="206">
        <v>146.15</v>
      </c>
      <c r="J1590" s="206"/>
      <c r="K1590" s="206" t="s">
        <v>121</v>
      </c>
      <c r="L1590" s="206" t="str">
        <v xml:space="preserve"> 146.15</v>
      </c>
      <c r="M1590" s="206" t="str">
        <v/>
      </c>
    </row>
    <row r="1591" spans="1:13" ht="14.4">
      <c r="A1591" s="199" t="str">
        <f ca="1">IFERROR(__xludf.DUMMYFUNCTION("""COMPUTED_VALUE"""),"PAR")</f>
        <v>PAR</v>
      </c>
      <c r="B1591" s="207" t="str">
        <f ca="1">IFERROR(__xludf.DUMMYFUNCTION("""COMPUTED_VALUE"""),"Kate Barrie")</f>
        <v>Kate Barrie</v>
      </c>
      <c r="C1591" s="199">
        <f ca="1">IFERROR(__xludf.DUMMYFUNCTION("""COMPUTED_VALUE"""),16)</f>
        <v>16</v>
      </c>
      <c r="D1591" s="199" t="str">
        <f ca="1">IFERROR(__xludf.DUMMYFUNCTION("""COMPUTED_VALUE"""),"G")</f>
        <v>G</v>
      </c>
      <c r="E1591" s="202" t="str">
        <f ca="1">IFERROR(__xludf.DUMMYFUNCTION("""COMPUTED_VALUE"""),"S")</f>
        <v>S</v>
      </c>
      <c r="F1591" s="202" t="str">
        <f ca="1">IFERROR(__xludf.DUMMYFUNCTION("""COMPUTED_VALUE"""),"S")</f>
        <v>S</v>
      </c>
      <c r="G1591" s="202">
        <f ca="1">IFERROR(__xludf.DUMMYFUNCTION("""COMPUTED_VALUE"""),6)</f>
        <v>6</v>
      </c>
      <c r="H1591" s="208"/>
      <c r="I1591" s="208"/>
      <c r="J1591" s="208"/>
      <c r="K1591" s="208"/>
      <c r="L1591" s="208" t="str">
        <v/>
      </c>
      <c r="M1591" s="208" t="str">
        <v/>
      </c>
    </row>
    <row r="1592" spans="1:13" ht="14.4">
      <c r="A1592" s="199" t="str">
        <f ca="1">IFERROR(__xludf.DUMMYFUNCTION("""COMPUTED_VALUE"""),"PAR")</f>
        <v>PAR</v>
      </c>
      <c r="B1592" s="207" t="str">
        <f ca="1">IFERROR(__xludf.DUMMYFUNCTION("""COMPUTED_VALUE"""),"Laura Cook")</f>
        <v>Laura Cook</v>
      </c>
      <c r="C1592" s="199">
        <f ca="1">IFERROR(__xludf.DUMMYFUNCTION("""COMPUTED_VALUE"""),15)</f>
        <v>15</v>
      </c>
      <c r="D1592" s="199" t="str">
        <f ca="1">IFERROR(__xludf.DUMMYFUNCTION("""COMPUTED_VALUE"""),"G")</f>
        <v>G</v>
      </c>
      <c r="E1592" s="202" t="str">
        <f ca="1">IFERROR(__xludf.DUMMYFUNCTION("""COMPUTED_VALUE"""),"S")</f>
        <v>S</v>
      </c>
      <c r="F1592" s="202" t="str">
        <f ca="1">IFERROR(__xludf.DUMMYFUNCTION("""COMPUTED_VALUE"""),"S")</f>
        <v>S</v>
      </c>
      <c r="G1592" s="202">
        <f ca="1">IFERROR(__xludf.DUMMYFUNCTION("""COMPUTED_VALUE"""),6)</f>
        <v>6</v>
      </c>
      <c r="H1592" s="208"/>
      <c r="I1592" s="208"/>
      <c r="J1592" s="208"/>
      <c r="K1592" s="208"/>
      <c r="L1592" s="208" t="str">
        <v/>
      </c>
      <c r="M1592" s="208" t="str">
        <v/>
      </c>
    </row>
    <row r="1593" spans="1:13" ht="14.4">
      <c r="A1593" s="199" t="str">
        <f ca="1">IFERROR(__xludf.DUMMYFUNCTION("""COMPUTED_VALUE"""),"PC")</f>
        <v>PC</v>
      </c>
      <c r="B1593" s="207" t="str">
        <f ca="1">IFERROR(__xludf.DUMMYFUNCTION("""COMPUTED_VALUE"""),"Aaron Barger")</f>
        <v>Aaron Barger</v>
      </c>
      <c r="C1593" s="199">
        <f ca="1">IFERROR(__xludf.DUMMYFUNCTION("""COMPUTED_VALUE"""),8)</f>
        <v>8</v>
      </c>
      <c r="D1593" s="199" t="str">
        <f ca="1">IFERROR(__xludf.DUMMYFUNCTION("""COMPUTED_VALUE"""),"B")</f>
        <v>B</v>
      </c>
      <c r="E1593" s="202" t="str">
        <f ca="1">IFERROR(__xludf.DUMMYFUNCTION("""COMPUTED_VALUE"""),"F")</f>
        <v>F</v>
      </c>
      <c r="F1593" s="202" t="str">
        <f ca="1">IFERROR(__xludf.DUMMYFUNCTION("""COMPUTED_VALUE"""),"J")</f>
        <v>J</v>
      </c>
      <c r="G1593" s="202">
        <f ca="1">IFERROR(__xludf.DUMMYFUNCTION("""COMPUTED_VALUE"""),3)</f>
        <v>3</v>
      </c>
      <c r="H1593" s="208"/>
      <c r="I1593" s="208">
        <v>48.6</v>
      </c>
      <c r="J1593" s="208"/>
      <c r="K1593" s="208" t="s">
        <v>121</v>
      </c>
      <c r="L1593" s="208" t="str">
        <v xml:space="preserve"> 48.6</v>
      </c>
      <c r="M1593" s="208" t="str">
        <v/>
      </c>
    </row>
    <row r="1594" spans="1:13" ht="14.4">
      <c r="A1594" s="199" t="str">
        <f ca="1">IFERROR(__xludf.DUMMYFUNCTION("""COMPUTED_VALUE"""),"PC")</f>
        <v>PC</v>
      </c>
      <c r="B1594" s="207" t="str">
        <f ca="1">IFERROR(__xludf.DUMMYFUNCTION("""COMPUTED_VALUE"""),"Ian Douglass")</f>
        <v>Ian Douglass</v>
      </c>
      <c r="C1594" s="199">
        <f ca="1">IFERROR(__xludf.DUMMYFUNCTION("""COMPUTED_VALUE"""),8)</f>
        <v>8</v>
      </c>
      <c r="D1594" s="199" t="str">
        <f ca="1">IFERROR(__xludf.DUMMYFUNCTION("""COMPUTED_VALUE"""),"B")</f>
        <v>B</v>
      </c>
      <c r="E1594" s="202" t="str">
        <f ca="1">IFERROR(__xludf.DUMMYFUNCTION("""COMPUTED_VALUE"""),"F")</f>
        <v>F</v>
      </c>
      <c r="F1594" s="202" t="str">
        <f ca="1">IFERROR(__xludf.DUMMYFUNCTION("""COMPUTED_VALUE"""),"J")</f>
        <v>J</v>
      </c>
      <c r="G1594" s="202">
        <f ca="1">IFERROR(__xludf.DUMMYFUNCTION("""COMPUTED_VALUE"""),3)</f>
        <v>3</v>
      </c>
      <c r="H1594" s="206"/>
      <c r="I1594" s="206"/>
      <c r="J1594" s="206"/>
      <c r="K1594" s="206"/>
      <c r="L1594" s="206" t="str">
        <v/>
      </c>
      <c r="M1594" s="206" t="str">
        <v/>
      </c>
    </row>
    <row r="1595" spans="1:13" ht="14.4">
      <c r="A1595" s="199" t="str">
        <f ca="1">IFERROR(__xludf.DUMMYFUNCTION("""COMPUTED_VALUE"""),"PC")</f>
        <v>PC</v>
      </c>
      <c r="B1595" s="207" t="str">
        <f ca="1">IFERROR(__xludf.DUMMYFUNCTION("""COMPUTED_VALUE"""),"John Paul Ryan")</f>
        <v>John Paul Ryan</v>
      </c>
      <c r="C1595" s="199">
        <f ca="1">IFERROR(__xludf.DUMMYFUNCTION("""COMPUTED_VALUE"""),9)</f>
        <v>9</v>
      </c>
      <c r="D1595" s="199" t="str">
        <f ca="1">IFERROR(__xludf.DUMMYFUNCTION("""COMPUTED_VALUE"""),"B")</f>
        <v>B</v>
      </c>
      <c r="E1595" s="202" t="str">
        <f ca="1">IFERROR(__xludf.DUMMYFUNCTION("""COMPUTED_VALUE"""),"F")</f>
        <v>F</v>
      </c>
      <c r="F1595" s="202" t="str">
        <f ca="1">IFERROR(__xludf.DUMMYFUNCTION("""COMPUTED_VALUE"""),"J")</f>
        <v>J</v>
      </c>
      <c r="G1595" s="202">
        <f ca="1">IFERROR(__xludf.DUMMYFUNCTION("""COMPUTED_VALUE"""),3)</f>
        <v>3</v>
      </c>
      <c r="H1595" s="206"/>
      <c r="I1595" s="206"/>
      <c r="J1595" s="206"/>
      <c r="K1595" s="206"/>
      <c r="L1595" s="206" t="str">
        <v/>
      </c>
      <c r="M1595" s="206" t="str">
        <v/>
      </c>
    </row>
    <row r="1596" spans="1:13" ht="14.4">
      <c r="A1596" s="199" t="str">
        <f ca="1">IFERROR(__xludf.DUMMYFUNCTION("""COMPUTED_VALUE"""),"PC")</f>
        <v>PC</v>
      </c>
      <c r="B1596" s="207" t="str">
        <f ca="1">IFERROR(__xludf.DUMMYFUNCTION("""COMPUTED_VALUE"""),"Nicholas Ivey")</f>
        <v>Nicholas Ivey</v>
      </c>
      <c r="C1596" s="199">
        <f ca="1">IFERROR(__xludf.DUMMYFUNCTION("""COMPUTED_VALUE"""),9)</f>
        <v>9</v>
      </c>
      <c r="D1596" s="199" t="str">
        <f ca="1">IFERROR(__xludf.DUMMYFUNCTION("""COMPUTED_VALUE"""),"B")</f>
        <v>B</v>
      </c>
      <c r="E1596" s="202" t="str">
        <f ca="1">IFERROR(__xludf.DUMMYFUNCTION("""COMPUTED_VALUE"""),"F")</f>
        <v>F</v>
      </c>
      <c r="F1596" s="202" t="str">
        <f ca="1">IFERROR(__xludf.DUMMYFUNCTION("""COMPUTED_VALUE"""),"J")</f>
        <v>J</v>
      </c>
      <c r="G1596" s="202">
        <f ca="1">IFERROR(__xludf.DUMMYFUNCTION("""COMPUTED_VALUE"""),3)</f>
        <v>3</v>
      </c>
      <c r="H1596" s="206"/>
      <c r="I1596" s="206"/>
      <c r="J1596" s="206"/>
      <c r="K1596" s="206"/>
      <c r="L1596" s="206" t="str">
        <v/>
      </c>
      <c r="M1596" s="206" t="str">
        <v/>
      </c>
    </row>
    <row r="1597" spans="1:13" ht="14.4">
      <c r="A1597" s="199" t="str">
        <f ca="1">IFERROR(__xludf.DUMMYFUNCTION("""COMPUTED_VALUE"""),"PC")</f>
        <v>PC</v>
      </c>
      <c r="B1597" s="207" t="str">
        <f ca="1">IFERROR(__xludf.DUMMYFUNCTION("""COMPUTED_VALUE"""),"Timothy Barger")</f>
        <v>Timothy Barger</v>
      </c>
      <c r="C1597" s="199">
        <f ca="1">IFERROR(__xludf.DUMMYFUNCTION("""COMPUTED_VALUE"""),7)</f>
        <v>7</v>
      </c>
      <c r="D1597" s="199" t="str">
        <f ca="1">IFERROR(__xludf.DUMMYFUNCTION("""COMPUTED_VALUE"""),"B")</f>
        <v>B</v>
      </c>
      <c r="E1597" s="202" t="str">
        <f ca="1">IFERROR(__xludf.DUMMYFUNCTION("""COMPUTED_VALUE"""),"F")</f>
        <v>F</v>
      </c>
      <c r="F1597" s="202" t="str">
        <f ca="1">IFERROR(__xludf.DUMMYFUNCTION("""COMPUTED_VALUE"""),"J")</f>
        <v>J</v>
      </c>
      <c r="G1597" s="202">
        <f ca="1">IFERROR(__xludf.DUMMYFUNCTION("""COMPUTED_VALUE"""),3)</f>
        <v>3</v>
      </c>
      <c r="H1597" s="208"/>
      <c r="I1597" s="208">
        <v>29.95</v>
      </c>
      <c r="J1597" s="208"/>
      <c r="K1597" s="208" t="s">
        <v>121</v>
      </c>
      <c r="L1597" s="208" t="str">
        <v xml:space="preserve"> 29.95</v>
      </c>
      <c r="M1597" s="208" t="str">
        <v/>
      </c>
    </row>
    <row r="1598" spans="1:13" ht="14.4">
      <c r="A1598" s="199" t="str">
        <f ca="1">IFERROR(__xludf.DUMMYFUNCTION("""COMPUTED_VALUE"""),"PC")</f>
        <v>PC</v>
      </c>
      <c r="B1598" s="207" t="str">
        <f ca="1">IFERROR(__xludf.DUMMYFUNCTION("""COMPUTED_VALUE"""),"Annie Dunlavy")</f>
        <v>Annie Dunlavy</v>
      </c>
      <c r="C1598" s="199">
        <f ca="1">IFERROR(__xludf.DUMMYFUNCTION("""COMPUTED_VALUE"""),7)</f>
        <v>7</v>
      </c>
      <c r="D1598" s="199" t="str">
        <f ca="1">IFERROR(__xludf.DUMMYFUNCTION("""COMPUTED_VALUE"""),"G")</f>
        <v>G</v>
      </c>
      <c r="E1598" s="202" t="str">
        <f ca="1">IFERROR(__xludf.DUMMYFUNCTION("""COMPUTED_VALUE"""),"F")</f>
        <v>F</v>
      </c>
      <c r="F1598" s="202" t="str">
        <f ca="1">IFERROR(__xludf.DUMMYFUNCTION("""COMPUTED_VALUE"""),"J")</f>
        <v>J</v>
      </c>
      <c r="G1598" s="202">
        <f ca="1">IFERROR(__xludf.DUMMYFUNCTION("""COMPUTED_VALUE"""),3)</f>
        <v>3</v>
      </c>
      <c r="H1598" s="208">
        <v>63.95</v>
      </c>
      <c r="I1598" s="208"/>
      <c r="J1598" s="208" t="s">
        <v>121</v>
      </c>
      <c r="K1598" s="208"/>
      <c r="L1598" s="208" t="str">
        <v xml:space="preserve"> 63.95</v>
      </c>
      <c r="M1598" s="208" t="str">
        <v/>
      </c>
    </row>
    <row r="1599" spans="1:13" ht="14.4">
      <c r="A1599" s="199" t="str">
        <f ca="1">IFERROR(__xludf.DUMMYFUNCTION("""COMPUTED_VALUE"""),"PC")</f>
        <v>PC</v>
      </c>
      <c r="B1599" s="207" t="str">
        <f ca="1">IFERROR(__xludf.DUMMYFUNCTION("""COMPUTED_VALUE"""),"Caris Allen")</f>
        <v>Caris Allen</v>
      </c>
      <c r="C1599" s="199">
        <f ca="1">IFERROR(__xludf.DUMMYFUNCTION("""COMPUTED_VALUE"""),8)</f>
        <v>8</v>
      </c>
      <c r="D1599" s="199" t="str">
        <f ca="1">IFERROR(__xludf.DUMMYFUNCTION("""COMPUTED_VALUE"""),"G")</f>
        <v>G</v>
      </c>
      <c r="E1599" s="202" t="str">
        <f ca="1">IFERROR(__xludf.DUMMYFUNCTION("""COMPUTED_VALUE"""),"F")</f>
        <v>F</v>
      </c>
      <c r="F1599" s="202" t="str">
        <f ca="1">IFERROR(__xludf.DUMMYFUNCTION("""COMPUTED_VALUE"""),"J")</f>
        <v>J</v>
      </c>
      <c r="G1599" s="202">
        <f ca="1">IFERROR(__xludf.DUMMYFUNCTION("""COMPUTED_VALUE"""),3)</f>
        <v>3</v>
      </c>
      <c r="H1599" s="206">
        <v>34.35</v>
      </c>
      <c r="I1599" s="206"/>
      <c r="J1599" s="206" t="s">
        <v>121</v>
      </c>
      <c r="K1599" s="206"/>
      <c r="L1599" s="206" t="str">
        <v xml:space="preserve"> 34.35</v>
      </c>
      <c r="M1599" s="206" t="str">
        <v/>
      </c>
    </row>
    <row r="1600" spans="1:13" ht="14.4">
      <c r="A1600" s="199" t="str">
        <f ca="1">IFERROR(__xludf.DUMMYFUNCTION("""COMPUTED_VALUE"""),"PC")</f>
        <v>PC</v>
      </c>
      <c r="B1600" s="207" t="str">
        <f ca="1">IFERROR(__xludf.DUMMYFUNCTION("""COMPUTED_VALUE"""),"Chloe Kennedy")</f>
        <v>Chloe Kennedy</v>
      </c>
      <c r="C1600" s="199">
        <f ca="1">IFERROR(__xludf.DUMMYFUNCTION("""COMPUTED_VALUE"""),7)</f>
        <v>7</v>
      </c>
      <c r="D1600" s="199" t="str">
        <f ca="1">IFERROR(__xludf.DUMMYFUNCTION("""COMPUTED_VALUE"""),"G")</f>
        <v>G</v>
      </c>
      <c r="E1600" s="202" t="str">
        <f ca="1">IFERROR(__xludf.DUMMYFUNCTION("""COMPUTED_VALUE"""),"F")</f>
        <v>F</v>
      </c>
      <c r="F1600" s="202" t="str">
        <f ca="1">IFERROR(__xludf.DUMMYFUNCTION("""COMPUTED_VALUE"""),"J")</f>
        <v>J</v>
      </c>
      <c r="G1600" s="202">
        <f ca="1">IFERROR(__xludf.DUMMYFUNCTION("""COMPUTED_VALUE"""),3)</f>
        <v>3</v>
      </c>
      <c r="H1600" s="208">
        <v>33.799999999999997</v>
      </c>
      <c r="I1600" s="208"/>
      <c r="J1600" s="208" t="s">
        <v>121</v>
      </c>
      <c r="K1600" s="208"/>
      <c r="L1600" s="208" t="str">
        <v xml:space="preserve"> 33.8</v>
      </c>
      <c r="M1600" s="208" t="str">
        <v/>
      </c>
    </row>
    <row r="1601" spans="1:13" ht="14.4">
      <c r="A1601" s="199" t="str">
        <f ca="1">IFERROR(__xludf.DUMMYFUNCTION("""COMPUTED_VALUE"""),"PC")</f>
        <v>PC</v>
      </c>
      <c r="B1601" s="207" t="str">
        <f ca="1">IFERROR(__xludf.DUMMYFUNCTION("""COMPUTED_VALUE"""),"Ella Dunlavy")</f>
        <v>Ella Dunlavy</v>
      </c>
      <c r="C1601" s="199">
        <f ca="1">IFERROR(__xludf.DUMMYFUNCTION("""COMPUTED_VALUE"""),10)</f>
        <v>10</v>
      </c>
      <c r="D1601" s="199" t="str">
        <f ca="1">IFERROR(__xludf.DUMMYFUNCTION("""COMPUTED_VALUE"""),"G")</f>
        <v>G</v>
      </c>
      <c r="E1601" s="202" t="str">
        <f ca="1">IFERROR(__xludf.DUMMYFUNCTION("""COMPUTED_VALUE"""),"F")</f>
        <v>F</v>
      </c>
      <c r="F1601" s="202" t="str">
        <f ca="1">IFERROR(__xludf.DUMMYFUNCTION("""COMPUTED_VALUE"""),"J")</f>
        <v>J</v>
      </c>
      <c r="G1601" s="202">
        <f ca="1">IFERROR(__xludf.DUMMYFUNCTION("""COMPUTED_VALUE"""),3)</f>
        <v>3</v>
      </c>
      <c r="H1601" s="206">
        <v>68.75</v>
      </c>
      <c r="I1601" s="206"/>
      <c r="J1601" s="206" t="s">
        <v>121</v>
      </c>
      <c r="K1601" s="206"/>
      <c r="L1601" s="206" t="str">
        <v xml:space="preserve"> 68.75</v>
      </c>
      <c r="M1601" s="206" t="str">
        <v/>
      </c>
    </row>
    <row r="1602" spans="1:13" ht="14.4">
      <c r="A1602" s="199" t="str">
        <f ca="1">IFERROR(__xludf.DUMMYFUNCTION("""COMPUTED_VALUE"""),"PC")</f>
        <v>PC</v>
      </c>
      <c r="B1602" s="207" t="str">
        <f ca="1">IFERROR(__xludf.DUMMYFUNCTION("""COMPUTED_VALUE"""),"Julia Kennedy")</f>
        <v>Julia Kennedy</v>
      </c>
      <c r="C1602" s="199">
        <f ca="1">IFERROR(__xludf.DUMMYFUNCTION("""COMPUTED_VALUE"""),9)</f>
        <v>9</v>
      </c>
      <c r="D1602" s="199" t="str">
        <f ca="1">IFERROR(__xludf.DUMMYFUNCTION("""COMPUTED_VALUE"""),"G")</f>
        <v>G</v>
      </c>
      <c r="E1602" s="202" t="str">
        <f ca="1">IFERROR(__xludf.DUMMYFUNCTION("""COMPUTED_VALUE"""),"F")</f>
        <v>F</v>
      </c>
      <c r="F1602" s="202" t="str">
        <f ca="1">IFERROR(__xludf.DUMMYFUNCTION("""COMPUTED_VALUE"""),"J")</f>
        <v>J</v>
      </c>
      <c r="G1602" s="202">
        <f ca="1">IFERROR(__xludf.DUMMYFUNCTION("""COMPUTED_VALUE"""),3)</f>
        <v>3</v>
      </c>
      <c r="H1602" s="208">
        <v>56.5</v>
      </c>
      <c r="I1602" s="208"/>
      <c r="J1602" s="208" t="s">
        <v>121</v>
      </c>
      <c r="K1602" s="208"/>
      <c r="L1602" s="208" t="str">
        <v xml:space="preserve"> 56.5</v>
      </c>
      <c r="M1602" s="208" t="str">
        <v/>
      </c>
    </row>
    <row r="1603" spans="1:13" ht="14.4">
      <c r="A1603" s="199" t="str">
        <f ca="1">IFERROR(__xludf.DUMMYFUNCTION("""COMPUTED_VALUE"""),"PC")</f>
        <v>PC</v>
      </c>
      <c r="B1603" s="207" t="str">
        <f ca="1">IFERROR(__xludf.DUMMYFUNCTION("""COMPUTED_VALUE"""),"Kayla Zheng")</f>
        <v>Kayla Zheng</v>
      </c>
      <c r="C1603" s="199">
        <f ca="1">IFERROR(__xludf.DUMMYFUNCTION("""COMPUTED_VALUE"""),10)</f>
        <v>10</v>
      </c>
      <c r="D1603" s="199" t="str">
        <f ca="1">IFERROR(__xludf.DUMMYFUNCTION("""COMPUTED_VALUE"""),"G")</f>
        <v>G</v>
      </c>
      <c r="E1603" s="202" t="str">
        <f ca="1">IFERROR(__xludf.DUMMYFUNCTION("""COMPUTED_VALUE"""),"F")</f>
        <v>F</v>
      </c>
      <c r="F1603" s="202" t="str">
        <f ca="1">IFERROR(__xludf.DUMMYFUNCTION("""COMPUTED_VALUE"""),"J")</f>
        <v>J</v>
      </c>
      <c r="G1603" s="202">
        <f ca="1">IFERROR(__xludf.DUMMYFUNCTION("""COMPUTED_VALUE"""),3)</f>
        <v>3</v>
      </c>
      <c r="H1603" s="206"/>
      <c r="I1603" s="206"/>
      <c r="J1603" s="206"/>
      <c r="K1603" s="206"/>
      <c r="L1603" s="206" t="str">
        <v/>
      </c>
      <c r="M1603" s="206" t="str">
        <v/>
      </c>
    </row>
    <row r="1604" spans="1:13" ht="14.4">
      <c r="A1604" s="199" t="str">
        <f ca="1">IFERROR(__xludf.DUMMYFUNCTION("""COMPUTED_VALUE"""),"PC")</f>
        <v>PC</v>
      </c>
      <c r="B1604" s="207" t="str">
        <f ca="1">IFERROR(__xludf.DUMMYFUNCTION("""COMPUTED_VALUE"""),"Leandra Barger")</f>
        <v>Leandra Barger</v>
      </c>
      <c r="C1604" s="199">
        <f ca="1">IFERROR(__xludf.DUMMYFUNCTION("""COMPUTED_VALUE"""),10)</f>
        <v>10</v>
      </c>
      <c r="D1604" s="199" t="str">
        <f ca="1">IFERROR(__xludf.DUMMYFUNCTION("""COMPUTED_VALUE"""),"G")</f>
        <v>G</v>
      </c>
      <c r="E1604" s="202" t="str">
        <f ca="1">IFERROR(__xludf.DUMMYFUNCTION("""COMPUTED_VALUE"""),"F")</f>
        <v>F</v>
      </c>
      <c r="F1604" s="202" t="str">
        <f ca="1">IFERROR(__xludf.DUMMYFUNCTION("""COMPUTED_VALUE"""),"J")</f>
        <v>J</v>
      </c>
      <c r="G1604" s="202">
        <f ca="1">IFERROR(__xludf.DUMMYFUNCTION("""COMPUTED_VALUE"""),3)</f>
        <v>3</v>
      </c>
      <c r="H1604" s="208">
        <v>62.25</v>
      </c>
      <c r="I1604" s="208"/>
      <c r="J1604" s="208" t="s">
        <v>121</v>
      </c>
      <c r="K1604" s="208"/>
      <c r="L1604" s="208" t="str">
        <v xml:space="preserve"> 62.25</v>
      </c>
      <c r="M1604" s="208" t="str">
        <v/>
      </c>
    </row>
    <row r="1605" spans="1:13" ht="14.4">
      <c r="A1605" s="199" t="str">
        <f ca="1">IFERROR(__xludf.DUMMYFUNCTION("""COMPUTED_VALUE"""),"PC")</f>
        <v>PC</v>
      </c>
      <c r="B1605" s="207" t="str">
        <f ca="1">IFERROR(__xludf.DUMMYFUNCTION("""COMPUTED_VALUE"""),"Libby Costello")</f>
        <v>Libby Costello</v>
      </c>
      <c r="C1605" s="199">
        <f ca="1">IFERROR(__xludf.DUMMYFUNCTION("""COMPUTED_VALUE"""),8)</f>
        <v>8</v>
      </c>
      <c r="D1605" s="199" t="str">
        <f ca="1">IFERROR(__xludf.DUMMYFUNCTION("""COMPUTED_VALUE"""),"G")</f>
        <v>G</v>
      </c>
      <c r="E1605" s="202" t="str">
        <f ca="1">IFERROR(__xludf.DUMMYFUNCTION("""COMPUTED_VALUE"""),"F")</f>
        <v>F</v>
      </c>
      <c r="F1605" s="202" t="str">
        <f ca="1">IFERROR(__xludf.DUMMYFUNCTION("""COMPUTED_VALUE"""),"J")</f>
        <v>J</v>
      </c>
      <c r="G1605" s="202">
        <f ca="1">IFERROR(__xludf.DUMMYFUNCTION("""COMPUTED_VALUE"""),3)</f>
        <v>3</v>
      </c>
      <c r="H1605" s="208">
        <v>54.45</v>
      </c>
      <c r="I1605" s="208"/>
      <c r="J1605" s="208" t="s">
        <v>121</v>
      </c>
      <c r="K1605" s="208"/>
      <c r="L1605" s="208" t="str">
        <v xml:space="preserve"> 54.45</v>
      </c>
      <c r="M1605" s="208" t="str">
        <v/>
      </c>
    </row>
    <row r="1606" spans="1:13" ht="14.4">
      <c r="A1606" s="199" t="str">
        <f ca="1">IFERROR(__xludf.DUMMYFUNCTION("""COMPUTED_VALUE"""),"PC")</f>
        <v>PC</v>
      </c>
      <c r="B1606" s="207" t="str">
        <f ca="1">IFERROR(__xludf.DUMMYFUNCTION("""COMPUTED_VALUE"""),"Maddie Yappel")</f>
        <v>Maddie Yappel</v>
      </c>
      <c r="C1606" s="199">
        <f ca="1">IFERROR(__xludf.DUMMYFUNCTION("""COMPUTED_VALUE"""),8)</f>
        <v>8</v>
      </c>
      <c r="D1606" s="199" t="str">
        <f ca="1">IFERROR(__xludf.DUMMYFUNCTION("""COMPUTED_VALUE"""),"G")</f>
        <v>G</v>
      </c>
      <c r="E1606" s="202" t="str">
        <f ca="1">IFERROR(__xludf.DUMMYFUNCTION("""COMPUTED_VALUE"""),"F")</f>
        <v>F</v>
      </c>
      <c r="F1606" s="202" t="str">
        <f ca="1">IFERROR(__xludf.DUMMYFUNCTION("""COMPUTED_VALUE"""),"J")</f>
        <v>J</v>
      </c>
      <c r="G1606" s="202">
        <f ca="1">IFERROR(__xludf.DUMMYFUNCTION("""COMPUTED_VALUE"""),3)</f>
        <v>3</v>
      </c>
      <c r="H1606" s="208">
        <v>48.9</v>
      </c>
      <c r="I1606" s="208"/>
      <c r="J1606" s="208" t="s">
        <v>121</v>
      </c>
      <c r="K1606" s="208"/>
      <c r="L1606" s="208" t="str">
        <v xml:space="preserve"> 48.9</v>
      </c>
      <c r="M1606" s="208" t="str">
        <v/>
      </c>
    </row>
    <row r="1607" spans="1:13" ht="14.4">
      <c r="A1607" s="199" t="str">
        <f ca="1">IFERROR(__xludf.DUMMYFUNCTION("""COMPUTED_VALUE"""),"PC")</f>
        <v>PC</v>
      </c>
      <c r="B1607" s="207" t="str">
        <f ca="1">IFERROR(__xludf.DUMMYFUNCTION("""COMPUTED_VALUE"""),"Colin Guggenmos")</f>
        <v>Colin Guggenmos</v>
      </c>
      <c r="C1607" s="199">
        <f ca="1">IFERROR(__xludf.DUMMYFUNCTION("""COMPUTED_VALUE"""),14)</f>
        <v>14</v>
      </c>
      <c r="D1607" s="199" t="str">
        <f ca="1">IFERROR(__xludf.DUMMYFUNCTION("""COMPUTED_VALUE"""),"B")</f>
        <v>B</v>
      </c>
      <c r="E1607" s="202" t="str">
        <f ca="1">IFERROR(__xludf.DUMMYFUNCTION("""COMPUTED_VALUE"""),"I")</f>
        <v>I</v>
      </c>
      <c r="F1607" s="202" t="str">
        <f ca="1">IFERROR(__xludf.DUMMYFUNCTION("""COMPUTED_VALUE"""),"S")</f>
        <v>S</v>
      </c>
      <c r="G1607" s="202">
        <f ca="1">IFERROR(__xludf.DUMMYFUNCTION("""COMPUTED_VALUE"""),3)</f>
        <v>3</v>
      </c>
      <c r="H1607" s="206"/>
      <c r="I1607" s="206"/>
      <c r="J1607" s="206"/>
      <c r="K1607" s="206"/>
      <c r="L1607" s="206" t="str">
        <v/>
      </c>
      <c r="M1607" s="206" t="str">
        <v/>
      </c>
    </row>
    <row r="1608" spans="1:13" ht="14.4">
      <c r="A1608" s="199" t="str">
        <f ca="1">IFERROR(__xludf.DUMMYFUNCTION("""COMPUTED_VALUE"""),"PC")</f>
        <v>PC</v>
      </c>
      <c r="B1608" s="207" t="str">
        <f ca="1">IFERROR(__xludf.DUMMYFUNCTION("""COMPUTED_VALUE"""),"Jackson Ward")</f>
        <v>Jackson Ward</v>
      </c>
      <c r="C1608" s="199">
        <f ca="1">IFERROR(__xludf.DUMMYFUNCTION("""COMPUTED_VALUE"""),14)</f>
        <v>14</v>
      </c>
      <c r="D1608" s="199" t="str">
        <f ca="1">IFERROR(__xludf.DUMMYFUNCTION("""COMPUTED_VALUE"""),"B")</f>
        <v>B</v>
      </c>
      <c r="E1608" s="202" t="str">
        <f ca="1">IFERROR(__xludf.DUMMYFUNCTION("""COMPUTED_VALUE"""),"I")</f>
        <v>I</v>
      </c>
      <c r="F1608" s="202" t="str">
        <f ca="1">IFERROR(__xludf.DUMMYFUNCTION("""COMPUTED_VALUE"""),"S")</f>
        <v>S</v>
      </c>
      <c r="G1608" s="202">
        <f ca="1">IFERROR(__xludf.DUMMYFUNCTION("""COMPUTED_VALUE"""),3)</f>
        <v>3</v>
      </c>
      <c r="H1608" s="208"/>
      <c r="I1608" s="208">
        <v>124</v>
      </c>
      <c r="J1608" s="208"/>
      <c r="K1608" s="208" t="s">
        <v>121</v>
      </c>
      <c r="L1608" s="208" t="str">
        <v xml:space="preserve"> 124</v>
      </c>
      <c r="M1608" s="208" t="str">
        <v/>
      </c>
    </row>
    <row r="1609" spans="1:13" ht="14.4">
      <c r="A1609" s="199" t="str">
        <f ca="1">IFERROR(__xludf.DUMMYFUNCTION("""COMPUTED_VALUE"""),"PC")</f>
        <v>PC</v>
      </c>
      <c r="B1609" s="207" t="str">
        <f ca="1">IFERROR(__xludf.DUMMYFUNCTION("""COMPUTED_VALUE"""),"Ken White")</f>
        <v>Ken White</v>
      </c>
      <c r="C1609" s="199">
        <f ca="1">IFERROR(__xludf.DUMMYFUNCTION("""COMPUTED_VALUE"""),13)</f>
        <v>13</v>
      </c>
      <c r="D1609" s="199" t="str">
        <f ca="1">IFERROR(__xludf.DUMMYFUNCTION("""COMPUTED_VALUE"""),"B")</f>
        <v>B</v>
      </c>
      <c r="E1609" s="202" t="str">
        <f ca="1">IFERROR(__xludf.DUMMYFUNCTION("""COMPUTED_VALUE"""),"I")</f>
        <v>I</v>
      </c>
      <c r="F1609" s="202" t="str">
        <f ca="1">IFERROR(__xludf.DUMMYFUNCTION("""COMPUTED_VALUE"""),"S")</f>
        <v>S</v>
      </c>
      <c r="G1609" s="202">
        <f ca="1">IFERROR(__xludf.DUMMYFUNCTION("""COMPUTED_VALUE"""),3)</f>
        <v>3</v>
      </c>
      <c r="H1609" s="208"/>
      <c r="I1609" s="208"/>
      <c r="J1609" s="208"/>
      <c r="K1609" s="208"/>
      <c r="L1609" s="208" t="str">
        <v/>
      </c>
      <c r="M1609" s="208" t="str">
        <v/>
      </c>
    </row>
    <row r="1610" spans="1:13" ht="14.4">
      <c r="A1610" s="199" t="str">
        <f ca="1">IFERROR(__xludf.DUMMYFUNCTION("""COMPUTED_VALUE"""),"PC")</f>
        <v>PC</v>
      </c>
      <c r="B1610" s="207" t="str">
        <f ca="1">IFERROR(__xludf.DUMMYFUNCTION("""COMPUTED_VALUE"""),"Graci Vlattas")</f>
        <v>Graci Vlattas</v>
      </c>
      <c r="C1610" s="199">
        <f ca="1">IFERROR(__xludf.DUMMYFUNCTION("""COMPUTED_VALUE"""),13)</f>
        <v>13</v>
      </c>
      <c r="D1610" s="199" t="str">
        <f ca="1">IFERROR(__xludf.DUMMYFUNCTION("""COMPUTED_VALUE"""),"G")</f>
        <v>G</v>
      </c>
      <c r="E1610" s="202" t="str">
        <f ca="1">IFERROR(__xludf.DUMMYFUNCTION("""COMPUTED_VALUE"""),"I")</f>
        <v>I</v>
      </c>
      <c r="F1610" s="202" t="str">
        <f ca="1">IFERROR(__xludf.DUMMYFUNCTION("""COMPUTED_VALUE"""),"S")</f>
        <v>S</v>
      </c>
      <c r="G1610" s="202">
        <f ca="1">IFERROR(__xludf.DUMMYFUNCTION("""COMPUTED_VALUE"""),3)</f>
        <v>3</v>
      </c>
      <c r="H1610" s="208">
        <v>103.9</v>
      </c>
      <c r="I1610" s="208"/>
      <c r="J1610" s="208" t="s">
        <v>121</v>
      </c>
      <c r="K1610" s="208"/>
      <c r="L1610" s="208" t="str">
        <v xml:space="preserve"> 103.9</v>
      </c>
      <c r="M1610" s="208" t="str">
        <v/>
      </c>
    </row>
    <row r="1611" spans="1:13" ht="14.4">
      <c r="A1611" s="199" t="str">
        <f ca="1">IFERROR(__xludf.DUMMYFUNCTION("""COMPUTED_VALUE"""),"PC")</f>
        <v>PC</v>
      </c>
      <c r="B1611" s="207" t="str">
        <f ca="1">IFERROR(__xludf.DUMMYFUNCTION("""COMPUTED_VALUE"""),"Hannah Burstein")</f>
        <v>Hannah Burstein</v>
      </c>
      <c r="C1611" s="199">
        <f ca="1">IFERROR(__xludf.DUMMYFUNCTION("""COMPUTED_VALUE"""),13)</f>
        <v>13</v>
      </c>
      <c r="D1611" s="199" t="str">
        <f ca="1">IFERROR(__xludf.DUMMYFUNCTION("""COMPUTED_VALUE"""),"G")</f>
        <v>G</v>
      </c>
      <c r="E1611" s="202" t="str">
        <f ca="1">IFERROR(__xludf.DUMMYFUNCTION("""COMPUTED_VALUE"""),"I")</f>
        <v>I</v>
      </c>
      <c r="F1611" s="202" t="str">
        <f ca="1">IFERROR(__xludf.DUMMYFUNCTION("""COMPUTED_VALUE"""),"S")</f>
        <v>S</v>
      </c>
      <c r="G1611" s="202">
        <f ca="1">IFERROR(__xludf.DUMMYFUNCTION("""COMPUTED_VALUE"""),3)</f>
        <v>3</v>
      </c>
      <c r="H1611" s="206"/>
      <c r="I1611" s="206"/>
      <c r="J1611" s="206"/>
      <c r="K1611" s="206"/>
      <c r="L1611" s="206" t="str">
        <v/>
      </c>
      <c r="M1611" s="206" t="str">
        <v/>
      </c>
    </row>
    <row r="1612" spans="1:13" ht="14.4">
      <c r="A1612" s="199" t="str">
        <f ca="1">IFERROR(__xludf.DUMMYFUNCTION("""COMPUTED_VALUE"""),"PC")</f>
        <v>PC</v>
      </c>
      <c r="B1612" s="207" t="str">
        <f ca="1">IFERROR(__xludf.DUMMYFUNCTION("""COMPUTED_VALUE"""),"Isabella Cardona")</f>
        <v>Isabella Cardona</v>
      </c>
      <c r="C1612" s="199">
        <f ca="1">IFERROR(__xludf.DUMMYFUNCTION("""COMPUTED_VALUE"""),14)</f>
        <v>14</v>
      </c>
      <c r="D1612" s="199" t="str">
        <f ca="1">IFERROR(__xludf.DUMMYFUNCTION("""COMPUTED_VALUE"""),"G")</f>
        <v>G</v>
      </c>
      <c r="E1612" s="202" t="str">
        <f ca="1">IFERROR(__xludf.DUMMYFUNCTION("""COMPUTED_VALUE"""),"I")</f>
        <v>I</v>
      </c>
      <c r="F1612" s="202" t="str">
        <f ca="1">IFERROR(__xludf.DUMMYFUNCTION("""COMPUTED_VALUE"""),"S")</f>
        <v>S</v>
      </c>
      <c r="G1612" s="202">
        <f ca="1">IFERROR(__xludf.DUMMYFUNCTION("""COMPUTED_VALUE"""),3)</f>
        <v>3</v>
      </c>
      <c r="H1612" s="208"/>
      <c r="I1612" s="208"/>
      <c r="J1612" s="208"/>
      <c r="K1612" s="208"/>
      <c r="L1612" s="208" t="str">
        <v/>
      </c>
      <c r="M1612" s="208" t="str">
        <v/>
      </c>
    </row>
    <row r="1613" spans="1:13" ht="14.4">
      <c r="A1613" s="199" t="str">
        <f ca="1">IFERROR(__xludf.DUMMYFUNCTION("""COMPUTED_VALUE"""),"PC")</f>
        <v>PC</v>
      </c>
      <c r="B1613" s="207" t="str">
        <f ca="1">IFERROR(__xludf.DUMMYFUNCTION("""COMPUTED_VALUE"""),"Lauren Guggenmos")</f>
        <v>Lauren Guggenmos</v>
      </c>
      <c r="C1613" s="199">
        <f ca="1">IFERROR(__xludf.DUMMYFUNCTION("""COMPUTED_VALUE"""),13)</f>
        <v>13</v>
      </c>
      <c r="D1613" s="199" t="str">
        <f ca="1">IFERROR(__xludf.DUMMYFUNCTION("""COMPUTED_VALUE"""),"G")</f>
        <v>G</v>
      </c>
      <c r="E1613" s="202" t="str">
        <f ca="1">IFERROR(__xludf.DUMMYFUNCTION("""COMPUTED_VALUE"""),"I")</f>
        <v>I</v>
      </c>
      <c r="F1613" s="202" t="str">
        <f ca="1">IFERROR(__xludf.DUMMYFUNCTION("""COMPUTED_VALUE"""),"S")</f>
        <v>S</v>
      </c>
      <c r="G1613" s="202">
        <f ca="1">IFERROR(__xludf.DUMMYFUNCTION("""COMPUTED_VALUE"""),3)</f>
        <v>3</v>
      </c>
      <c r="H1613" s="206"/>
      <c r="I1613" s="206"/>
      <c r="J1613" s="206"/>
      <c r="K1613" s="206"/>
      <c r="L1613" s="206" t="str">
        <v/>
      </c>
      <c r="M1613" s="206" t="str">
        <v/>
      </c>
    </row>
    <row r="1614" spans="1:13" ht="14.4">
      <c r="A1614" s="199" t="str">
        <f ca="1">IFERROR(__xludf.DUMMYFUNCTION("""COMPUTED_VALUE"""),"PC")</f>
        <v>PC</v>
      </c>
      <c r="B1614" s="207" t="str">
        <f ca="1">IFERROR(__xludf.DUMMYFUNCTION("""COMPUTED_VALUE"""),"Akash Kaji")</f>
        <v>Akash Kaji</v>
      </c>
      <c r="C1614" s="199">
        <f ca="1">IFERROR(__xludf.DUMMYFUNCTION("""COMPUTED_VALUE"""),12)</f>
        <v>12</v>
      </c>
      <c r="D1614" s="199" t="str">
        <f ca="1">IFERROR(__xludf.DUMMYFUNCTION("""COMPUTED_VALUE"""),"B")</f>
        <v>B</v>
      </c>
      <c r="E1614" s="202" t="str">
        <f ca="1">IFERROR(__xludf.DUMMYFUNCTION("""COMPUTED_VALUE"""),"J")</f>
        <v>J</v>
      </c>
      <c r="F1614" s="202" t="str">
        <f ca="1">IFERROR(__xludf.DUMMYFUNCTION("""COMPUTED_VALUE"""),"I")</f>
        <v>I</v>
      </c>
      <c r="G1614" s="202">
        <f ca="1">IFERROR(__xludf.DUMMYFUNCTION("""COMPUTED_VALUE"""),3)</f>
        <v>3</v>
      </c>
      <c r="H1614" s="208"/>
      <c r="I1614" s="208">
        <v>79.2</v>
      </c>
      <c r="J1614" s="208"/>
      <c r="K1614" s="208" t="s">
        <v>121</v>
      </c>
      <c r="L1614" s="208" t="str">
        <v xml:space="preserve"> 79.2</v>
      </c>
      <c r="M1614" s="208" t="str">
        <v/>
      </c>
    </row>
    <row r="1615" spans="1:13" ht="14.4">
      <c r="A1615" s="199" t="str">
        <f ca="1">IFERROR(__xludf.DUMMYFUNCTION("""COMPUTED_VALUE"""),"PC")</f>
        <v>PC</v>
      </c>
      <c r="B1615" s="207" t="str">
        <f ca="1">IFERROR(__xludf.DUMMYFUNCTION("""COMPUTED_VALUE"""),"Connor Ryan")</f>
        <v>Connor Ryan</v>
      </c>
      <c r="C1615" s="199">
        <f ca="1">IFERROR(__xludf.DUMMYFUNCTION("""COMPUTED_VALUE"""),11)</f>
        <v>11</v>
      </c>
      <c r="D1615" s="199" t="str">
        <f ca="1">IFERROR(__xludf.DUMMYFUNCTION("""COMPUTED_VALUE"""),"B")</f>
        <v>B</v>
      </c>
      <c r="E1615" s="202" t="str">
        <f ca="1">IFERROR(__xludf.DUMMYFUNCTION("""COMPUTED_VALUE"""),"J")</f>
        <v>J</v>
      </c>
      <c r="F1615" s="202" t="str">
        <f ca="1">IFERROR(__xludf.DUMMYFUNCTION("""COMPUTED_VALUE"""),"I")</f>
        <v>I</v>
      </c>
      <c r="G1615" s="202">
        <f ca="1">IFERROR(__xludf.DUMMYFUNCTION("""COMPUTED_VALUE"""),3)</f>
        <v>3</v>
      </c>
      <c r="H1615" s="208"/>
      <c r="I1615" s="208">
        <v>79.400000000000006</v>
      </c>
      <c r="J1615" s="208"/>
      <c r="K1615" s="208" t="s">
        <v>121</v>
      </c>
      <c r="L1615" s="208" t="str">
        <v xml:space="preserve"> 79.4</v>
      </c>
      <c r="M1615" s="208" t="str">
        <v/>
      </c>
    </row>
    <row r="1616" spans="1:13" ht="14.4">
      <c r="A1616" s="199" t="str">
        <f ca="1">IFERROR(__xludf.DUMMYFUNCTION("""COMPUTED_VALUE"""),"PC")</f>
        <v>PC</v>
      </c>
      <c r="B1616" s="207" t="str">
        <f ca="1">IFERROR(__xludf.DUMMYFUNCTION("""COMPUTED_VALUE"""),"Caroline Ivey")</f>
        <v>Caroline Ivey</v>
      </c>
      <c r="C1616" s="199">
        <f ca="1">IFERROR(__xludf.DUMMYFUNCTION("""COMPUTED_VALUE"""),11)</f>
        <v>11</v>
      </c>
      <c r="D1616" s="199" t="str">
        <f ca="1">IFERROR(__xludf.DUMMYFUNCTION("""COMPUTED_VALUE"""),"G")</f>
        <v>G</v>
      </c>
      <c r="E1616" s="202" t="str">
        <f ca="1">IFERROR(__xludf.DUMMYFUNCTION("""COMPUTED_VALUE"""),"J")</f>
        <v>J</v>
      </c>
      <c r="F1616" s="202" t="str">
        <f ca="1">IFERROR(__xludf.DUMMYFUNCTION("""COMPUTED_VALUE"""),"I")</f>
        <v>I</v>
      </c>
      <c r="G1616" s="202">
        <f ca="1">IFERROR(__xludf.DUMMYFUNCTION("""COMPUTED_VALUE"""),3)</f>
        <v>3</v>
      </c>
      <c r="H1616" s="206">
        <v>53.2</v>
      </c>
      <c r="I1616" s="206"/>
      <c r="J1616" s="206" t="s">
        <v>121</v>
      </c>
      <c r="K1616" s="206"/>
      <c r="L1616" s="206" t="str">
        <v xml:space="preserve"> 53.2</v>
      </c>
      <c r="M1616" s="206" t="str">
        <v/>
      </c>
    </row>
    <row r="1617" spans="1:13" ht="14.4">
      <c r="A1617" s="199" t="str">
        <f ca="1">IFERROR(__xludf.DUMMYFUNCTION("""COMPUTED_VALUE"""),"PC")</f>
        <v>PC</v>
      </c>
      <c r="B1617" s="207" t="str">
        <f ca="1">IFERROR(__xludf.DUMMYFUNCTION("""COMPUTED_VALUE"""),"Daniela Cardona")</f>
        <v>Daniela Cardona</v>
      </c>
      <c r="C1617" s="199">
        <f ca="1">IFERROR(__xludf.DUMMYFUNCTION("""COMPUTED_VALUE"""),12)</f>
        <v>12</v>
      </c>
      <c r="D1617" s="199" t="str">
        <f ca="1">IFERROR(__xludf.DUMMYFUNCTION("""COMPUTED_VALUE"""),"G")</f>
        <v>G</v>
      </c>
      <c r="E1617" s="202" t="str">
        <f ca="1">IFERROR(__xludf.DUMMYFUNCTION("""COMPUTED_VALUE"""),"J")</f>
        <v>J</v>
      </c>
      <c r="F1617" s="202" t="str">
        <f ca="1">IFERROR(__xludf.DUMMYFUNCTION("""COMPUTED_VALUE"""),"I")</f>
        <v>I</v>
      </c>
      <c r="G1617" s="202">
        <f ca="1">IFERROR(__xludf.DUMMYFUNCTION("""COMPUTED_VALUE"""),3)</f>
        <v>3</v>
      </c>
      <c r="H1617" s="208"/>
      <c r="I1617" s="208"/>
      <c r="J1617" s="208"/>
      <c r="K1617" s="208"/>
      <c r="L1617" s="208" t="str">
        <v/>
      </c>
      <c r="M1617" s="208" t="str">
        <v/>
      </c>
    </row>
    <row r="1618" spans="1:13" ht="14.4">
      <c r="A1618" s="199" t="str">
        <f ca="1">IFERROR(__xludf.DUMMYFUNCTION("""COMPUTED_VALUE"""),"PC")</f>
        <v>PC</v>
      </c>
      <c r="B1618" s="207" t="str">
        <f ca="1">IFERROR(__xludf.DUMMYFUNCTION("""COMPUTED_VALUE"""),"Gia Yappel")</f>
        <v>Gia Yappel</v>
      </c>
      <c r="C1618" s="199">
        <f ca="1">IFERROR(__xludf.DUMMYFUNCTION("""COMPUTED_VALUE"""),11)</f>
        <v>11</v>
      </c>
      <c r="D1618" s="199" t="str">
        <f ca="1">IFERROR(__xludf.DUMMYFUNCTION("""COMPUTED_VALUE"""),"G")</f>
        <v>G</v>
      </c>
      <c r="E1618" s="202" t="str">
        <f ca="1">IFERROR(__xludf.DUMMYFUNCTION("""COMPUTED_VALUE"""),"J")</f>
        <v>J</v>
      </c>
      <c r="F1618" s="202" t="str">
        <f ca="1">IFERROR(__xludf.DUMMYFUNCTION("""COMPUTED_VALUE"""),"I")</f>
        <v>I</v>
      </c>
      <c r="G1618" s="202">
        <f ca="1">IFERROR(__xludf.DUMMYFUNCTION("""COMPUTED_VALUE"""),3)</f>
        <v>3</v>
      </c>
      <c r="H1618" s="206">
        <v>82.95</v>
      </c>
      <c r="I1618" s="206"/>
      <c r="J1618" s="206" t="s">
        <v>121</v>
      </c>
      <c r="K1618" s="206"/>
      <c r="L1618" s="206" t="str">
        <v xml:space="preserve"> 82.95</v>
      </c>
      <c r="M1618" s="206" t="str">
        <v/>
      </c>
    </row>
    <row r="1619" spans="1:13" ht="14.4">
      <c r="A1619" s="199" t="str">
        <f ca="1">IFERROR(__xludf.DUMMYFUNCTION("""COMPUTED_VALUE"""),"PC")</f>
        <v>PC</v>
      </c>
      <c r="B1619" s="207" t="str">
        <f ca="1">IFERROR(__xludf.DUMMYFUNCTION("""COMPUTED_VALUE"""),"Isla Eckhardt")</f>
        <v>Isla Eckhardt</v>
      </c>
      <c r="C1619" s="199">
        <f ca="1">IFERROR(__xludf.DUMMYFUNCTION("""COMPUTED_VALUE"""),11)</f>
        <v>11</v>
      </c>
      <c r="D1619" s="199" t="str">
        <f ca="1">IFERROR(__xludf.DUMMYFUNCTION("""COMPUTED_VALUE"""),"G")</f>
        <v>G</v>
      </c>
      <c r="E1619" s="202" t="str">
        <f ca="1">IFERROR(__xludf.DUMMYFUNCTION("""COMPUTED_VALUE"""),"J")</f>
        <v>J</v>
      </c>
      <c r="F1619" s="202" t="str">
        <f ca="1">IFERROR(__xludf.DUMMYFUNCTION("""COMPUTED_VALUE"""),"I")</f>
        <v>I</v>
      </c>
      <c r="G1619" s="202">
        <f ca="1">IFERROR(__xludf.DUMMYFUNCTION("""COMPUTED_VALUE"""),3)</f>
        <v>3</v>
      </c>
      <c r="H1619" s="208">
        <v>79.95</v>
      </c>
      <c r="I1619" s="208"/>
      <c r="J1619" s="208" t="s">
        <v>121</v>
      </c>
      <c r="K1619" s="208"/>
      <c r="L1619" s="208" t="str">
        <v xml:space="preserve"> 79.95</v>
      </c>
      <c r="M1619" s="208" t="str">
        <v/>
      </c>
    </row>
    <row r="1620" spans="1:13" ht="14.4">
      <c r="A1620" s="199" t="str">
        <f ca="1">IFERROR(__xludf.DUMMYFUNCTION("""COMPUTED_VALUE"""),"PC")</f>
        <v>PC</v>
      </c>
      <c r="B1620" s="207" t="str">
        <f ca="1">IFERROR(__xludf.DUMMYFUNCTION("""COMPUTED_VALUE"""),"Lauren Ivey")</f>
        <v>Lauren Ivey</v>
      </c>
      <c r="C1620" s="199">
        <f ca="1">IFERROR(__xludf.DUMMYFUNCTION("""COMPUTED_VALUE"""),12)</f>
        <v>12</v>
      </c>
      <c r="D1620" s="199" t="str">
        <f ca="1">IFERROR(__xludf.DUMMYFUNCTION("""COMPUTED_VALUE"""),"G")</f>
        <v>G</v>
      </c>
      <c r="E1620" s="202" t="str">
        <f ca="1">IFERROR(__xludf.DUMMYFUNCTION("""COMPUTED_VALUE"""),"J")</f>
        <v>J</v>
      </c>
      <c r="F1620" s="202" t="str">
        <f ca="1">IFERROR(__xludf.DUMMYFUNCTION("""COMPUTED_VALUE"""),"I")</f>
        <v>I</v>
      </c>
      <c r="G1620" s="202">
        <f ca="1">IFERROR(__xludf.DUMMYFUNCTION("""COMPUTED_VALUE"""),3)</f>
        <v>3</v>
      </c>
      <c r="H1620" s="208">
        <v>69.2</v>
      </c>
      <c r="I1620" s="208"/>
      <c r="J1620" s="208" t="s">
        <v>121</v>
      </c>
      <c r="K1620" s="208"/>
      <c r="L1620" s="208" t="str">
        <v xml:space="preserve"> 69.2</v>
      </c>
      <c r="M1620" s="208" t="str">
        <v/>
      </c>
    </row>
    <row r="1621" spans="1:13" ht="14.4">
      <c r="A1621" s="199" t="str">
        <f ca="1">IFERROR(__xludf.DUMMYFUNCTION("""COMPUTED_VALUE"""),"PC")</f>
        <v>PC</v>
      </c>
      <c r="B1621" s="207" t="str">
        <f ca="1">IFERROR(__xludf.DUMMYFUNCTION("""COMPUTED_VALUE"""),"Megan Kennedy")</f>
        <v>Megan Kennedy</v>
      </c>
      <c r="C1621" s="199">
        <f ca="1">IFERROR(__xludf.DUMMYFUNCTION("""COMPUTED_VALUE"""),12)</f>
        <v>12</v>
      </c>
      <c r="D1621" s="199" t="str">
        <f ca="1">IFERROR(__xludf.DUMMYFUNCTION("""COMPUTED_VALUE"""),"G")</f>
        <v>G</v>
      </c>
      <c r="E1621" s="202" t="str">
        <f ca="1">IFERROR(__xludf.DUMMYFUNCTION("""COMPUTED_VALUE"""),"J")</f>
        <v>J</v>
      </c>
      <c r="F1621" s="202" t="str">
        <f ca="1">IFERROR(__xludf.DUMMYFUNCTION("""COMPUTED_VALUE"""),"I")</f>
        <v>I</v>
      </c>
      <c r="G1621" s="202">
        <f ca="1">IFERROR(__xludf.DUMMYFUNCTION("""COMPUTED_VALUE"""),3)</f>
        <v>3</v>
      </c>
      <c r="H1621" s="206"/>
      <c r="I1621" s="206"/>
      <c r="J1621" s="206"/>
      <c r="K1621" s="206"/>
      <c r="L1621" s="206" t="str">
        <v/>
      </c>
      <c r="M1621" s="206" t="str">
        <v/>
      </c>
    </row>
    <row r="1622" spans="1:13" ht="14.4">
      <c r="A1622" s="199" t="str">
        <f ca="1">IFERROR(__xludf.DUMMYFUNCTION("""COMPUTED_VALUE"""),"PC")</f>
        <v>PC</v>
      </c>
      <c r="B1622" s="207" t="str">
        <f ca="1">IFERROR(__xludf.DUMMYFUNCTION("""COMPUTED_VALUE"""),"Milly Navarro")</f>
        <v>Milly Navarro</v>
      </c>
      <c r="C1622" s="199">
        <f ca="1">IFERROR(__xludf.DUMMYFUNCTION("""COMPUTED_VALUE"""),12)</f>
        <v>12</v>
      </c>
      <c r="D1622" s="199" t="str">
        <f ca="1">IFERROR(__xludf.DUMMYFUNCTION("""COMPUTED_VALUE"""),"G")</f>
        <v>G</v>
      </c>
      <c r="E1622" s="202" t="str">
        <f ca="1">IFERROR(__xludf.DUMMYFUNCTION("""COMPUTED_VALUE"""),"J")</f>
        <v>J</v>
      </c>
      <c r="F1622" s="202" t="str">
        <f ca="1">IFERROR(__xludf.DUMMYFUNCTION("""COMPUTED_VALUE"""),"I")</f>
        <v>I</v>
      </c>
      <c r="G1622" s="202">
        <f ca="1">IFERROR(__xludf.DUMMYFUNCTION("""COMPUTED_VALUE"""),3)</f>
        <v>3</v>
      </c>
      <c r="H1622" s="208"/>
      <c r="I1622" s="208"/>
      <c r="J1622" s="208"/>
      <c r="K1622" s="208"/>
      <c r="L1622" s="208" t="str">
        <v/>
      </c>
      <c r="M1622" s="208" t="str">
        <v/>
      </c>
    </row>
    <row r="1623" spans="1:13" ht="14.4">
      <c r="A1623" s="199" t="str">
        <f ca="1">IFERROR(__xludf.DUMMYFUNCTION("""COMPUTED_VALUE"""),"PC")</f>
        <v>PC</v>
      </c>
      <c r="B1623" s="207" t="str">
        <f ca="1">IFERROR(__xludf.DUMMYFUNCTION("""COMPUTED_VALUE"""),"Natalie Rutland")</f>
        <v>Natalie Rutland</v>
      </c>
      <c r="C1623" s="199">
        <f ca="1">IFERROR(__xludf.DUMMYFUNCTION("""COMPUTED_VALUE"""),12)</f>
        <v>12</v>
      </c>
      <c r="D1623" s="199" t="str">
        <f ca="1">IFERROR(__xludf.DUMMYFUNCTION("""COMPUTED_VALUE"""),"G")</f>
        <v>G</v>
      </c>
      <c r="E1623" s="202" t="str">
        <f ca="1">IFERROR(__xludf.DUMMYFUNCTION("""COMPUTED_VALUE"""),"J")</f>
        <v>J</v>
      </c>
      <c r="F1623" s="202" t="str">
        <f ca="1">IFERROR(__xludf.DUMMYFUNCTION("""COMPUTED_VALUE"""),"I")</f>
        <v>I</v>
      </c>
      <c r="G1623" s="202">
        <f ca="1">IFERROR(__xludf.DUMMYFUNCTION("""COMPUTED_VALUE"""),3)</f>
        <v>3</v>
      </c>
      <c r="H1623" s="206">
        <v>81.05</v>
      </c>
      <c r="I1623" s="206"/>
      <c r="J1623" s="206" t="s">
        <v>121</v>
      </c>
      <c r="K1623" s="206"/>
      <c r="L1623" s="206" t="str">
        <v xml:space="preserve"> 81.05</v>
      </c>
      <c r="M1623" s="206" t="str">
        <v/>
      </c>
    </row>
    <row r="1624" spans="1:13" ht="14.4">
      <c r="A1624" s="199" t="str">
        <f ca="1">IFERROR(__xludf.DUMMYFUNCTION("""COMPUTED_VALUE"""),"PC")</f>
        <v>PC</v>
      </c>
      <c r="B1624" s="207" t="str">
        <f ca="1">IFERROR(__xludf.DUMMYFUNCTION("""COMPUTED_VALUE"""),"Penny Go")</f>
        <v>Penny Go</v>
      </c>
      <c r="C1624" s="199">
        <f ca="1">IFERROR(__xludf.DUMMYFUNCTION("""COMPUTED_VALUE"""),12)</f>
        <v>12</v>
      </c>
      <c r="D1624" s="199" t="str">
        <f ca="1">IFERROR(__xludf.DUMMYFUNCTION("""COMPUTED_VALUE"""),"G")</f>
        <v>G</v>
      </c>
      <c r="E1624" s="202" t="str">
        <f ca="1">IFERROR(__xludf.DUMMYFUNCTION("""COMPUTED_VALUE"""),"J")</f>
        <v>J</v>
      </c>
      <c r="F1624" s="202" t="str">
        <f ca="1">IFERROR(__xludf.DUMMYFUNCTION("""COMPUTED_VALUE"""),"I")</f>
        <v>I</v>
      </c>
      <c r="G1624" s="202">
        <f ca="1">IFERROR(__xludf.DUMMYFUNCTION("""COMPUTED_VALUE"""),3)</f>
        <v>3</v>
      </c>
      <c r="H1624" s="208"/>
      <c r="I1624" s="208"/>
      <c r="J1624" s="208"/>
      <c r="K1624" s="208"/>
      <c r="L1624" s="208" t="str">
        <v/>
      </c>
      <c r="M1624" s="208" t="str">
        <v/>
      </c>
    </row>
    <row r="1625" spans="1:13" ht="14.4">
      <c r="A1625" s="199" t="str">
        <f ca="1">IFERROR(__xludf.DUMMYFUNCTION("""COMPUTED_VALUE"""),"PC")</f>
        <v>PC</v>
      </c>
      <c r="B1625" s="207" t="str">
        <f ca="1">IFERROR(__xludf.DUMMYFUNCTION("""COMPUTED_VALUE"""),"Cole Casey")</f>
        <v>Cole Casey</v>
      </c>
      <c r="C1625" s="199">
        <f ca="1">IFERROR(__xludf.DUMMYFUNCTION("""COMPUTED_VALUE"""),15)</f>
        <v>15</v>
      </c>
      <c r="D1625" s="199" t="str">
        <f ca="1">IFERROR(__xludf.DUMMYFUNCTION("""COMPUTED_VALUE"""),"B")</f>
        <v>B</v>
      </c>
      <c r="E1625" s="202" t="str">
        <f ca="1">IFERROR(__xludf.DUMMYFUNCTION("""COMPUTED_VALUE"""),"S")</f>
        <v>S</v>
      </c>
      <c r="F1625" s="202" t="str">
        <f ca="1">IFERROR(__xludf.DUMMYFUNCTION("""COMPUTED_VALUE"""),"S")</f>
        <v>S</v>
      </c>
      <c r="G1625" s="202">
        <f ca="1">IFERROR(__xludf.DUMMYFUNCTION("""COMPUTED_VALUE"""),3)</f>
        <v>3</v>
      </c>
      <c r="H1625" s="206"/>
      <c r="I1625" s="206"/>
      <c r="J1625" s="206"/>
      <c r="K1625" s="206"/>
      <c r="L1625" s="206" t="str">
        <v/>
      </c>
      <c r="M1625" s="206" t="str">
        <v/>
      </c>
    </row>
    <row r="1626" spans="1:13" ht="14.4">
      <c r="A1626" s="199" t="str">
        <f ca="1">IFERROR(__xludf.DUMMYFUNCTION("""COMPUTED_VALUE"""),"PC")</f>
        <v>PC</v>
      </c>
      <c r="B1626" s="207" t="str">
        <f ca="1">IFERROR(__xludf.DUMMYFUNCTION("""COMPUTED_VALUE"""),"Vangeli Hadjimichael")</f>
        <v>Vangeli Hadjimichael</v>
      </c>
      <c r="C1626" s="199">
        <f ca="1">IFERROR(__xludf.DUMMYFUNCTION("""COMPUTED_VALUE"""),17)</f>
        <v>17</v>
      </c>
      <c r="D1626" s="199" t="str">
        <f ca="1">IFERROR(__xludf.DUMMYFUNCTION("""COMPUTED_VALUE"""),"B")</f>
        <v>B</v>
      </c>
      <c r="E1626" s="202" t="str">
        <f ca="1">IFERROR(__xludf.DUMMYFUNCTION("""COMPUTED_VALUE"""),"S")</f>
        <v>S</v>
      </c>
      <c r="F1626" s="202" t="str">
        <f ca="1">IFERROR(__xludf.DUMMYFUNCTION("""COMPUTED_VALUE"""),"S")</f>
        <v>S</v>
      </c>
      <c r="G1626" s="202">
        <f ca="1">IFERROR(__xludf.DUMMYFUNCTION("""COMPUTED_VALUE"""),3)</f>
        <v>3</v>
      </c>
      <c r="H1626" s="208"/>
      <c r="I1626" s="208">
        <v>167.5</v>
      </c>
      <c r="J1626" s="208"/>
      <c r="K1626" s="208" t="s">
        <v>121</v>
      </c>
      <c r="L1626" s="208" t="str">
        <v xml:space="preserve"> 167.5</v>
      </c>
      <c r="M1626" s="208" t="str">
        <v/>
      </c>
    </row>
    <row r="1627" spans="1:13" ht="14.4">
      <c r="A1627" s="199" t="str">
        <f ca="1">IFERROR(__xludf.DUMMYFUNCTION("""COMPUTED_VALUE"""),"PC")</f>
        <v>PC</v>
      </c>
      <c r="B1627" s="207" t="str">
        <f ca="1">IFERROR(__xludf.DUMMYFUNCTION("""COMPUTED_VALUE"""),"Abby Anderson")</f>
        <v>Abby Anderson</v>
      </c>
      <c r="C1627" s="199">
        <f ca="1">IFERROR(__xludf.DUMMYFUNCTION("""COMPUTED_VALUE"""),15)</f>
        <v>15</v>
      </c>
      <c r="D1627" s="199" t="str">
        <f ca="1">IFERROR(__xludf.DUMMYFUNCTION("""COMPUTED_VALUE"""),"G")</f>
        <v>G</v>
      </c>
      <c r="E1627" s="202" t="str">
        <f ca="1">IFERROR(__xludf.DUMMYFUNCTION("""COMPUTED_VALUE"""),"S")</f>
        <v>S</v>
      </c>
      <c r="F1627" s="202" t="str">
        <f ca="1">IFERROR(__xludf.DUMMYFUNCTION("""COMPUTED_VALUE"""),"S")</f>
        <v>S</v>
      </c>
      <c r="G1627" s="202">
        <f ca="1">IFERROR(__xludf.DUMMYFUNCTION("""COMPUTED_VALUE"""),3)</f>
        <v>3</v>
      </c>
      <c r="H1627" s="206">
        <v>181.85</v>
      </c>
      <c r="I1627" s="206"/>
      <c r="J1627" s="206" t="s">
        <v>121</v>
      </c>
      <c r="K1627" s="206"/>
      <c r="L1627" s="206" t="str">
        <v xml:space="preserve"> 181.85</v>
      </c>
      <c r="M1627" s="206" t="str">
        <v/>
      </c>
    </row>
    <row r="1628" spans="1:13" ht="14.4">
      <c r="A1628" s="199" t="str">
        <f ca="1">IFERROR(__xludf.DUMMYFUNCTION("""COMPUTED_VALUE"""),"PC")</f>
        <v>PC</v>
      </c>
      <c r="B1628" s="207" t="str">
        <f ca="1">IFERROR(__xludf.DUMMYFUNCTION("""COMPUTED_VALUE"""),"Kenzie Conner")</f>
        <v>Kenzie Conner</v>
      </c>
      <c r="C1628" s="199">
        <f ca="1">IFERROR(__xludf.DUMMYFUNCTION("""COMPUTED_VALUE"""),16)</f>
        <v>16</v>
      </c>
      <c r="D1628" s="199" t="str">
        <f ca="1">IFERROR(__xludf.DUMMYFUNCTION("""COMPUTED_VALUE"""),"G")</f>
        <v>G</v>
      </c>
      <c r="E1628" s="202" t="str">
        <f ca="1">IFERROR(__xludf.DUMMYFUNCTION("""COMPUTED_VALUE"""),"S")</f>
        <v>S</v>
      </c>
      <c r="F1628" s="202" t="str">
        <f ca="1">IFERROR(__xludf.DUMMYFUNCTION("""COMPUTED_VALUE"""),"S")</f>
        <v>S</v>
      </c>
      <c r="G1628" s="202">
        <f ca="1">IFERROR(__xludf.DUMMYFUNCTION("""COMPUTED_VALUE"""),3)</f>
        <v>3</v>
      </c>
      <c r="H1628" s="208">
        <v>179.35</v>
      </c>
      <c r="I1628" s="208"/>
      <c r="J1628" s="208" t="s">
        <v>121</v>
      </c>
      <c r="K1628" s="208"/>
      <c r="L1628" s="208" t="str">
        <v xml:space="preserve"> 179.35</v>
      </c>
      <c r="M1628" s="208" t="str">
        <v/>
      </c>
    </row>
    <row r="1629" spans="1:13" ht="14.4">
      <c r="A1629" s="199" t="str">
        <f ca="1">IFERROR(__xludf.DUMMYFUNCTION("""COMPUTED_VALUE"""),"PL")</f>
        <v>PL</v>
      </c>
      <c r="B1629" s="207" t="str">
        <f ca="1">IFERROR(__xludf.DUMMYFUNCTION("""COMPUTED_VALUE"""),"Alexander Murphy")</f>
        <v>Alexander Murphy</v>
      </c>
      <c r="C1629" s="199">
        <f ca="1">IFERROR(__xludf.DUMMYFUNCTION("""COMPUTED_VALUE"""),9)</f>
        <v>9</v>
      </c>
      <c r="D1629" s="199" t="str">
        <f ca="1">IFERROR(__xludf.DUMMYFUNCTION("""COMPUTED_VALUE"""),"B")</f>
        <v>B</v>
      </c>
      <c r="E1629" s="202" t="str">
        <f ca="1">IFERROR(__xludf.DUMMYFUNCTION("""COMPUTED_VALUE"""),"F")</f>
        <v>F</v>
      </c>
      <c r="F1629" s="202" t="str">
        <f ca="1">IFERROR(__xludf.DUMMYFUNCTION("""COMPUTED_VALUE"""),"J")</f>
        <v>J</v>
      </c>
      <c r="G1629" s="202">
        <f ca="1">IFERROR(__xludf.DUMMYFUNCTION("""COMPUTED_VALUE"""),8)</f>
        <v>8</v>
      </c>
      <c r="H1629" s="208"/>
      <c r="I1629" s="208"/>
      <c r="J1629" s="208"/>
      <c r="K1629" s="208"/>
      <c r="L1629" s="208" t="str">
        <v/>
      </c>
      <c r="M1629" s="208" t="str">
        <v/>
      </c>
    </row>
    <row r="1630" spans="1:13" ht="14.4">
      <c r="A1630" s="199" t="str">
        <f ca="1">IFERROR(__xludf.DUMMYFUNCTION("""COMPUTED_VALUE"""),"PL")</f>
        <v>PL</v>
      </c>
      <c r="B1630" s="207" t="str">
        <f ca="1">IFERROR(__xludf.DUMMYFUNCTION("""COMPUTED_VALUE"""),"Angus Johnston")</f>
        <v>Angus Johnston</v>
      </c>
      <c r="C1630" s="199">
        <f ca="1">IFERROR(__xludf.DUMMYFUNCTION("""COMPUTED_VALUE"""),9)</f>
        <v>9</v>
      </c>
      <c r="D1630" s="199" t="str">
        <f ca="1">IFERROR(__xludf.DUMMYFUNCTION("""COMPUTED_VALUE"""),"B")</f>
        <v>B</v>
      </c>
      <c r="E1630" s="202" t="str">
        <f ca="1">IFERROR(__xludf.DUMMYFUNCTION("""COMPUTED_VALUE"""),"F")</f>
        <v>F</v>
      </c>
      <c r="F1630" s="202" t="str">
        <f ca="1">IFERROR(__xludf.DUMMYFUNCTION("""COMPUTED_VALUE"""),"J")</f>
        <v>J</v>
      </c>
      <c r="G1630" s="202">
        <f ca="1">IFERROR(__xludf.DUMMYFUNCTION("""COMPUTED_VALUE"""),8)</f>
        <v>8</v>
      </c>
      <c r="H1630" s="206"/>
      <c r="I1630" s="206"/>
      <c r="J1630" s="206"/>
      <c r="K1630" s="206"/>
      <c r="L1630" s="206" t="str">
        <v/>
      </c>
      <c r="M1630" s="206" t="str">
        <v/>
      </c>
    </row>
    <row r="1631" spans="1:13" ht="14.4">
      <c r="A1631" s="199" t="str">
        <f ca="1">IFERROR(__xludf.DUMMYFUNCTION("""COMPUTED_VALUE"""),"PL")</f>
        <v>PL</v>
      </c>
      <c r="B1631" s="207" t="str">
        <f ca="1">IFERROR(__xludf.DUMMYFUNCTION("""COMPUTED_VALUE"""),"Cormac Henderson")</f>
        <v>Cormac Henderson</v>
      </c>
      <c r="C1631" s="199">
        <f ca="1">IFERROR(__xludf.DUMMYFUNCTION("""COMPUTED_VALUE"""),8)</f>
        <v>8</v>
      </c>
      <c r="D1631" s="199" t="str">
        <f ca="1">IFERROR(__xludf.DUMMYFUNCTION("""COMPUTED_VALUE"""),"B")</f>
        <v>B</v>
      </c>
      <c r="E1631" s="202" t="str">
        <f ca="1">IFERROR(__xludf.DUMMYFUNCTION("""COMPUTED_VALUE"""),"F")</f>
        <v>F</v>
      </c>
      <c r="F1631" s="202" t="str">
        <f ca="1">IFERROR(__xludf.DUMMYFUNCTION("""COMPUTED_VALUE"""),"J")</f>
        <v>J</v>
      </c>
      <c r="G1631" s="202">
        <f ca="1">IFERROR(__xludf.DUMMYFUNCTION("""COMPUTED_VALUE"""),8)</f>
        <v>8</v>
      </c>
      <c r="H1631" s="208"/>
      <c r="I1631" s="208">
        <v>57.05</v>
      </c>
      <c r="J1631" s="208"/>
      <c r="K1631" s="208" t="s">
        <v>121</v>
      </c>
      <c r="L1631" s="208" t="str">
        <v xml:space="preserve"> 57.05</v>
      </c>
      <c r="M1631" s="208" t="str">
        <v/>
      </c>
    </row>
    <row r="1632" spans="1:13" ht="14.4">
      <c r="A1632" s="199" t="str">
        <f ca="1">IFERROR(__xludf.DUMMYFUNCTION("""COMPUTED_VALUE"""),"PL")</f>
        <v>PL</v>
      </c>
      <c r="B1632" s="207" t="str">
        <f ca="1">IFERROR(__xludf.DUMMYFUNCTION("""COMPUTED_VALUE"""),"Everett Iams")</f>
        <v>Everett Iams</v>
      </c>
      <c r="C1632" s="199">
        <f ca="1">IFERROR(__xludf.DUMMYFUNCTION("""COMPUTED_VALUE"""),7)</f>
        <v>7</v>
      </c>
      <c r="D1632" s="199" t="str">
        <f ca="1">IFERROR(__xludf.DUMMYFUNCTION("""COMPUTED_VALUE"""),"B")</f>
        <v>B</v>
      </c>
      <c r="E1632" s="202" t="str">
        <f ca="1">IFERROR(__xludf.DUMMYFUNCTION("""COMPUTED_VALUE"""),"F")</f>
        <v>F</v>
      </c>
      <c r="F1632" s="202" t="str">
        <f ca="1">IFERROR(__xludf.DUMMYFUNCTION("""COMPUTED_VALUE"""),"J")</f>
        <v>J</v>
      </c>
      <c r="G1632" s="202">
        <f ca="1">IFERROR(__xludf.DUMMYFUNCTION("""COMPUTED_VALUE"""),8)</f>
        <v>8</v>
      </c>
      <c r="H1632" s="206"/>
      <c r="I1632" s="206"/>
      <c r="J1632" s="206"/>
      <c r="K1632" s="206"/>
      <c r="L1632" s="206" t="str">
        <v/>
      </c>
      <c r="M1632" s="206" t="str">
        <v/>
      </c>
    </row>
    <row r="1633" spans="1:13" ht="14.4">
      <c r="A1633" s="199" t="str">
        <f ca="1">IFERROR(__xludf.DUMMYFUNCTION("""COMPUTED_VALUE"""),"PL")</f>
        <v>PL</v>
      </c>
      <c r="B1633" s="207" t="str">
        <f ca="1">IFERROR(__xludf.DUMMYFUNCTION("""COMPUTED_VALUE"""),"Gabriel Mesmer")</f>
        <v>Gabriel Mesmer</v>
      </c>
      <c r="C1633" s="199">
        <f ca="1">IFERROR(__xludf.DUMMYFUNCTION("""COMPUTED_VALUE"""),9)</f>
        <v>9</v>
      </c>
      <c r="D1633" s="199" t="str">
        <f ca="1">IFERROR(__xludf.DUMMYFUNCTION("""COMPUTED_VALUE"""),"B")</f>
        <v>B</v>
      </c>
      <c r="E1633" s="202" t="str">
        <f ca="1">IFERROR(__xludf.DUMMYFUNCTION("""COMPUTED_VALUE"""),"F")</f>
        <v>F</v>
      </c>
      <c r="F1633" s="202" t="str">
        <f ca="1">IFERROR(__xludf.DUMMYFUNCTION("""COMPUTED_VALUE"""),"J")</f>
        <v>J</v>
      </c>
      <c r="G1633" s="202">
        <f ca="1">IFERROR(__xludf.DUMMYFUNCTION("""COMPUTED_VALUE"""),8)</f>
        <v>8</v>
      </c>
      <c r="H1633" s="208"/>
      <c r="I1633" s="208">
        <v>21.9</v>
      </c>
      <c r="J1633" s="208"/>
      <c r="K1633" s="208" t="s">
        <v>121</v>
      </c>
      <c r="L1633" s="208" t="str">
        <v xml:space="preserve"> 21.9</v>
      </c>
      <c r="M1633" s="208" t="str">
        <v/>
      </c>
    </row>
    <row r="1634" spans="1:13" ht="14.4">
      <c r="A1634" s="199" t="str">
        <f ca="1">IFERROR(__xludf.DUMMYFUNCTION("""COMPUTED_VALUE"""),"PL")</f>
        <v>PL</v>
      </c>
      <c r="B1634" s="207" t="str">
        <f ca="1">IFERROR(__xludf.DUMMYFUNCTION("""COMPUTED_VALUE"""),"Kaleo Contreni-Moore")</f>
        <v>Kaleo Contreni-Moore</v>
      </c>
      <c r="C1634" s="199">
        <f ca="1">IFERROR(__xludf.DUMMYFUNCTION("""COMPUTED_VALUE"""),10)</f>
        <v>10</v>
      </c>
      <c r="D1634" s="199" t="str">
        <f ca="1">IFERROR(__xludf.DUMMYFUNCTION("""COMPUTED_VALUE"""),"B")</f>
        <v>B</v>
      </c>
      <c r="E1634" s="202" t="str">
        <f ca="1">IFERROR(__xludf.DUMMYFUNCTION("""COMPUTED_VALUE"""),"F")</f>
        <v>F</v>
      </c>
      <c r="F1634" s="202" t="str">
        <f ca="1">IFERROR(__xludf.DUMMYFUNCTION("""COMPUTED_VALUE"""),"J")</f>
        <v>J</v>
      </c>
      <c r="G1634" s="202">
        <f ca="1">IFERROR(__xludf.DUMMYFUNCTION("""COMPUTED_VALUE"""),8)</f>
        <v>8</v>
      </c>
      <c r="H1634" s="206"/>
      <c r="I1634" s="206">
        <v>34.200000000000003</v>
      </c>
      <c r="J1634" s="206"/>
      <c r="K1634" s="206" t="s">
        <v>121</v>
      </c>
      <c r="L1634" s="206" t="str">
        <v xml:space="preserve"> 34.2</v>
      </c>
      <c r="M1634" s="206" t="str">
        <v/>
      </c>
    </row>
    <row r="1635" spans="1:13" ht="14.4">
      <c r="A1635" s="199" t="str">
        <f ca="1">IFERROR(__xludf.DUMMYFUNCTION("""COMPUTED_VALUE"""),"PL")</f>
        <v>PL</v>
      </c>
      <c r="B1635" s="207" t="str">
        <f ca="1">IFERROR(__xludf.DUMMYFUNCTION("""COMPUTED_VALUE"""),"Keaton Gutierrez")</f>
        <v>Keaton Gutierrez</v>
      </c>
      <c r="C1635" s="199">
        <f ca="1">IFERROR(__xludf.DUMMYFUNCTION("""COMPUTED_VALUE"""),8)</f>
        <v>8</v>
      </c>
      <c r="D1635" s="199" t="str">
        <f ca="1">IFERROR(__xludf.DUMMYFUNCTION("""COMPUTED_VALUE"""),"B")</f>
        <v>B</v>
      </c>
      <c r="E1635" s="202" t="str">
        <f ca="1">IFERROR(__xludf.DUMMYFUNCTION("""COMPUTED_VALUE"""),"F")</f>
        <v>F</v>
      </c>
      <c r="F1635" s="202" t="str">
        <f ca="1">IFERROR(__xludf.DUMMYFUNCTION("""COMPUTED_VALUE"""),"J")</f>
        <v>J</v>
      </c>
      <c r="G1635" s="202">
        <f ca="1">IFERROR(__xludf.DUMMYFUNCTION("""COMPUTED_VALUE"""),8)</f>
        <v>8</v>
      </c>
      <c r="H1635" s="206"/>
      <c r="I1635" s="206">
        <v>32.950000000000003</v>
      </c>
      <c r="J1635" s="206"/>
      <c r="K1635" s="206" t="s">
        <v>121</v>
      </c>
      <c r="L1635" s="206" t="str">
        <v xml:space="preserve"> 32.95</v>
      </c>
      <c r="M1635" s="206" t="str">
        <v/>
      </c>
    </row>
    <row r="1636" spans="1:13" ht="14.4">
      <c r="A1636" s="199" t="str">
        <f ca="1">IFERROR(__xludf.DUMMYFUNCTION("""COMPUTED_VALUE"""),"PL")</f>
        <v>PL</v>
      </c>
      <c r="B1636" s="207" t="str">
        <f ca="1">IFERROR(__xludf.DUMMYFUNCTION("""COMPUTED_VALUE"""),"Mason Iams")</f>
        <v>Mason Iams</v>
      </c>
      <c r="C1636" s="199">
        <f ca="1">IFERROR(__xludf.DUMMYFUNCTION("""COMPUTED_VALUE"""),9)</f>
        <v>9</v>
      </c>
      <c r="D1636" s="199" t="str">
        <f ca="1">IFERROR(__xludf.DUMMYFUNCTION("""COMPUTED_VALUE"""),"B")</f>
        <v>B</v>
      </c>
      <c r="E1636" s="202" t="str">
        <f ca="1">IFERROR(__xludf.DUMMYFUNCTION("""COMPUTED_VALUE"""),"F")</f>
        <v>F</v>
      </c>
      <c r="F1636" s="202" t="str">
        <f ca="1">IFERROR(__xludf.DUMMYFUNCTION("""COMPUTED_VALUE"""),"J")</f>
        <v>J</v>
      </c>
      <c r="G1636" s="202">
        <f ca="1">IFERROR(__xludf.DUMMYFUNCTION("""COMPUTED_VALUE"""),8)</f>
        <v>8</v>
      </c>
      <c r="H1636" s="206"/>
      <c r="I1636" s="206">
        <v>35.799999999999997</v>
      </c>
      <c r="J1636" s="206"/>
      <c r="K1636" s="206" t="s">
        <v>121</v>
      </c>
      <c r="L1636" s="206" t="str">
        <v xml:space="preserve"> 35.8</v>
      </c>
      <c r="M1636" s="206" t="str">
        <v/>
      </c>
    </row>
    <row r="1637" spans="1:13" ht="14.4">
      <c r="A1637" s="199" t="str">
        <f ca="1">IFERROR(__xludf.DUMMYFUNCTION("""COMPUTED_VALUE"""),"PL")</f>
        <v>PL</v>
      </c>
      <c r="B1637" s="207" t="str">
        <f ca="1">IFERROR(__xludf.DUMMYFUNCTION("""COMPUTED_VALUE"""),"Matthew Sahda")</f>
        <v>Matthew Sahda</v>
      </c>
      <c r="C1637" s="199">
        <f ca="1">IFERROR(__xludf.DUMMYFUNCTION("""COMPUTED_VALUE"""),8)</f>
        <v>8</v>
      </c>
      <c r="D1637" s="199" t="str">
        <f ca="1">IFERROR(__xludf.DUMMYFUNCTION("""COMPUTED_VALUE"""),"B")</f>
        <v>B</v>
      </c>
      <c r="E1637" s="202" t="str">
        <f ca="1">IFERROR(__xludf.DUMMYFUNCTION("""COMPUTED_VALUE"""),"F")</f>
        <v>F</v>
      </c>
      <c r="F1637" s="202" t="str">
        <f ca="1">IFERROR(__xludf.DUMMYFUNCTION("""COMPUTED_VALUE"""),"J")</f>
        <v>J</v>
      </c>
      <c r="G1637" s="202">
        <f ca="1">IFERROR(__xludf.DUMMYFUNCTION("""COMPUTED_VALUE"""),8)</f>
        <v>8</v>
      </c>
      <c r="H1637" s="206"/>
      <c r="I1637" s="206"/>
      <c r="J1637" s="206"/>
      <c r="K1637" s="206"/>
      <c r="L1637" s="206" t="str">
        <v/>
      </c>
      <c r="M1637" s="206" t="str">
        <v/>
      </c>
    </row>
    <row r="1638" spans="1:13" ht="14.4">
      <c r="A1638" s="199" t="str">
        <f ca="1">IFERROR(__xludf.DUMMYFUNCTION("""COMPUTED_VALUE"""),"PL")</f>
        <v>PL</v>
      </c>
      <c r="B1638" s="207" t="str">
        <f ca="1">IFERROR(__xludf.DUMMYFUNCTION("""COMPUTED_VALUE"""),"Maxwell Pedrick")</f>
        <v>Maxwell Pedrick</v>
      </c>
      <c r="C1638" s="199">
        <f ca="1">IFERROR(__xludf.DUMMYFUNCTION("""COMPUTED_VALUE"""),9)</f>
        <v>9</v>
      </c>
      <c r="D1638" s="199" t="str">
        <f ca="1">IFERROR(__xludf.DUMMYFUNCTION("""COMPUTED_VALUE"""),"B")</f>
        <v>B</v>
      </c>
      <c r="E1638" s="202" t="str">
        <f ca="1">IFERROR(__xludf.DUMMYFUNCTION("""COMPUTED_VALUE"""),"F")</f>
        <v>F</v>
      </c>
      <c r="F1638" s="202" t="str">
        <f ca="1">IFERROR(__xludf.DUMMYFUNCTION("""COMPUTED_VALUE"""),"J")</f>
        <v>J</v>
      </c>
      <c r="G1638" s="202">
        <f ca="1">IFERROR(__xludf.DUMMYFUNCTION("""COMPUTED_VALUE"""),8)</f>
        <v>8</v>
      </c>
      <c r="H1638" s="206"/>
      <c r="I1638" s="206"/>
      <c r="J1638" s="206"/>
      <c r="K1638" s="206"/>
      <c r="L1638" s="206" t="str">
        <v/>
      </c>
      <c r="M1638" s="206" t="str">
        <v/>
      </c>
    </row>
    <row r="1639" spans="1:13" ht="14.4">
      <c r="A1639" s="199" t="str">
        <f ca="1">IFERROR(__xludf.DUMMYFUNCTION("""COMPUTED_VALUE"""),"PL")</f>
        <v>PL</v>
      </c>
      <c r="B1639" s="207" t="str">
        <f ca="1">IFERROR(__xludf.DUMMYFUNCTION("""COMPUTED_VALUE"""),"Miles Marvin")</f>
        <v>Miles Marvin</v>
      </c>
      <c r="C1639" s="199">
        <f ca="1">IFERROR(__xludf.DUMMYFUNCTION("""COMPUTED_VALUE"""),8)</f>
        <v>8</v>
      </c>
      <c r="D1639" s="199" t="str">
        <f ca="1">IFERROR(__xludf.DUMMYFUNCTION("""COMPUTED_VALUE"""),"B")</f>
        <v>B</v>
      </c>
      <c r="E1639" s="202" t="str">
        <f ca="1">IFERROR(__xludf.DUMMYFUNCTION("""COMPUTED_VALUE"""),"F")</f>
        <v>F</v>
      </c>
      <c r="F1639" s="202" t="str">
        <f ca="1">IFERROR(__xludf.DUMMYFUNCTION("""COMPUTED_VALUE"""),"J")</f>
        <v>J</v>
      </c>
      <c r="G1639" s="202">
        <f ca="1">IFERROR(__xludf.DUMMYFUNCTION("""COMPUTED_VALUE"""),8)</f>
        <v>8</v>
      </c>
      <c r="H1639" s="206"/>
      <c r="I1639" s="206">
        <v>33.1</v>
      </c>
      <c r="J1639" s="206"/>
      <c r="K1639" s="206" t="s">
        <v>121</v>
      </c>
      <c r="L1639" s="206" t="str">
        <v xml:space="preserve"> 33.1</v>
      </c>
      <c r="M1639" s="206" t="str">
        <v/>
      </c>
    </row>
    <row r="1640" spans="1:13" ht="14.4">
      <c r="A1640" s="199" t="str">
        <f ca="1">IFERROR(__xludf.DUMMYFUNCTION("""COMPUTED_VALUE"""),"PL")</f>
        <v>PL</v>
      </c>
      <c r="B1640" s="207" t="str">
        <f ca="1">IFERROR(__xludf.DUMMYFUNCTION("""COMPUTED_VALUE"""),"Miller Supple")</f>
        <v>Miller Supple</v>
      </c>
      <c r="C1640" s="199">
        <f ca="1">IFERROR(__xludf.DUMMYFUNCTION("""COMPUTED_VALUE"""),8)</f>
        <v>8</v>
      </c>
      <c r="D1640" s="199" t="str">
        <f ca="1">IFERROR(__xludf.DUMMYFUNCTION("""COMPUTED_VALUE"""),"B")</f>
        <v>B</v>
      </c>
      <c r="E1640" s="202" t="str">
        <f ca="1">IFERROR(__xludf.DUMMYFUNCTION("""COMPUTED_VALUE"""),"F")</f>
        <v>F</v>
      </c>
      <c r="F1640" s="202" t="str">
        <f ca="1">IFERROR(__xludf.DUMMYFUNCTION("""COMPUTED_VALUE"""),"J")</f>
        <v>J</v>
      </c>
      <c r="G1640" s="202">
        <f ca="1">IFERROR(__xludf.DUMMYFUNCTION("""COMPUTED_VALUE"""),8)</f>
        <v>8</v>
      </c>
      <c r="H1640" s="206"/>
      <c r="I1640" s="206">
        <v>55.3</v>
      </c>
      <c r="J1640" s="206"/>
      <c r="K1640" s="206" t="s">
        <v>121</v>
      </c>
      <c r="L1640" s="206" t="str">
        <v xml:space="preserve"> 55.3</v>
      </c>
      <c r="M1640" s="206" t="str">
        <v/>
      </c>
    </row>
    <row r="1641" spans="1:13" ht="14.4">
      <c r="A1641" s="199" t="str">
        <f ca="1">IFERROR(__xludf.DUMMYFUNCTION("""COMPUTED_VALUE"""),"PL")</f>
        <v>PL</v>
      </c>
      <c r="B1641" s="207" t="str">
        <f ca="1">IFERROR(__xludf.DUMMYFUNCTION("""COMPUTED_VALUE"""),"Raphael Mesmer")</f>
        <v>Raphael Mesmer</v>
      </c>
      <c r="C1641" s="199">
        <f ca="1">IFERROR(__xludf.DUMMYFUNCTION("""COMPUTED_VALUE"""),9)</f>
        <v>9</v>
      </c>
      <c r="D1641" s="199" t="str">
        <f ca="1">IFERROR(__xludf.DUMMYFUNCTION("""COMPUTED_VALUE"""),"B")</f>
        <v>B</v>
      </c>
      <c r="E1641" s="202" t="str">
        <f ca="1">IFERROR(__xludf.DUMMYFUNCTION("""COMPUTED_VALUE"""),"F")</f>
        <v>F</v>
      </c>
      <c r="F1641" s="202" t="str">
        <f ca="1">IFERROR(__xludf.DUMMYFUNCTION("""COMPUTED_VALUE"""),"J")</f>
        <v>J</v>
      </c>
      <c r="G1641" s="202">
        <f ca="1">IFERROR(__xludf.DUMMYFUNCTION("""COMPUTED_VALUE"""),8)</f>
        <v>8</v>
      </c>
      <c r="H1641" s="206"/>
      <c r="I1641" s="206">
        <v>39.5</v>
      </c>
      <c r="J1641" s="206"/>
      <c r="K1641" s="206" t="s">
        <v>121</v>
      </c>
      <c r="L1641" s="206" t="str">
        <v xml:space="preserve"> 39.5</v>
      </c>
      <c r="M1641" s="206" t="str">
        <v/>
      </c>
    </row>
    <row r="1642" spans="1:13" ht="14.4">
      <c r="A1642" s="199" t="str">
        <f ca="1">IFERROR(__xludf.DUMMYFUNCTION("""COMPUTED_VALUE"""),"PL")</f>
        <v>PL</v>
      </c>
      <c r="B1642" s="207" t="str">
        <f ca="1">IFERROR(__xludf.DUMMYFUNCTION("""COMPUTED_VALUE"""),"Alexandra Lee")</f>
        <v>Alexandra Lee</v>
      </c>
      <c r="C1642" s="199">
        <f ca="1">IFERROR(__xludf.DUMMYFUNCTION("""COMPUTED_VALUE"""),10)</f>
        <v>10</v>
      </c>
      <c r="D1642" s="199" t="str">
        <f ca="1">IFERROR(__xludf.DUMMYFUNCTION("""COMPUTED_VALUE"""),"G")</f>
        <v>G</v>
      </c>
      <c r="E1642" s="202" t="str">
        <f ca="1">IFERROR(__xludf.DUMMYFUNCTION("""COMPUTED_VALUE"""),"F")</f>
        <v>F</v>
      </c>
      <c r="F1642" s="202" t="str">
        <f ca="1">IFERROR(__xludf.DUMMYFUNCTION("""COMPUTED_VALUE"""),"J")</f>
        <v>J</v>
      </c>
      <c r="G1642" s="202">
        <f ca="1">IFERROR(__xludf.DUMMYFUNCTION("""COMPUTED_VALUE"""),8)</f>
        <v>8</v>
      </c>
      <c r="H1642" s="208"/>
      <c r="I1642" s="208"/>
      <c r="J1642" s="208"/>
      <c r="K1642" s="208"/>
      <c r="L1642" s="208" t="str">
        <v/>
      </c>
      <c r="M1642" s="208" t="str">
        <v/>
      </c>
    </row>
    <row r="1643" spans="1:13" ht="14.4">
      <c r="A1643" s="199" t="str">
        <f ca="1">IFERROR(__xludf.DUMMYFUNCTION("""COMPUTED_VALUE"""),"PL")</f>
        <v>PL</v>
      </c>
      <c r="B1643" s="207" t="str">
        <f ca="1">IFERROR(__xludf.DUMMYFUNCTION("""COMPUTED_VALUE"""),"Charlotte Hill")</f>
        <v>Charlotte Hill</v>
      </c>
      <c r="C1643" s="199">
        <f ca="1">IFERROR(__xludf.DUMMYFUNCTION("""COMPUTED_VALUE"""),9)</f>
        <v>9</v>
      </c>
      <c r="D1643" s="199" t="str">
        <f ca="1">IFERROR(__xludf.DUMMYFUNCTION("""COMPUTED_VALUE"""),"G")</f>
        <v>G</v>
      </c>
      <c r="E1643" s="202" t="str">
        <f ca="1">IFERROR(__xludf.DUMMYFUNCTION("""COMPUTED_VALUE"""),"F")</f>
        <v>F</v>
      </c>
      <c r="F1643" s="202" t="str">
        <f ca="1">IFERROR(__xludf.DUMMYFUNCTION("""COMPUTED_VALUE"""),"J")</f>
        <v>J</v>
      </c>
      <c r="G1643" s="202">
        <f ca="1">IFERROR(__xludf.DUMMYFUNCTION("""COMPUTED_VALUE"""),8)</f>
        <v>8</v>
      </c>
      <c r="H1643" s="206">
        <v>78.900000000000006</v>
      </c>
      <c r="I1643" s="206"/>
      <c r="J1643" s="206" t="s">
        <v>121</v>
      </c>
      <c r="K1643" s="206"/>
      <c r="L1643" s="206" t="str">
        <v xml:space="preserve"> 78.9</v>
      </c>
      <c r="M1643" s="206" t="str">
        <v/>
      </c>
    </row>
    <row r="1644" spans="1:13" ht="14.4">
      <c r="A1644" s="199" t="str">
        <f ca="1">IFERROR(__xludf.DUMMYFUNCTION("""COMPUTED_VALUE"""),"PL")</f>
        <v>PL</v>
      </c>
      <c r="B1644" s="207" t="str">
        <f ca="1">IFERROR(__xludf.DUMMYFUNCTION("""COMPUTED_VALUE"""),"Ella Aberra")</f>
        <v>Ella Aberra</v>
      </c>
      <c r="C1644" s="199">
        <f ca="1">IFERROR(__xludf.DUMMYFUNCTION("""COMPUTED_VALUE"""),9)</f>
        <v>9</v>
      </c>
      <c r="D1644" s="199" t="str">
        <f ca="1">IFERROR(__xludf.DUMMYFUNCTION("""COMPUTED_VALUE"""),"G")</f>
        <v>G</v>
      </c>
      <c r="E1644" s="202" t="str">
        <f ca="1">IFERROR(__xludf.DUMMYFUNCTION("""COMPUTED_VALUE"""),"F")</f>
        <v>F</v>
      </c>
      <c r="F1644" s="202" t="str">
        <f ca="1">IFERROR(__xludf.DUMMYFUNCTION("""COMPUTED_VALUE"""),"J")</f>
        <v>J</v>
      </c>
      <c r="G1644" s="202">
        <f ca="1">IFERROR(__xludf.DUMMYFUNCTION("""COMPUTED_VALUE"""),8)</f>
        <v>8</v>
      </c>
      <c r="H1644" s="206">
        <v>34.049999999999997</v>
      </c>
      <c r="I1644" s="206"/>
      <c r="J1644" s="206" t="s">
        <v>121</v>
      </c>
      <c r="K1644" s="206"/>
      <c r="L1644" s="206" t="str">
        <v xml:space="preserve"> 34.05</v>
      </c>
      <c r="M1644" s="206" t="str">
        <v/>
      </c>
    </row>
    <row r="1645" spans="1:13" ht="14.4">
      <c r="A1645" s="199" t="str">
        <f ca="1">IFERROR(__xludf.DUMMYFUNCTION("""COMPUTED_VALUE"""),"PL")</f>
        <v>PL</v>
      </c>
      <c r="B1645" s="207" t="str">
        <f ca="1">IFERROR(__xludf.DUMMYFUNCTION("""COMPUTED_VALUE"""),"Greta Ploetz")</f>
        <v>Greta Ploetz</v>
      </c>
      <c r="C1645" s="199">
        <f ca="1">IFERROR(__xludf.DUMMYFUNCTION("""COMPUTED_VALUE"""),10)</f>
        <v>10</v>
      </c>
      <c r="D1645" s="199" t="str">
        <f ca="1">IFERROR(__xludf.DUMMYFUNCTION("""COMPUTED_VALUE"""),"G")</f>
        <v>G</v>
      </c>
      <c r="E1645" s="202" t="str">
        <f ca="1">IFERROR(__xludf.DUMMYFUNCTION("""COMPUTED_VALUE"""),"F")</f>
        <v>F</v>
      </c>
      <c r="F1645" s="202" t="str">
        <f ca="1">IFERROR(__xludf.DUMMYFUNCTION("""COMPUTED_VALUE"""),"J")</f>
        <v>J</v>
      </c>
      <c r="G1645" s="202">
        <f ca="1">IFERROR(__xludf.DUMMYFUNCTION("""COMPUTED_VALUE"""),8)</f>
        <v>8</v>
      </c>
      <c r="H1645" s="206"/>
      <c r="I1645" s="206"/>
      <c r="J1645" s="206"/>
      <c r="K1645" s="206"/>
      <c r="L1645" s="206" t="str">
        <v/>
      </c>
      <c r="M1645" s="206" t="str">
        <v/>
      </c>
    </row>
    <row r="1646" spans="1:13" ht="14.4">
      <c r="A1646" s="199" t="str">
        <f ca="1">IFERROR(__xludf.DUMMYFUNCTION("""COMPUTED_VALUE"""),"PL")</f>
        <v>PL</v>
      </c>
      <c r="B1646" s="207" t="str">
        <f ca="1">IFERROR(__xludf.DUMMYFUNCTION("""COMPUTED_VALUE"""),"Jessica Buitrago")</f>
        <v>Jessica Buitrago</v>
      </c>
      <c r="C1646" s="199">
        <f ca="1">IFERROR(__xludf.DUMMYFUNCTION("""COMPUTED_VALUE"""),10)</f>
        <v>10</v>
      </c>
      <c r="D1646" s="199" t="str">
        <f ca="1">IFERROR(__xludf.DUMMYFUNCTION("""COMPUTED_VALUE"""),"G")</f>
        <v>G</v>
      </c>
      <c r="E1646" s="202" t="str">
        <f ca="1">IFERROR(__xludf.DUMMYFUNCTION("""COMPUTED_VALUE"""),"F")</f>
        <v>F</v>
      </c>
      <c r="F1646" s="202" t="str">
        <f ca="1">IFERROR(__xludf.DUMMYFUNCTION("""COMPUTED_VALUE"""),"J")</f>
        <v>J</v>
      </c>
      <c r="G1646" s="202">
        <f ca="1">IFERROR(__xludf.DUMMYFUNCTION("""COMPUTED_VALUE"""),8)</f>
        <v>8</v>
      </c>
      <c r="H1646" s="206"/>
      <c r="I1646" s="206"/>
      <c r="J1646" s="206"/>
      <c r="K1646" s="206"/>
      <c r="L1646" s="206" t="str">
        <v/>
      </c>
      <c r="M1646" s="206" t="str">
        <v/>
      </c>
    </row>
    <row r="1647" spans="1:13" ht="14.4">
      <c r="A1647" s="199" t="str">
        <f ca="1">IFERROR(__xludf.DUMMYFUNCTION("""COMPUTED_VALUE"""),"PL")</f>
        <v>PL</v>
      </c>
      <c r="B1647" s="207" t="str">
        <f ca="1">IFERROR(__xludf.DUMMYFUNCTION("""COMPUTED_VALUE"""),"Lucy Oliphant")</f>
        <v>Lucy Oliphant</v>
      </c>
      <c r="C1647" s="199">
        <f ca="1">IFERROR(__xludf.DUMMYFUNCTION("""COMPUTED_VALUE"""),10)</f>
        <v>10</v>
      </c>
      <c r="D1647" s="199" t="str">
        <f ca="1">IFERROR(__xludf.DUMMYFUNCTION("""COMPUTED_VALUE"""),"G")</f>
        <v>G</v>
      </c>
      <c r="E1647" s="202" t="str">
        <f ca="1">IFERROR(__xludf.DUMMYFUNCTION("""COMPUTED_VALUE"""),"F")</f>
        <v>F</v>
      </c>
      <c r="F1647" s="202" t="str">
        <f ca="1">IFERROR(__xludf.DUMMYFUNCTION("""COMPUTED_VALUE"""),"J")</f>
        <v>J</v>
      </c>
      <c r="G1647" s="202">
        <f ca="1">IFERROR(__xludf.DUMMYFUNCTION("""COMPUTED_VALUE"""),8)</f>
        <v>8</v>
      </c>
      <c r="H1647" s="208"/>
      <c r="I1647" s="208"/>
      <c r="J1647" s="208"/>
      <c r="K1647" s="208"/>
      <c r="L1647" s="208" t="str">
        <v/>
      </c>
      <c r="M1647" s="208" t="str">
        <v/>
      </c>
    </row>
    <row r="1648" spans="1:13" ht="14.4">
      <c r="A1648" s="199" t="str">
        <f ca="1">IFERROR(__xludf.DUMMYFUNCTION("""COMPUTED_VALUE"""),"PL")</f>
        <v>PL</v>
      </c>
      <c r="B1648" s="207" t="str">
        <f ca="1">IFERROR(__xludf.DUMMYFUNCTION("""COMPUTED_VALUE"""),"Mei Mei Roth")</f>
        <v>Mei Mei Roth</v>
      </c>
      <c r="C1648" s="199">
        <f ca="1">IFERROR(__xludf.DUMMYFUNCTION("""COMPUTED_VALUE"""),9)</f>
        <v>9</v>
      </c>
      <c r="D1648" s="199" t="str">
        <f ca="1">IFERROR(__xludf.DUMMYFUNCTION("""COMPUTED_VALUE"""),"G")</f>
        <v>G</v>
      </c>
      <c r="E1648" s="202" t="str">
        <f ca="1">IFERROR(__xludf.DUMMYFUNCTION("""COMPUTED_VALUE"""),"F")</f>
        <v>F</v>
      </c>
      <c r="F1648" s="202" t="str">
        <f ca="1">IFERROR(__xludf.DUMMYFUNCTION("""COMPUTED_VALUE"""),"J")</f>
        <v>J</v>
      </c>
      <c r="G1648" s="202">
        <f ca="1">IFERROR(__xludf.DUMMYFUNCTION("""COMPUTED_VALUE"""),8)</f>
        <v>8</v>
      </c>
      <c r="H1648" s="206">
        <v>74.400000000000006</v>
      </c>
      <c r="I1648" s="206"/>
      <c r="J1648" s="206" t="s">
        <v>121</v>
      </c>
      <c r="K1648" s="206"/>
      <c r="L1648" s="206" t="str">
        <v xml:space="preserve"> 74.4</v>
      </c>
      <c r="M1648" s="206" t="str">
        <v/>
      </c>
    </row>
    <row r="1649" spans="1:13" ht="14.4">
      <c r="A1649" s="199" t="str">
        <f ca="1">IFERROR(__xludf.DUMMYFUNCTION("""COMPUTED_VALUE"""),"PL")</f>
        <v>PL</v>
      </c>
      <c r="B1649" s="207" t="str">
        <f ca="1">IFERROR(__xludf.DUMMYFUNCTION("""COMPUTED_VALUE"""),"David Stayanoff")</f>
        <v>David Stayanoff</v>
      </c>
      <c r="C1649" s="199">
        <f ca="1">IFERROR(__xludf.DUMMYFUNCTION("""COMPUTED_VALUE"""),13)</f>
        <v>13</v>
      </c>
      <c r="D1649" s="199" t="str">
        <f ca="1">IFERROR(__xludf.DUMMYFUNCTION("""COMPUTED_VALUE"""),"B")</f>
        <v>B</v>
      </c>
      <c r="E1649" s="202" t="str">
        <f ca="1">IFERROR(__xludf.DUMMYFUNCTION("""COMPUTED_VALUE"""),"I")</f>
        <v>I</v>
      </c>
      <c r="F1649" s="202" t="str">
        <f ca="1">IFERROR(__xludf.DUMMYFUNCTION("""COMPUTED_VALUE"""),"S")</f>
        <v>S</v>
      </c>
      <c r="G1649" s="202">
        <f ca="1">IFERROR(__xludf.DUMMYFUNCTION("""COMPUTED_VALUE"""),8)</f>
        <v>8</v>
      </c>
      <c r="H1649" s="208"/>
      <c r="I1649" s="208"/>
      <c r="J1649" s="208"/>
      <c r="K1649" s="208"/>
      <c r="L1649" s="208" t="str">
        <v/>
      </c>
      <c r="M1649" s="208" t="str">
        <v/>
      </c>
    </row>
    <row r="1650" spans="1:13" ht="14.4">
      <c r="A1650" s="199" t="str">
        <f ca="1">IFERROR(__xludf.DUMMYFUNCTION("""COMPUTED_VALUE"""),"PL")</f>
        <v>PL</v>
      </c>
      <c r="B1650" s="207" t="str">
        <f ca="1">IFERROR(__xludf.DUMMYFUNCTION("""COMPUTED_VALUE"""),"Joe Liller")</f>
        <v>Joe Liller</v>
      </c>
      <c r="C1650" s="199">
        <f ca="1">IFERROR(__xludf.DUMMYFUNCTION("""COMPUTED_VALUE"""),14)</f>
        <v>14</v>
      </c>
      <c r="D1650" s="199" t="str">
        <f ca="1">IFERROR(__xludf.DUMMYFUNCTION("""COMPUTED_VALUE"""),"B")</f>
        <v>B</v>
      </c>
      <c r="E1650" s="202" t="str">
        <f ca="1">IFERROR(__xludf.DUMMYFUNCTION("""COMPUTED_VALUE"""),"I")</f>
        <v>I</v>
      </c>
      <c r="F1650" s="202" t="str">
        <f ca="1">IFERROR(__xludf.DUMMYFUNCTION("""COMPUTED_VALUE"""),"S")</f>
        <v>S</v>
      </c>
      <c r="G1650" s="202">
        <f ca="1">IFERROR(__xludf.DUMMYFUNCTION("""COMPUTED_VALUE"""),8)</f>
        <v>8</v>
      </c>
      <c r="H1650" s="208"/>
      <c r="I1650" s="208">
        <v>91.9</v>
      </c>
      <c r="J1650" s="208"/>
      <c r="K1650" s="208" t="s">
        <v>121</v>
      </c>
      <c r="L1650" s="208" t="str">
        <v xml:space="preserve"> 91.9</v>
      </c>
      <c r="M1650" s="208" t="str">
        <v/>
      </c>
    </row>
    <row r="1651" spans="1:13" ht="14.4">
      <c r="A1651" s="199" t="str">
        <f ca="1">IFERROR(__xludf.DUMMYFUNCTION("""COMPUTED_VALUE"""),"PL")</f>
        <v>PL</v>
      </c>
      <c r="B1651" s="207" t="str">
        <f ca="1">IFERROR(__xludf.DUMMYFUNCTION("""COMPUTED_VALUE"""),"Nathanael Aberra")</f>
        <v>Nathanael Aberra</v>
      </c>
      <c r="C1651" s="199">
        <f ca="1">IFERROR(__xludf.DUMMYFUNCTION("""COMPUTED_VALUE"""),14)</f>
        <v>14</v>
      </c>
      <c r="D1651" s="199" t="str">
        <f ca="1">IFERROR(__xludf.DUMMYFUNCTION("""COMPUTED_VALUE"""),"B")</f>
        <v>B</v>
      </c>
      <c r="E1651" s="202" t="str">
        <f ca="1">IFERROR(__xludf.DUMMYFUNCTION("""COMPUTED_VALUE"""),"I")</f>
        <v>I</v>
      </c>
      <c r="F1651" s="202" t="str">
        <f ca="1">IFERROR(__xludf.DUMMYFUNCTION("""COMPUTED_VALUE"""),"S")</f>
        <v>S</v>
      </c>
      <c r="G1651" s="202">
        <f ca="1">IFERROR(__xludf.DUMMYFUNCTION("""COMPUTED_VALUE"""),8)</f>
        <v>8</v>
      </c>
      <c r="H1651" s="208"/>
      <c r="I1651" s="208"/>
      <c r="J1651" s="208"/>
      <c r="K1651" s="208"/>
      <c r="L1651" s="208" t="str">
        <v/>
      </c>
      <c r="M1651" s="208" t="str">
        <v/>
      </c>
    </row>
    <row r="1652" spans="1:13" ht="14.4">
      <c r="A1652" s="199" t="str">
        <f ca="1">IFERROR(__xludf.DUMMYFUNCTION("""COMPUTED_VALUE"""),"PL")</f>
        <v>PL</v>
      </c>
      <c r="B1652" s="207" t="str">
        <f ca="1">IFERROR(__xludf.DUMMYFUNCTION("""COMPUTED_VALUE"""),"Will Henderson")</f>
        <v>Will Henderson</v>
      </c>
      <c r="C1652" s="199">
        <f ca="1">IFERROR(__xludf.DUMMYFUNCTION("""COMPUTED_VALUE"""),13)</f>
        <v>13</v>
      </c>
      <c r="D1652" s="199" t="str">
        <f ca="1">IFERROR(__xludf.DUMMYFUNCTION("""COMPUTED_VALUE"""),"B")</f>
        <v>B</v>
      </c>
      <c r="E1652" s="202" t="str">
        <f ca="1">IFERROR(__xludf.DUMMYFUNCTION("""COMPUTED_VALUE"""),"I")</f>
        <v>I</v>
      </c>
      <c r="F1652" s="202" t="str">
        <f ca="1">IFERROR(__xludf.DUMMYFUNCTION("""COMPUTED_VALUE"""),"S")</f>
        <v>S</v>
      </c>
      <c r="G1652" s="202">
        <f ca="1">IFERROR(__xludf.DUMMYFUNCTION("""COMPUTED_VALUE"""),8)</f>
        <v>8</v>
      </c>
      <c r="H1652" s="208"/>
      <c r="I1652" s="208"/>
      <c r="J1652" s="208"/>
      <c r="K1652" s="208"/>
      <c r="L1652" s="208" t="str">
        <v/>
      </c>
      <c r="M1652" s="208" t="str">
        <v/>
      </c>
    </row>
    <row r="1653" spans="1:13" ht="14.4">
      <c r="A1653" s="199" t="str">
        <f ca="1">IFERROR(__xludf.DUMMYFUNCTION("""COMPUTED_VALUE"""),"PL")</f>
        <v>PL</v>
      </c>
      <c r="B1653" s="207" t="str">
        <f ca="1">IFERROR(__xludf.DUMMYFUNCTION("""COMPUTED_VALUE"""),"Alexa Bayer")</f>
        <v>Alexa Bayer</v>
      </c>
      <c r="C1653" s="199">
        <f ca="1">IFERROR(__xludf.DUMMYFUNCTION("""COMPUTED_VALUE"""),13)</f>
        <v>13</v>
      </c>
      <c r="D1653" s="199" t="str">
        <f ca="1">IFERROR(__xludf.DUMMYFUNCTION("""COMPUTED_VALUE"""),"G")</f>
        <v>G</v>
      </c>
      <c r="E1653" s="202" t="str">
        <f ca="1">IFERROR(__xludf.DUMMYFUNCTION("""COMPUTED_VALUE"""),"I")</f>
        <v>I</v>
      </c>
      <c r="F1653" s="202" t="str">
        <f ca="1">IFERROR(__xludf.DUMMYFUNCTION("""COMPUTED_VALUE"""),"S")</f>
        <v>S</v>
      </c>
      <c r="G1653" s="202">
        <f ca="1">IFERROR(__xludf.DUMMYFUNCTION("""COMPUTED_VALUE"""),8)</f>
        <v>8</v>
      </c>
      <c r="H1653" s="206"/>
      <c r="I1653" s="206"/>
      <c r="J1653" s="206"/>
      <c r="K1653" s="206"/>
      <c r="L1653" s="206" t="str">
        <v/>
      </c>
      <c r="M1653" s="206" t="str">
        <v/>
      </c>
    </row>
    <row r="1654" spans="1:13" ht="14.4">
      <c r="A1654" s="199" t="str">
        <f ca="1">IFERROR(__xludf.DUMMYFUNCTION("""COMPUTED_VALUE"""),"PL")</f>
        <v>PL</v>
      </c>
      <c r="B1654" s="207" t="str">
        <f ca="1">IFERROR(__xludf.DUMMYFUNCTION("""COMPUTED_VALUE"""),"Camila Perez")</f>
        <v>Camila Perez</v>
      </c>
      <c r="C1654" s="199">
        <f ca="1">IFERROR(__xludf.DUMMYFUNCTION("""COMPUTED_VALUE"""),13)</f>
        <v>13</v>
      </c>
      <c r="D1654" s="199" t="str">
        <f ca="1">IFERROR(__xludf.DUMMYFUNCTION("""COMPUTED_VALUE"""),"G")</f>
        <v>G</v>
      </c>
      <c r="E1654" s="202" t="str">
        <f ca="1">IFERROR(__xludf.DUMMYFUNCTION("""COMPUTED_VALUE"""),"I")</f>
        <v>I</v>
      </c>
      <c r="F1654" s="202" t="str">
        <f ca="1">IFERROR(__xludf.DUMMYFUNCTION("""COMPUTED_VALUE"""),"S")</f>
        <v>S</v>
      </c>
      <c r="G1654" s="202">
        <f ca="1">IFERROR(__xludf.DUMMYFUNCTION("""COMPUTED_VALUE"""),8)</f>
        <v>8</v>
      </c>
      <c r="H1654" s="206"/>
      <c r="I1654" s="206"/>
      <c r="J1654" s="206"/>
      <c r="K1654" s="206"/>
      <c r="L1654" s="206" t="str">
        <v/>
      </c>
      <c r="M1654" s="206" t="str">
        <v/>
      </c>
    </row>
    <row r="1655" spans="1:13" ht="14.4">
      <c r="A1655" s="199" t="str">
        <f ca="1">IFERROR(__xludf.DUMMYFUNCTION("""COMPUTED_VALUE"""),"PL")</f>
        <v>PL</v>
      </c>
      <c r="B1655" s="207" t="str">
        <f ca="1">IFERROR(__xludf.DUMMYFUNCTION("""COMPUTED_VALUE"""),"Daysi Cruz")</f>
        <v>Daysi Cruz</v>
      </c>
      <c r="C1655" s="199">
        <f ca="1">IFERROR(__xludf.DUMMYFUNCTION("""COMPUTED_VALUE"""),13)</f>
        <v>13</v>
      </c>
      <c r="D1655" s="199" t="str">
        <f ca="1">IFERROR(__xludf.DUMMYFUNCTION("""COMPUTED_VALUE"""),"G")</f>
        <v>G</v>
      </c>
      <c r="E1655" s="202" t="str">
        <f ca="1">IFERROR(__xludf.DUMMYFUNCTION("""COMPUTED_VALUE"""),"I")</f>
        <v>I</v>
      </c>
      <c r="F1655" s="202" t="str">
        <f ca="1">IFERROR(__xludf.DUMMYFUNCTION("""COMPUTED_VALUE"""),"S")</f>
        <v>S</v>
      </c>
      <c r="G1655" s="202">
        <f ca="1">IFERROR(__xludf.DUMMYFUNCTION("""COMPUTED_VALUE"""),8)</f>
        <v>8</v>
      </c>
      <c r="H1655" s="206">
        <v>99.9</v>
      </c>
      <c r="I1655" s="206"/>
      <c r="J1655" s="206" t="s">
        <v>121</v>
      </c>
      <c r="K1655" s="206"/>
      <c r="L1655" s="206" t="str">
        <v xml:space="preserve"> 99.9</v>
      </c>
      <c r="M1655" s="206" t="str">
        <v/>
      </c>
    </row>
    <row r="1656" spans="1:13" ht="14.4">
      <c r="A1656" s="199" t="str">
        <f ca="1">IFERROR(__xludf.DUMMYFUNCTION("""COMPUTED_VALUE"""),"PL")</f>
        <v>PL</v>
      </c>
      <c r="B1656" s="207" t="str">
        <f ca="1">IFERROR(__xludf.DUMMYFUNCTION("""COMPUTED_VALUE"""),"Ella Galway")</f>
        <v>Ella Galway</v>
      </c>
      <c r="C1656" s="199">
        <f ca="1">IFERROR(__xludf.DUMMYFUNCTION("""COMPUTED_VALUE"""),14)</f>
        <v>14</v>
      </c>
      <c r="D1656" s="199" t="str">
        <f ca="1">IFERROR(__xludf.DUMMYFUNCTION("""COMPUTED_VALUE"""),"G")</f>
        <v>G</v>
      </c>
      <c r="E1656" s="202" t="str">
        <f ca="1">IFERROR(__xludf.DUMMYFUNCTION("""COMPUTED_VALUE"""),"I")</f>
        <v>I</v>
      </c>
      <c r="F1656" s="202" t="str">
        <f ca="1">IFERROR(__xludf.DUMMYFUNCTION("""COMPUTED_VALUE"""),"S")</f>
        <v>S</v>
      </c>
      <c r="G1656" s="202">
        <f ca="1">IFERROR(__xludf.DUMMYFUNCTION("""COMPUTED_VALUE"""),8)</f>
        <v>8</v>
      </c>
      <c r="H1656" s="206"/>
      <c r="I1656" s="206"/>
      <c r="J1656" s="206"/>
      <c r="K1656" s="206"/>
      <c r="L1656" s="206" t="str">
        <v/>
      </c>
      <c r="M1656" s="206" t="str">
        <v/>
      </c>
    </row>
    <row r="1657" spans="1:13" ht="14.4">
      <c r="A1657" s="199" t="str">
        <f ca="1">IFERROR(__xludf.DUMMYFUNCTION("""COMPUTED_VALUE"""),"PL")</f>
        <v>PL</v>
      </c>
      <c r="B1657" s="207" t="str">
        <f ca="1">IFERROR(__xludf.DUMMYFUNCTION("""COMPUTED_VALUE"""),"Emma Hill")</f>
        <v>Emma Hill</v>
      </c>
      <c r="C1657" s="199">
        <f ca="1">IFERROR(__xludf.DUMMYFUNCTION("""COMPUTED_VALUE"""),13)</f>
        <v>13</v>
      </c>
      <c r="D1657" s="199" t="str">
        <f ca="1">IFERROR(__xludf.DUMMYFUNCTION("""COMPUTED_VALUE"""),"G")</f>
        <v>G</v>
      </c>
      <c r="E1657" s="202" t="str">
        <f ca="1">IFERROR(__xludf.DUMMYFUNCTION("""COMPUTED_VALUE"""),"I")</f>
        <v>I</v>
      </c>
      <c r="F1657" s="202" t="str">
        <f ca="1">IFERROR(__xludf.DUMMYFUNCTION("""COMPUTED_VALUE"""),"S")</f>
        <v>S</v>
      </c>
      <c r="G1657" s="202">
        <f ca="1">IFERROR(__xludf.DUMMYFUNCTION("""COMPUTED_VALUE"""),8)</f>
        <v>8</v>
      </c>
      <c r="H1657" s="206">
        <v>89.85</v>
      </c>
      <c r="I1657" s="206"/>
      <c r="J1657" s="206" t="s">
        <v>121</v>
      </c>
      <c r="K1657" s="206"/>
      <c r="L1657" s="206" t="str">
        <v xml:space="preserve"> 89.85</v>
      </c>
      <c r="M1657" s="206" t="str">
        <v/>
      </c>
    </row>
    <row r="1658" spans="1:13" ht="14.4">
      <c r="A1658" s="199" t="str">
        <f ca="1">IFERROR(__xludf.DUMMYFUNCTION("""COMPUTED_VALUE"""),"PL")</f>
        <v>PL</v>
      </c>
      <c r="B1658" s="207" t="str">
        <f ca="1">IFERROR(__xludf.DUMMYFUNCTION("""COMPUTED_VALUE"""),"Hanna Balcha")</f>
        <v>Hanna Balcha</v>
      </c>
      <c r="C1658" s="199">
        <f ca="1">IFERROR(__xludf.DUMMYFUNCTION("""COMPUTED_VALUE"""),13)</f>
        <v>13</v>
      </c>
      <c r="D1658" s="199" t="str">
        <f ca="1">IFERROR(__xludf.DUMMYFUNCTION("""COMPUTED_VALUE"""),"G")</f>
        <v>G</v>
      </c>
      <c r="E1658" s="202" t="str">
        <f ca="1">IFERROR(__xludf.DUMMYFUNCTION("""COMPUTED_VALUE"""),"I")</f>
        <v>I</v>
      </c>
      <c r="F1658" s="202" t="str">
        <f ca="1">IFERROR(__xludf.DUMMYFUNCTION("""COMPUTED_VALUE"""),"S")</f>
        <v>S</v>
      </c>
      <c r="G1658" s="202">
        <f ca="1">IFERROR(__xludf.DUMMYFUNCTION("""COMPUTED_VALUE"""),8)</f>
        <v>8</v>
      </c>
      <c r="H1658" s="206"/>
      <c r="I1658" s="206"/>
      <c r="J1658" s="206"/>
      <c r="K1658" s="206"/>
      <c r="L1658" s="206" t="str">
        <v/>
      </c>
      <c r="M1658" s="206" t="str">
        <v/>
      </c>
    </row>
    <row r="1659" spans="1:13" ht="14.4">
      <c r="A1659" s="199" t="str">
        <f ca="1">IFERROR(__xludf.DUMMYFUNCTION("""COMPUTED_VALUE"""),"PL")</f>
        <v>PL</v>
      </c>
      <c r="B1659" s="207" t="str">
        <f ca="1">IFERROR(__xludf.DUMMYFUNCTION("""COMPUTED_VALUE"""),"Julia Kaldahl")</f>
        <v>Julia Kaldahl</v>
      </c>
      <c r="C1659" s="199">
        <f ca="1">IFERROR(__xludf.DUMMYFUNCTION("""COMPUTED_VALUE"""),13)</f>
        <v>13</v>
      </c>
      <c r="D1659" s="199" t="str">
        <f ca="1">IFERROR(__xludf.DUMMYFUNCTION("""COMPUTED_VALUE"""),"G")</f>
        <v>G</v>
      </c>
      <c r="E1659" s="202" t="str">
        <f ca="1">IFERROR(__xludf.DUMMYFUNCTION("""COMPUTED_VALUE"""),"I")</f>
        <v>I</v>
      </c>
      <c r="F1659" s="202" t="str">
        <f ca="1">IFERROR(__xludf.DUMMYFUNCTION("""COMPUTED_VALUE"""),"S")</f>
        <v>S</v>
      </c>
      <c r="G1659" s="202">
        <f ca="1">IFERROR(__xludf.DUMMYFUNCTION("""COMPUTED_VALUE"""),8)</f>
        <v>8</v>
      </c>
      <c r="H1659" s="206">
        <v>91.65</v>
      </c>
      <c r="I1659" s="206"/>
      <c r="J1659" s="206" t="s">
        <v>121</v>
      </c>
      <c r="K1659" s="206"/>
      <c r="L1659" s="206" t="str">
        <v xml:space="preserve"> 91.65</v>
      </c>
      <c r="M1659" s="206" t="str">
        <v/>
      </c>
    </row>
    <row r="1660" spans="1:13" ht="14.4">
      <c r="A1660" s="199" t="str">
        <f ca="1">IFERROR(__xludf.DUMMYFUNCTION("""COMPUTED_VALUE"""),"PL")</f>
        <v>PL</v>
      </c>
      <c r="B1660" s="207" t="str">
        <f ca="1">IFERROR(__xludf.DUMMYFUNCTION("""COMPUTED_VALUE"""),"Mia Andonegui")</f>
        <v>Mia Andonegui</v>
      </c>
      <c r="C1660" s="199">
        <f ca="1">IFERROR(__xludf.DUMMYFUNCTION("""COMPUTED_VALUE"""),14)</f>
        <v>14</v>
      </c>
      <c r="D1660" s="199" t="str">
        <f ca="1">IFERROR(__xludf.DUMMYFUNCTION("""COMPUTED_VALUE"""),"G")</f>
        <v>G</v>
      </c>
      <c r="E1660" s="202" t="str">
        <f ca="1">IFERROR(__xludf.DUMMYFUNCTION("""COMPUTED_VALUE"""),"I")</f>
        <v>I</v>
      </c>
      <c r="F1660" s="202" t="str">
        <f ca="1">IFERROR(__xludf.DUMMYFUNCTION("""COMPUTED_VALUE"""),"S")</f>
        <v>S</v>
      </c>
      <c r="G1660" s="202">
        <f ca="1">IFERROR(__xludf.DUMMYFUNCTION("""COMPUTED_VALUE"""),8)</f>
        <v>8</v>
      </c>
      <c r="H1660" s="206"/>
      <c r="I1660" s="206"/>
      <c r="J1660" s="206"/>
      <c r="K1660" s="206"/>
      <c r="L1660" s="206" t="str">
        <v/>
      </c>
      <c r="M1660" s="206" t="str">
        <v/>
      </c>
    </row>
    <row r="1661" spans="1:13" ht="14.4">
      <c r="A1661" s="199" t="str">
        <f ca="1">IFERROR(__xludf.DUMMYFUNCTION("""COMPUTED_VALUE"""),"PL")</f>
        <v>PL</v>
      </c>
      <c r="B1661" s="207" t="str">
        <f ca="1">IFERROR(__xludf.DUMMYFUNCTION("""COMPUTED_VALUE"""),"Sophia Johnson")</f>
        <v>Sophia Johnson</v>
      </c>
      <c r="C1661" s="199">
        <f ca="1">IFERROR(__xludf.DUMMYFUNCTION("""COMPUTED_VALUE"""),14)</f>
        <v>14</v>
      </c>
      <c r="D1661" s="199" t="str">
        <f ca="1">IFERROR(__xludf.DUMMYFUNCTION("""COMPUTED_VALUE"""),"G")</f>
        <v>G</v>
      </c>
      <c r="E1661" s="202" t="str">
        <f ca="1">IFERROR(__xludf.DUMMYFUNCTION("""COMPUTED_VALUE"""),"I")</f>
        <v>I</v>
      </c>
      <c r="F1661" s="202" t="str">
        <f ca="1">IFERROR(__xludf.DUMMYFUNCTION("""COMPUTED_VALUE"""),"S")</f>
        <v>S</v>
      </c>
      <c r="G1661" s="202">
        <f ca="1">IFERROR(__xludf.DUMMYFUNCTION("""COMPUTED_VALUE"""),8)</f>
        <v>8</v>
      </c>
      <c r="H1661" s="206"/>
      <c r="I1661" s="206"/>
      <c r="J1661" s="206"/>
      <c r="K1661" s="206"/>
      <c r="L1661" s="206" t="str">
        <v/>
      </c>
      <c r="M1661" s="206" t="str">
        <v/>
      </c>
    </row>
    <row r="1662" spans="1:13" ht="14.4">
      <c r="A1662" s="199" t="str">
        <f ca="1">IFERROR(__xludf.DUMMYFUNCTION("""COMPUTED_VALUE"""),"PL")</f>
        <v>PL</v>
      </c>
      <c r="B1662" s="207" t="str">
        <f ca="1">IFERROR(__xludf.DUMMYFUNCTION("""COMPUTED_VALUE"""),"Tess Galway")</f>
        <v>Tess Galway</v>
      </c>
      <c r="C1662" s="199">
        <f ca="1">IFERROR(__xludf.DUMMYFUNCTION("""COMPUTED_VALUE"""),14)</f>
        <v>14</v>
      </c>
      <c r="D1662" s="199" t="str">
        <f ca="1">IFERROR(__xludf.DUMMYFUNCTION("""COMPUTED_VALUE"""),"G")</f>
        <v>G</v>
      </c>
      <c r="E1662" s="202" t="str">
        <f ca="1">IFERROR(__xludf.DUMMYFUNCTION("""COMPUTED_VALUE"""),"I")</f>
        <v>I</v>
      </c>
      <c r="F1662" s="202" t="str">
        <f ca="1">IFERROR(__xludf.DUMMYFUNCTION("""COMPUTED_VALUE"""),"S")</f>
        <v>S</v>
      </c>
      <c r="G1662" s="202">
        <f ca="1">IFERROR(__xludf.DUMMYFUNCTION("""COMPUTED_VALUE"""),8)</f>
        <v>8</v>
      </c>
      <c r="H1662" s="208">
        <v>147.35</v>
      </c>
      <c r="I1662" s="208"/>
      <c r="J1662" s="208" t="s">
        <v>121</v>
      </c>
      <c r="K1662" s="208"/>
      <c r="L1662" s="208" t="str">
        <v xml:space="preserve"> 147.35</v>
      </c>
      <c r="M1662" s="208" t="str">
        <v/>
      </c>
    </row>
    <row r="1663" spans="1:13" ht="14.4">
      <c r="A1663" s="199" t="str">
        <f ca="1">IFERROR(__xludf.DUMMYFUNCTION("""COMPUTED_VALUE"""),"PL")</f>
        <v>PL</v>
      </c>
      <c r="B1663" s="207" t="str">
        <f ca="1">IFERROR(__xludf.DUMMYFUNCTION("""COMPUTED_VALUE"""),"Josiah Aberra")</f>
        <v>Josiah Aberra</v>
      </c>
      <c r="C1663" s="199">
        <f ca="1">IFERROR(__xludf.DUMMYFUNCTION("""COMPUTED_VALUE"""),12)</f>
        <v>12</v>
      </c>
      <c r="D1663" s="199" t="str">
        <f ca="1">IFERROR(__xludf.DUMMYFUNCTION("""COMPUTED_VALUE"""),"B")</f>
        <v>B</v>
      </c>
      <c r="E1663" s="202" t="str">
        <f ca="1">IFERROR(__xludf.DUMMYFUNCTION("""COMPUTED_VALUE"""),"J")</f>
        <v>J</v>
      </c>
      <c r="F1663" s="202" t="str">
        <f ca="1">IFERROR(__xludf.DUMMYFUNCTION("""COMPUTED_VALUE"""),"I")</f>
        <v>I</v>
      </c>
      <c r="G1663" s="202">
        <f ca="1">IFERROR(__xludf.DUMMYFUNCTION("""COMPUTED_VALUE"""),8)</f>
        <v>8</v>
      </c>
      <c r="H1663" s="206"/>
      <c r="I1663" s="206"/>
      <c r="J1663" s="206"/>
      <c r="K1663" s="206"/>
      <c r="L1663" s="206" t="str">
        <v/>
      </c>
      <c r="M1663" s="206" t="str">
        <v/>
      </c>
    </row>
    <row r="1664" spans="1:13" ht="14.4">
      <c r="A1664" s="199" t="str">
        <f ca="1">IFERROR(__xludf.DUMMYFUNCTION("""COMPUTED_VALUE"""),"PL")</f>
        <v>PL</v>
      </c>
      <c r="B1664" s="207" t="str">
        <f ca="1">IFERROR(__xludf.DUMMYFUNCTION("""COMPUTED_VALUE"""),"Brooke Hunnicutt")</f>
        <v>Brooke Hunnicutt</v>
      </c>
      <c r="C1664" s="199">
        <f ca="1">IFERROR(__xludf.DUMMYFUNCTION("""COMPUTED_VALUE"""),12)</f>
        <v>12</v>
      </c>
      <c r="D1664" s="199" t="str">
        <f ca="1">IFERROR(__xludf.DUMMYFUNCTION("""COMPUTED_VALUE"""),"G")</f>
        <v>G</v>
      </c>
      <c r="E1664" s="202" t="str">
        <f ca="1">IFERROR(__xludf.DUMMYFUNCTION("""COMPUTED_VALUE"""),"J")</f>
        <v>J</v>
      </c>
      <c r="F1664" s="202" t="str">
        <f ca="1">IFERROR(__xludf.DUMMYFUNCTION("""COMPUTED_VALUE"""),"I")</f>
        <v>I</v>
      </c>
      <c r="G1664" s="202">
        <f ca="1">IFERROR(__xludf.DUMMYFUNCTION("""COMPUTED_VALUE"""),8)</f>
        <v>8</v>
      </c>
      <c r="H1664" s="206">
        <v>86.15</v>
      </c>
      <c r="I1664" s="206"/>
      <c r="J1664" s="206" t="s">
        <v>121</v>
      </c>
      <c r="K1664" s="206"/>
      <c r="L1664" s="206" t="str">
        <v xml:space="preserve"> 86.15</v>
      </c>
      <c r="M1664" s="206" t="str">
        <v/>
      </c>
    </row>
    <row r="1665" spans="1:13" ht="14.4">
      <c r="A1665" s="199" t="str">
        <f ca="1">IFERROR(__xludf.DUMMYFUNCTION("""COMPUTED_VALUE"""),"PL")</f>
        <v>PL</v>
      </c>
      <c r="B1665" s="207" t="str">
        <f ca="1">IFERROR(__xludf.DUMMYFUNCTION("""COMPUTED_VALUE"""),"CW Johnston")</f>
        <v>CW Johnston</v>
      </c>
      <c r="C1665" s="199">
        <f ca="1">IFERROR(__xludf.DUMMYFUNCTION("""COMPUTED_VALUE"""),12)</f>
        <v>12</v>
      </c>
      <c r="D1665" s="199" t="str">
        <f ca="1">IFERROR(__xludf.DUMMYFUNCTION("""COMPUTED_VALUE"""),"G")</f>
        <v>G</v>
      </c>
      <c r="E1665" s="202" t="str">
        <f ca="1">IFERROR(__xludf.DUMMYFUNCTION("""COMPUTED_VALUE"""),"J")</f>
        <v>J</v>
      </c>
      <c r="F1665" s="202" t="str">
        <f ca="1">IFERROR(__xludf.DUMMYFUNCTION("""COMPUTED_VALUE"""),"I")</f>
        <v>I</v>
      </c>
      <c r="G1665" s="202">
        <f ca="1">IFERROR(__xludf.DUMMYFUNCTION("""COMPUTED_VALUE"""),8)</f>
        <v>8</v>
      </c>
      <c r="H1665" s="206"/>
      <c r="I1665" s="206"/>
      <c r="J1665" s="206"/>
      <c r="K1665" s="206"/>
      <c r="L1665" s="206" t="str">
        <v/>
      </c>
      <c r="M1665" s="206" t="str">
        <v/>
      </c>
    </row>
    <row r="1666" spans="1:13" ht="14.4">
      <c r="A1666" s="199" t="str">
        <f ca="1">IFERROR(__xludf.DUMMYFUNCTION("""COMPUTED_VALUE"""),"PL")</f>
        <v>PL</v>
      </c>
      <c r="B1666" s="207" t="str">
        <f ca="1">IFERROR(__xludf.DUMMYFUNCTION("""COMPUTED_VALUE"""),"Elizabeth Beck")</f>
        <v>Elizabeth Beck</v>
      </c>
      <c r="C1666" s="199">
        <f ca="1">IFERROR(__xludf.DUMMYFUNCTION("""COMPUTED_VALUE"""),11)</f>
        <v>11</v>
      </c>
      <c r="D1666" s="199" t="str">
        <f ca="1">IFERROR(__xludf.DUMMYFUNCTION("""COMPUTED_VALUE"""),"G")</f>
        <v>G</v>
      </c>
      <c r="E1666" s="202" t="str">
        <f ca="1">IFERROR(__xludf.DUMMYFUNCTION("""COMPUTED_VALUE"""),"J")</f>
        <v>J</v>
      </c>
      <c r="F1666" s="202" t="str">
        <f ca="1">IFERROR(__xludf.DUMMYFUNCTION("""COMPUTED_VALUE"""),"I")</f>
        <v>I</v>
      </c>
      <c r="G1666" s="202">
        <f ca="1">IFERROR(__xludf.DUMMYFUNCTION("""COMPUTED_VALUE"""),8)</f>
        <v>8</v>
      </c>
      <c r="H1666" s="208"/>
      <c r="I1666" s="208"/>
      <c r="J1666" s="208"/>
      <c r="K1666" s="208"/>
      <c r="L1666" s="208" t="str">
        <v/>
      </c>
      <c r="M1666" s="208" t="str">
        <v/>
      </c>
    </row>
    <row r="1667" spans="1:13" ht="14.4">
      <c r="A1667" s="199" t="str">
        <f ca="1">IFERROR(__xludf.DUMMYFUNCTION("""COMPUTED_VALUE"""),"PL")</f>
        <v>PL</v>
      </c>
      <c r="B1667" s="207" t="str">
        <f ca="1">IFERROR(__xludf.DUMMYFUNCTION("""COMPUTED_VALUE"""),"Kamila Baldiviezo")</f>
        <v>Kamila Baldiviezo</v>
      </c>
      <c r="C1667" s="199">
        <f ca="1">IFERROR(__xludf.DUMMYFUNCTION("""COMPUTED_VALUE"""),11)</f>
        <v>11</v>
      </c>
      <c r="D1667" s="199" t="str">
        <f ca="1">IFERROR(__xludf.DUMMYFUNCTION("""COMPUTED_VALUE"""),"G")</f>
        <v>G</v>
      </c>
      <c r="E1667" s="202" t="str">
        <f ca="1">IFERROR(__xludf.DUMMYFUNCTION("""COMPUTED_VALUE"""),"J")</f>
        <v>J</v>
      </c>
      <c r="F1667" s="202" t="str">
        <f ca="1">IFERROR(__xludf.DUMMYFUNCTION("""COMPUTED_VALUE"""),"I")</f>
        <v>I</v>
      </c>
      <c r="G1667" s="202">
        <f ca="1">IFERROR(__xludf.DUMMYFUNCTION("""COMPUTED_VALUE"""),8)</f>
        <v>8</v>
      </c>
      <c r="H1667" s="206"/>
      <c r="I1667" s="206"/>
      <c r="J1667" s="206"/>
      <c r="K1667" s="206"/>
      <c r="L1667" s="206" t="str">
        <v/>
      </c>
      <c r="M1667" s="206" t="str">
        <v/>
      </c>
    </row>
    <row r="1668" spans="1:13" ht="14.4">
      <c r="A1668" s="199" t="str">
        <f ca="1">IFERROR(__xludf.DUMMYFUNCTION("""COMPUTED_VALUE"""),"PL")</f>
        <v>PL</v>
      </c>
      <c r="B1668" s="207" t="str">
        <f ca="1">IFERROR(__xludf.DUMMYFUNCTION("""COMPUTED_VALUE"""),"Lucia Pedrick")</f>
        <v>Lucia Pedrick</v>
      </c>
      <c r="C1668" s="199">
        <f ca="1">IFERROR(__xludf.DUMMYFUNCTION("""COMPUTED_VALUE"""),11)</f>
        <v>11</v>
      </c>
      <c r="D1668" s="199" t="str">
        <f ca="1">IFERROR(__xludf.DUMMYFUNCTION("""COMPUTED_VALUE"""),"G")</f>
        <v>G</v>
      </c>
      <c r="E1668" s="202" t="str">
        <f ca="1">IFERROR(__xludf.DUMMYFUNCTION("""COMPUTED_VALUE"""),"J")</f>
        <v>J</v>
      </c>
      <c r="F1668" s="202" t="str">
        <f ca="1">IFERROR(__xludf.DUMMYFUNCTION("""COMPUTED_VALUE"""),"I")</f>
        <v>I</v>
      </c>
      <c r="G1668" s="202">
        <f ca="1">IFERROR(__xludf.DUMMYFUNCTION("""COMPUTED_VALUE"""),8)</f>
        <v>8</v>
      </c>
      <c r="H1668" s="206"/>
      <c r="I1668" s="206"/>
      <c r="J1668" s="206"/>
      <c r="K1668" s="206"/>
      <c r="L1668" s="206" t="str">
        <v/>
      </c>
      <c r="M1668" s="206" t="str">
        <v/>
      </c>
    </row>
    <row r="1669" spans="1:13" ht="14.4">
      <c r="A1669" s="199" t="str">
        <f ca="1">IFERROR(__xludf.DUMMYFUNCTION("""COMPUTED_VALUE"""),"PL")</f>
        <v>PL</v>
      </c>
      <c r="B1669" s="207" t="str">
        <f ca="1">IFERROR(__xludf.DUMMYFUNCTION("""COMPUTED_VALUE"""),"Rayna Johnson")</f>
        <v>Rayna Johnson</v>
      </c>
      <c r="C1669" s="199">
        <f ca="1">IFERROR(__xludf.DUMMYFUNCTION("""COMPUTED_VALUE"""),11)</f>
        <v>11</v>
      </c>
      <c r="D1669" s="199" t="str">
        <f ca="1">IFERROR(__xludf.DUMMYFUNCTION("""COMPUTED_VALUE"""),"G")</f>
        <v>G</v>
      </c>
      <c r="E1669" s="202" t="str">
        <f ca="1">IFERROR(__xludf.DUMMYFUNCTION("""COMPUTED_VALUE"""),"J")</f>
        <v>J</v>
      </c>
      <c r="F1669" s="202" t="str">
        <f ca="1">IFERROR(__xludf.DUMMYFUNCTION("""COMPUTED_VALUE"""),"I")</f>
        <v>I</v>
      </c>
      <c r="G1669" s="202">
        <f ca="1">IFERROR(__xludf.DUMMYFUNCTION("""COMPUTED_VALUE"""),8)</f>
        <v>8</v>
      </c>
      <c r="H1669" s="206">
        <v>62.9</v>
      </c>
      <c r="I1669" s="206"/>
      <c r="J1669" s="206" t="s">
        <v>121</v>
      </c>
      <c r="K1669" s="206"/>
      <c r="L1669" s="206" t="str">
        <v xml:space="preserve"> 62.9</v>
      </c>
      <c r="M1669" s="206" t="str">
        <v/>
      </c>
    </row>
    <row r="1670" spans="1:13" ht="14.4">
      <c r="A1670" s="199" t="str">
        <f ca="1">IFERROR(__xludf.DUMMYFUNCTION("""COMPUTED_VALUE"""),"PL")</f>
        <v>PL</v>
      </c>
      <c r="B1670" s="207" t="str">
        <f ca="1">IFERROR(__xludf.DUMMYFUNCTION("""COMPUTED_VALUE"""),"Cade Stinson")</f>
        <v>Cade Stinson</v>
      </c>
      <c r="C1670" s="199">
        <f ca="1">IFERROR(__xludf.DUMMYFUNCTION("""COMPUTED_VALUE"""),17)</f>
        <v>17</v>
      </c>
      <c r="D1670" s="199" t="str">
        <f ca="1">IFERROR(__xludf.DUMMYFUNCTION("""COMPUTED_VALUE"""),"B")</f>
        <v>B</v>
      </c>
      <c r="E1670" s="202" t="str">
        <f ca="1">IFERROR(__xludf.DUMMYFUNCTION("""COMPUTED_VALUE"""),"S")</f>
        <v>S</v>
      </c>
      <c r="F1670" s="202" t="str">
        <f ca="1">IFERROR(__xludf.DUMMYFUNCTION("""COMPUTED_VALUE"""),"S")</f>
        <v>S</v>
      </c>
      <c r="G1670" s="202">
        <f ca="1">IFERROR(__xludf.DUMMYFUNCTION("""COMPUTED_VALUE"""),8)</f>
        <v>8</v>
      </c>
      <c r="H1670" s="206"/>
      <c r="I1670" s="206">
        <v>134.55000000000001</v>
      </c>
      <c r="J1670" s="206"/>
      <c r="K1670" s="206" t="s">
        <v>121</v>
      </c>
      <c r="L1670" s="206" t="str">
        <v xml:space="preserve"> 134.55</v>
      </c>
      <c r="M1670" s="206" t="str">
        <v/>
      </c>
    </row>
    <row r="1671" spans="1:13" ht="14.4">
      <c r="A1671" s="199" t="str">
        <f ca="1">IFERROR(__xludf.DUMMYFUNCTION("""COMPUTED_VALUE"""),"PL")</f>
        <v>PL</v>
      </c>
      <c r="B1671" s="207" t="str">
        <f ca="1">IFERROR(__xludf.DUMMYFUNCTION("""COMPUTED_VALUE"""),"Louis Molife")</f>
        <v>Louis Molife</v>
      </c>
      <c r="C1671" s="199">
        <f ca="1">IFERROR(__xludf.DUMMYFUNCTION("""COMPUTED_VALUE"""),15)</f>
        <v>15</v>
      </c>
      <c r="D1671" s="199" t="str">
        <f ca="1">IFERROR(__xludf.DUMMYFUNCTION("""COMPUTED_VALUE"""),"B")</f>
        <v>B</v>
      </c>
      <c r="E1671" s="202" t="str">
        <f ca="1">IFERROR(__xludf.DUMMYFUNCTION("""COMPUTED_VALUE"""),"S")</f>
        <v>S</v>
      </c>
      <c r="F1671" s="202" t="str">
        <f ca="1">IFERROR(__xludf.DUMMYFUNCTION("""COMPUTED_VALUE"""),"S")</f>
        <v>S</v>
      </c>
      <c r="G1671" s="202">
        <f ca="1">IFERROR(__xludf.DUMMYFUNCTION("""COMPUTED_VALUE"""),8)</f>
        <v>8</v>
      </c>
      <c r="H1671" s="206"/>
      <c r="I1671" s="206"/>
      <c r="J1671" s="206"/>
      <c r="K1671" s="206"/>
      <c r="L1671" s="206" t="str">
        <v/>
      </c>
      <c r="M1671" s="206" t="str">
        <v/>
      </c>
    </row>
    <row r="1672" spans="1:13" ht="14.4">
      <c r="A1672" s="199" t="str">
        <f ca="1">IFERROR(__xludf.DUMMYFUNCTION("""COMPUTED_VALUE"""),"PL")</f>
        <v>PL</v>
      </c>
      <c r="B1672" s="207" t="str">
        <f ca="1">IFERROR(__xludf.DUMMYFUNCTION("""COMPUTED_VALUE"""),"Owen Henderson")</f>
        <v>Owen Henderson</v>
      </c>
      <c r="C1672" s="199">
        <f ca="1">IFERROR(__xludf.DUMMYFUNCTION("""COMPUTED_VALUE"""),15)</f>
        <v>15</v>
      </c>
      <c r="D1672" s="199" t="str">
        <f ca="1">IFERROR(__xludf.DUMMYFUNCTION("""COMPUTED_VALUE"""),"B")</f>
        <v>B</v>
      </c>
      <c r="E1672" s="202" t="str">
        <f ca="1">IFERROR(__xludf.DUMMYFUNCTION("""COMPUTED_VALUE"""),"S")</f>
        <v>S</v>
      </c>
      <c r="F1672" s="202" t="str">
        <f ca="1">IFERROR(__xludf.DUMMYFUNCTION("""COMPUTED_VALUE"""),"S")</f>
        <v>S</v>
      </c>
      <c r="G1672" s="202">
        <f ca="1">IFERROR(__xludf.DUMMYFUNCTION("""COMPUTED_VALUE"""),8)</f>
        <v>8</v>
      </c>
      <c r="H1672" s="206"/>
      <c r="I1672" s="206">
        <v>125</v>
      </c>
      <c r="J1672" s="206"/>
      <c r="K1672" s="206" t="s">
        <v>121</v>
      </c>
      <c r="L1672" s="206" t="str">
        <v xml:space="preserve"> 125</v>
      </c>
      <c r="M1672" s="206" t="str">
        <v/>
      </c>
    </row>
    <row r="1673" spans="1:13" ht="14.4">
      <c r="A1673" s="199" t="str">
        <f ca="1">IFERROR(__xludf.DUMMYFUNCTION("""COMPUTED_VALUE"""),"PL")</f>
        <v>PL</v>
      </c>
      <c r="B1673" s="207" t="str">
        <f ca="1">IFERROR(__xludf.DUMMYFUNCTION("""COMPUTED_VALUE"""),"Emma Liston")</f>
        <v>Emma Liston</v>
      </c>
      <c r="C1673" s="199">
        <f ca="1">IFERROR(__xludf.DUMMYFUNCTION("""COMPUTED_VALUE"""),18)</f>
        <v>18</v>
      </c>
      <c r="D1673" s="199" t="str">
        <f ca="1">IFERROR(__xludf.DUMMYFUNCTION("""COMPUTED_VALUE"""),"G")</f>
        <v>G</v>
      </c>
      <c r="E1673" s="202" t="str">
        <f ca="1">IFERROR(__xludf.DUMMYFUNCTION("""COMPUTED_VALUE"""),"S")</f>
        <v>S</v>
      </c>
      <c r="F1673" s="202" t="str">
        <f ca="1">IFERROR(__xludf.DUMMYFUNCTION("""COMPUTED_VALUE"""),"S")</f>
        <v>S</v>
      </c>
      <c r="G1673" s="202">
        <f ca="1">IFERROR(__xludf.DUMMYFUNCTION("""COMPUTED_VALUE"""),8)</f>
        <v>8</v>
      </c>
      <c r="H1673" s="206">
        <v>143.1</v>
      </c>
      <c r="I1673" s="206"/>
      <c r="J1673" s="206" t="s">
        <v>121</v>
      </c>
      <c r="K1673" s="206"/>
      <c r="L1673" s="206" t="str">
        <v xml:space="preserve"> 143.1</v>
      </c>
      <c r="M1673" s="206" t="str">
        <v/>
      </c>
    </row>
    <row r="1674" spans="1:13" ht="14.4">
      <c r="A1674" s="199" t="str">
        <f ca="1">IFERROR(__xludf.DUMMYFUNCTION("""COMPUTED_VALUE"""),"R")</f>
        <v>R</v>
      </c>
      <c r="B1674" s="207" t="str">
        <f ca="1">IFERROR(__xludf.DUMMYFUNCTION("""COMPUTED_VALUE"""),"Brayden Auble")</f>
        <v>Brayden Auble</v>
      </c>
      <c r="C1674" s="199">
        <f ca="1">IFERROR(__xludf.DUMMYFUNCTION("""COMPUTED_VALUE"""),8)</f>
        <v>8</v>
      </c>
      <c r="D1674" s="199" t="str">
        <f ca="1">IFERROR(__xludf.DUMMYFUNCTION("""COMPUTED_VALUE"""),"B")</f>
        <v>B</v>
      </c>
      <c r="E1674" s="202" t="str">
        <f ca="1">IFERROR(__xludf.DUMMYFUNCTION("""COMPUTED_VALUE"""),"F")</f>
        <v>F</v>
      </c>
      <c r="F1674" s="202" t="str">
        <f ca="1">IFERROR(__xludf.DUMMYFUNCTION("""COMPUTED_VALUE"""),"J")</f>
        <v>J</v>
      </c>
      <c r="G1674" s="202">
        <f ca="1">IFERROR(__xludf.DUMMYFUNCTION("""COMPUTED_VALUE"""),5)</f>
        <v>5</v>
      </c>
      <c r="H1674" s="206"/>
      <c r="I1674" s="206">
        <v>33.25</v>
      </c>
      <c r="J1674" s="206"/>
      <c r="K1674" s="206" t="s">
        <v>121</v>
      </c>
      <c r="L1674" s="206" t="str">
        <v xml:space="preserve"> 33.25</v>
      </c>
      <c r="M1674" s="206" t="str">
        <v/>
      </c>
    </row>
    <row r="1675" spans="1:13" ht="14.4">
      <c r="A1675" s="199" t="str">
        <f ca="1">IFERROR(__xludf.DUMMYFUNCTION("""COMPUTED_VALUE"""),"R")</f>
        <v>R</v>
      </c>
      <c r="B1675" s="207" t="str">
        <f ca="1">IFERROR(__xludf.DUMMYFUNCTION("""COMPUTED_VALUE"""),"Griffin Cahalan")</f>
        <v>Griffin Cahalan</v>
      </c>
      <c r="C1675" s="199">
        <f ca="1">IFERROR(__xludf.DUMMYFUNCTION("""COMPUTED_VALUE"""),7)</f>
        <v>7</v>
      </c>
      <c r="D1675" s="199" t="str">
        <f ca="1">IFERROR(__xludf.DUMMYFUNCTION("""COMPUTED_VALUE"""),"B")</f>
        <v>B</v>
      </c>
      <c r="E1675" s="202" t="str">
        <f ca="1">IFERROR(__xludf.DUMMYFUNCTION("""COMPUTED_VALUE"""),"F")</f>
        <v>F</v>
      </c>
      <c r="F1675" s="202" t="str">
        <f ca="1">IFERROR(__xludf.DUMMYFUNCTION("""COMPUTED_VALUE"""),"J")</f>
        <v>J</v>
      </c>
      <c r="G1675" s="202">
        <f ca="1">IFERROR(__xludf.DUMMYFUNCTION("""COMPUTED_VALUE"""),5)</f>
        <v>5</v>
      </c>
      <c r="H1675" s="206"/>
      <c r="I1675" s="206">
        <v>42.1</v>
      </c>
      <c r="J1675" s="206"/>
      <c r="K1675" s="206" t="s">
        <v>121</v>
      </c>
      <c r="L1675" s="206" t="str">
        <v xml:space="preserve"> 42.1</v>
      </c>
      <c r="M1675" s="206" t="str">
        <v/>
      </c>
    </row>
    <row r="1676" spans="1:13" ht="14.4">
      <c r="A1676" s="199" t="str">
        <f ca="1">IFERROR(__xludf.DUMMYFUNCTION("""COMPUTED_VALUE"""),"R")</f>
        <v>R</v>
      </c>
      <c r="B1676" s="207" t="str">
        <f ca="1">IFERROR(__xludf.DUMMYFUNCTION("""COMPUTED_VALUE"""),"Jasper Figley")</f>
        <v>Jasper Figley</v>
      </c>
      <c r="C1676" s="199">
        <f ca="1">IFERROR(__xludf.DUMMYFUNCTION("""COMPUTED_VALUE"""),9)</f>
        <v>9</v>
      </c>
      <c r="D1676" s="199" t="str">
        <f ca="1">IFERROR(__xludf.DUMMYFUNCTION("""COMPUTED_VALUE"""),"B")</f>
        <v>B</v>
      </c>
      <c r="E1676" s="202" t="str">
        <f ca="1">IFERROR(__xludf.DUMMYFUNCTION("""COMPUTED_VALUE"""),"F")</f>
        <v>F</v>
      </c>
      <c r="F1676" s="202" t="str">
        <f ca="1">IFERROR(__xludf.DUMMYFUNCTION("""COMPUTED_VALUE"""),"J")</f>
        <v>J</v>
      </c>
      <c r="G1676" s="202">
        <f ca="1">IFERROR(__xludf.DUMMYFUNCTION("""COMPUTED_VALUE"""),5)</f>
        <v>5</v>
      </c>
      <c r="H1676" s="206"/>
      <c r="I1676" s="206">
        <v>31.45</v>
      </c>
      <c r="J1676" s="206"/>
      <c r="K1676" s="206" t="s">
        <v>121</v>
      </c>
      <c r="L1676" s="206" t="str">
        <v xml:space="preserve"> 31.45</v>
      </c>
      <c r="M1676" s="206" t="str">
        <v/>
      </c>
    </row>
    <row r="1677" spans="1:13" ht="14.4">
      <c r="A1677" s="199" t="str">
        <f ca="1">IFERROR(__xludf.DUMMYFUNCTION("""COMPUTED_VALUE"""),"R")</f>
        <v>R</v>
      </c>
      <c r="B1677" s="207" t="str">
        <f ca="1">IFERROR(__xludf.DUMMYFUNCTION("""COMPUTED_VALUE"""),"Sami Ramon")</f>
        <v>Sami Ramon</v>
      </c>
      <c r="C1677" s="199">
        <f ca="1">IFERROR(__xludf.DUMMYFUNCTION("""COMPUTED_VALUE"""),5)</f>
        <v>5</v>
      </c>
      <c r="D1677" s="199" t="str">
        <f ca="1">IFERROR(__xludf.DUMMYFUNCTION("""COMPUTED_VALUE"""),"B")</f>
        <v>B</v>
      </c>
      <c r="E1677" s="202" t="str">
        <f ca="1">IFERROR(__xludf.DUMMYFUNCTION("""COMPUTED_VALUE"""),"F")</f>
        <v>F</v>
      </c>
      <c r="F1677" s="202" t="str">
        <f ca="1">IFERROR(__xludf.DUMMYFUNCTION("""COMPUTED_VALUE"""),"J")</f>
        <v>J</v>
      </c>
      <c r="G1677" s="202">
        <f ca="1">IFERROR(__xludf.DUMMYFUNCTION("""COMPUTED_VALUE"""),5)</f>
        <v>5</v>
      </c>
      <c r="H1677" s="206"/>
      <c r="I1677" s="206"/>
      <c r="J1677" s="206"/>
      <c r="K1677" s="206"/>
      <c r="L1677" s="206" t="str">
        <v/>
      </c>
      <c r="M1677" s="206" t="str">
        <v/>
      </c>
    </row>
    <row r="1678" spans="1:13" ht="14.4">
      <c r="A1678" s="199" t="str">
        <f ca="1">IFERROR(__xludf.DUMMYFUNCTION("""COMPUTED_VALUE"""),"R")</f>
        <v>R</v>
      </c>
      <c r="B1678" s="207" t="str">
        <f ca="1">IFERROR(__xludf.DUMMYFUNCTION("""COMPUTED_VALUE"""),"Zavier Roberts")</f>
        <v>Zavier Roberts</v>
      </c>
      <c r="C1678" s="199">
        <f ca="1">IFERROR(__xludf.DUMMYFUNCTION("""COMPUTED_VALUE"""),9)</f>
        <v>9</v>
      </c>
      <c r="D1678" s="199" t="str">
        <f ca="1">IFERROR(__xludf.DUMMYFUNCTION("""COMPUTED_VALUE"""),"B")</f>
        <v>B</v>
      </c>
      <c r="E1678" s="202" t="str">
        <f ca="1">IFERROR(__xludf.DUMMYFUNCTION("""COMPUTED_VALUE"""),"F")</f>
        <v>F</v>
      </c>
      <c r="F1678" s="202" t="str">
        <f ca="1">IFERROR(__xludf.DUMMYFUNCTION("""COMPUTED_VALUE"""),"J")</f>
        <v>J</v>
      </c>
      <c r="G1678" s="202">
        <f ca="1">IFERROR(__xludf.DUMMYFUNCTION("""COMPUTED_VALUE"""),5)</f>
        <v>5</v>
      </c>
      <c r="H1678" s="206"/>
      <c r="I1678" s="206">
        <v>48.65</v>
      </c>
      <c r="J1678" s="206"/>
      <c r="K1678" s="206" t="s">
        <v>121</v>
      </c>
      <c r="L1678" s="206" t="str">
        <v xml:space="preserve"> 48.65</v>
      </c>
      <c r="M1678" s="206" t="str">
        <v/>
      </c>
    </row>
    <row r="1679" spans="1:13" ht="14.4">
      <c r="A1679" s="199" t="str">
        <f ca="1">IFERROR(__xludf.DUMMYFUNCTION("""COMPUTED_VALUE"""),"R")</f>
        <v>R</v>
      </c>
      <c r="B1679" s="207" t="str">
        <f ca="1">IFERROR(__xludf.DUMMYFUNCTION("""COMPUTED_VALUE"""),"Chloe Field")</f>
        <v>Chloe Field</v>
      </c>
      <c r="C1679" s="199">
        <f ca="1">IFERROR(__xludf.DUMMYFUNCTION("""COMPUTED_VALUE"""),9)</f>
        <v>9</v>
      </c>
      <c r="D1679" s="199" t="str">
        <f ca="1">IFERROR(__xludf.DUMMYFUNCTION("""COMPUTED_VALUE"""),"G")</f>
        <v>G</v>
      </c>
      <c r="E1679" s="202" t="str">
        <f ca="1">IFERROR(__xludf.DUMMYFUNCTION("""COMPUTED_VALUE"""),"F")</f>
        <v>F</v>
      </c>
      <c r="F1679" s="202" t="str">
        <f ca="1">IFERROR(__xludf.DUMMYFUNCTION("""COMPUTED_VALUE"""),"J")</f>
        <v>J</v>
      </c>
      <c r="G1679" s="202">
        <f ca="1">IFERROR(__xludf.DUMMYFUNCTION("""COMPUTED_VALUE"""),5)</f>
        <v>5</v>
      </c>
      <c r="H1679" s="208">
        <v>57.3</v>
      </c>
      <c r="I1679" s="208"/>
      <c r="J1679" s="208" t="s">
        <v>121</v>
      </c>
      <c r="K1679" s="208"/>
      <c r="L1679" s="208" t="str">
        <v xml:space="preserve"> 57.3</v>
      </c>
      <c r="M1679" s="208" t="str">
        <v/>
      </c>
    </row>
    <row r="1680" spans="1:13" ht="14.4">
      <c r="A1680" s="199" t="str">
        <f ca="1">IFERROR(__xludf.DUMMYFUNCTION("""COMPUTED_VALUE"""),"R")</f>
        <v>R</v>
      </c>
      <c r="B1680" s="207" t="str">
        <f ca="1">IFERROR(__xludf.DUMMYFUNCTION("""COMPUTED_VALUE"""),"Delilah Copas")</f>
        <v>Delilah Copas</v>
      </c>
      <c r="C1680" s="199">
        <f ca="1">IFERROR(__xludf.DUMMYFUNCTION("""COMPUTED_VALUE"""),10)</f>
        <v>10</v>
      </c>
      <c r="D1680" s="199" t="str">
        <f ca="1">IFERROR(__xludf.DUMMYFUNCTION("""COMPUTED_VALUE"""),"G")</f>
        <v>G</v>
      </c>
      <c r="E1680" s="202" t="str">
        <f ca="1">IFERROR(__xludf.DUMMYFUNCTION("""COMPUTED_VALUE"""),"F")</f>
        <v>F</v>
      </c>
      <c r="F1680" s="202" t="str">
        <f ca="1">IFERROR(__xludf.DUMMYFUNCTION("""COMPUTED_VALUE"""),"J")</f>
        <v>J</v>
      </c>
      <c r="G1680" s="202">
        <f ca="1">IFERROR(__xludf.DUMMYFUNCTION("""COMPUTED_VALUE"""),5)</f>
        <v>5</v>
      </c>
      <c r="H1680" s="206">
        <v>28.7</v>
      </c>
      <c r="I1680" s="206"/>
      <c r="J1680" s="206" t="s">
        <v>121</v>
      </c>
      <c r="K1680" s="206"/>
      <c r="L1680" s="206" t="str">
        <v xml:space="preserve"> 28.7</v>
      </c>
      <c r="M1680" s="206" t="str">
        <v/>
      </c>
    </row>
    <row r="1681" spans="1:13" ht="14.4">
      <c r="A1681" s="199" t="str">
        <f ca="1">IFERROR(__xludf.DUMMYFUNCTION("""COMPUTED_VALUE"""),"R")</f>
        <v>R</v>
      </c>
      <c r="B1681" s="207" t="str">
        <f ca="1">IFERROR(__xludf.DUMMYFUNCTION("""COMPUTED_VALUE"""),"Ellie Showalter")</f>
        <v>Ellie Showalter</v>
      </c>
      <c r="C1681" s="199">
        <f ca="1">IFERROR(__xludf.DUMMYFUNCTION("""COMPUTED_VALUE"""),9)</f>
        <v>9</v>
      </c>
      <c r="D1681" s="199" t="str">
        <f ca="1">IFERROR(__xludf.DUMMYFUNCTION("""COMPUTED_VALUE"""),"G")</f>
        <v>G</v>
      </c>
      <c r="E1681" s="202" t="str">
        <f ca="1">IFERROR(__xludf.DUMMYFUNCTION("""COMPUTED_VALUE"""),"F")</f>
        <v>F</v>
      </c>
      <c r="F1681" s="202" t="str">
        <f ca="1">IFERROR(__xludf.DUMMYFUNCTION("""COMPUTED_VALUE"""),"J")</f>
        <v>J</v>
      </c>
      <c r="G1681" s="202">
        <f ca="1">IFERROR(__xludf.DUMMYFUNCTION("""COMPUTED_VALUE"""),5)</f>
        <v>5</v>
      </c>
      <c r="H1681" s="208">
        <v>59.9</v>
      </c>
      <c r="I1681" s="208"/>
      <c r="J1681" s="208" t="s">
        <v>121</v>
      </c>
      <c r="K1681" s="208"/>
      <c r="L1681" s="208" t="str">
        <v xml:space="preserve"> 59.9</v>
      </c>
      <c r="M1681" s="208" t="str">
        <v/>
      </c>
    </row>
    <row r="1682" spans="1:13" ht="14.4">
      <c r="A1682" s="199" t="str">
        <f ca="1">IFERROR(__xludf.DUMMYFUNCTION("""COMPUTED_VALUE"""),"R")</f>
        <v>R</v>
      </c>
      <c r="B1682" s="207" t="str">
        <f ca="1">IFERROR(__xludf.DUMMYFUNCTION("""COMPUTED_VALUE"""),"Emma Smith")</f>
        <v>Emma Smith</v>
      </c>
      <c r="C1682" s="199">
        <f ca="1">IFERROR(__xludf.DUMMYFUNCTION("""COMPUTED_VALUE"""),8)</f>
        <v>8</v>
      </c>
      <c r="D1682" s="199" t="str">
        <f ca="1">IFERROR(__xludf.DUMMYFUNCTION("""COMPUTED_VALUE"""),"G")</f>
        <v>G</v>
      </c>
      <c r="E1682" s="202" t="str">
        <f ca="1">IFERROR(__xludf.DUMMYFUNCTION("""COMPUTED_VALUE"""),"F")</f>
        <v>F</v>
      </c>
      <c r="F1682" s="202" t="str">
        <f ca="1">IFERROR(__xludf.DUMMYFUNCTION("""COMPUTED_VALUE"""),"J")</f>
        <v>J</v>
      </c>
      <c r="G1682" s="202">
        <f ca="1">IFERROR(__xludf.DUMMYFUNCTION("""COMPUTED_VALUE"""),5)</f>
        <v>5</v>
      </c>
      <c r="H1682" s="208">
        <v>26.9</v>
      </c>
      <c r="I1682" s="208"/>
      <c r="J1682" s="208" t="s">
        <v>121</v>
      </c>
      <c r="K1682" s="208"/>
      <c r="L1682" s="208" t="str">
        <v xml:space="preserve"> 26.9</v>
      </c>
      <c r="M1682" s="208" t="str">
        <v/>
      </c>
    </row>
    <row r="1683" spans="1:13" ht="14.4">
      <c r="A1683" s="199" t="str">
        <f ca="1">IFERROR(__xludf.DUMMYFUNCTION("""COMPUTED_VALUE"""),"R")</f>
        <v>R</v>
      </c>
      <c r="B1683" s="207" t="str">
        <f ca="1">IFERROR(__xludf.DUMMYFUNCTION("""COMPUTED_VALUE"""),"Eve Rueffert")</f>
        <v>Eve Rueffert</v>
      </c>
      <c r="C1683" s="199">
        <f ca="1">IFERROR(__xludf.DUMMYFUNCTION("""COMPUTED_VALUE"""),10)</f>
        <v>10</v>
      </c>
      <c r="D1683" s="199" t="str">
        <f ca="1">IFERROR(__xludf.DUMMYFUNCTION("""COMPUTED_VALUE"""),"G")</f>
        <v>G</v>
      </c>
      <c r="E1683" s="202" t="str">
        <f ca="1">IFERROR(__xludf.DUMMYFUNCTION("""COMPUTED_VALUE"""),"F")</f>
        <v>F</v>
      </c>
      <c r="F1683" s="202" t="str">
        <f ca="1">IFERROR(__xludf.DUMMYFUNCTION("""COMPUTED_VALUE"""),"J")</f>
        <v>J</v>
      </c>
      <c r="G1683" s="202">
        <f ca="1">IFERROR(__xludf.DUMMYFUNCTION("""COMPUTED_VALUE"""),5)</f>
        <v>5</v>
      </c>
      <c r="H1683" s="208"/>
      <c r="I1683" s="208"/>
      <c r="J1683" s="208"/>
      <c r="K1683" s="208"/>
      <c r="L1683" s="208" t="str">
        <v/>
      </c>
      <c r="M1683" s="208" t="str">
        <v/>
      </c>
    </row>
    <row r="1684" spans="1:13" ht="14.4">
      <c r="A1684" s="199" t="str">
        <f ca="1">IFERROR(__xludf.DUMMYFUNCTION("""COMPUTED_VALUE"""),"R")</f>
        <v>R</v>
      </c>
      <c r="B1684" s="207" t="str">
        <f ca="1">IFERROR(__xludf.DUMMYFUNCTION("""COMPUTED_VALUE"""),"Karolina Ramon")</f>
        <v>Karolina Ramon</v>
      </c>
      <c r="C1684" s="199">
        <f ca="1">IFERROR(__xludf.DUMMYFUNCTION("""COMPUTED_VALUE"""),8)</f>
        <v>8</v>
      </c>
      <c r="D1684" s="199" t="str">
        <f ca="1">IFERROR(__xludf.DUMMYFUNCTION("""COMPUTED_VALUE"""),"G")</f>
        <v>G</v>
      </c>
      <c r="E1684" s="202" t="str">
        <f ca="1">IFERROR(__xludf.DUMMYFUNCTION("""COMPUTED_VALUE"""),"F")</f>
        <v>F</v>
      </c>
      <c r="F1684" s="202" t="str">
        <f ca="1">IFERROR(__xludf.DUMMYFUNCTION("""COMPUTED_VALUE"""),"J")</f>
        <v>J</v>
      </c>
      <c r="G1684" s="202">
        <f ca="1">IFERROR(__xludf.DUMMYFUNCTION("""COMPUTED_VALUE"""),5)</f>
        <v>5</v>
      </c>
      <c r="H1684" s="208"/>
      <c r="I1684" s="208"/>
      <c r="J1684" s="208"/>
      <c r="K1684" s="208"/>
      <c r="L1684" s="208" t="str">
        <v/>
      </c>
      <c r="M1684" s="208" t="str">
        <v/>
      </c>
    </row>
    <row r="1685" spans="1:13" ht="14.4">
      <c r="A1685" s="199" t="str">
        <f ca="1">IFERROR(__xludf.DUMMYFUNCTION("""COMPUTED_VALUE"""),"R")</f>
        <v>R</v>
      </c>
      <c r="B1685" s="207" t="str">
        <f ca="1">IFERROR(__xludf.DUMMYFUNCTION("""COMPUTED_VALUE"""),"Kelley Bennett")</f>
        <v>Kelley Bennett</v>
      </c>
      <c r="C1685" s="199">
        <f ca="1">IFERROR(__xludf.DUMMYFUNCTION("""COMPUTED_VALUE"""),8)</f>
        <v>8</v>
      </c>
      <c r="D1685" s="199" t="str">
        <f ca="1">IFERROR(__xludf.DUMMYFUNCTION("""COMPUTED_VALUE"""),"G")</f>
        <v>G</v>
      </c>
      <c r="E1685" s="202" t="str">
        <f ca="1">IFERROR(__xludf.DUMMYFUNCTION("""COMPUTED_VALUE"""),"F")</f>
        <v>F</v>
      </c>
      <c r="F1685" s="202" t="str">
        <f ca="1">IFERROR(__xludf.DUMMYFUNCTION("""COMPUTED_VALUE"""),"J")</f>
        <v>J</v>
      </c>
      <c r="G1685" s="202">
        <f ca="1">IFERROR(__xludf.DUMMYFUNCTION("""COMPUTED_VALUE"""),5)</f>
        <v>5</v>
      </c>
      <c r="H1685" s="208"/>
      <c r="I1685" s="208"/>
      <c r="J1685" s="208"/>
      <c r="K1685" s="208"/>
      <c r="L1685" s="208" t="str">
        <v/>
      </c>
      <c r="M1685" s="208" t="str">
        <v/>
      </c>
    </row>
    <row r="1686" spans="1:13" ht="14.4">
      <c r="A1686" s="199" t="str">
        <f ca="1">IFERROR(__xludf.DUMMYFUNCTION("""COMPUTED_VALUE"""),"R")</f>
        <v>R</v>
      </c>
      <c r="B1686" s="207" t="str">
        <f ca="1">IFERROR(__xludf.DUMMYFUNCTION("""COMPUTED_VALUE"""),"Laney Riedel")</f>
        <v>Laney Riedel</v>
      </c>
      <c r="C1686" s="199">
        <f ca="1">IFERROR(__xludf.DUMMYFUNCTION("""COMPUTED_VALUE"""),10)</f>
        <v>10</v>
      </c>
      <c r="D1686" s="199" t="str">
        <f ca="1">IFERROR(__xludf.DUMMYFUNCTION("""COMPUTED_VALUE"""),"G")</f>
        <v>G</v>
      </c>
      <c r="E1686" s="202" t="str">
        <f ca="1">IFERROR(__xludf.DUMMYFUNCTION("""COMPUTED_VALUE"""),"F")</f>
        <v>F</v>
      </c>
      <c r="F1686" s="202" t="str">
        <f ca="1">IFERROR(__xludf.DUMMYFUNCTION("""COMPUTED_VALUE"""),"J")</f>
        <v>J</v>
      </c>
      <c r="G1686" s="202">
        <f ca="1">IFERROR(__xludf.DUMMYFUNCTION("""COMPUTED_VALUE"""),5)</f>
        <v>5</v>
      </c>
      <c r="H1686" s="206"/>
      <c r="I1686" s="206"/>
      <c r="J1686" s="206"/>
      <c r="K1686" s="206"/>
      <c r="L1686" s="206" t="str">
        <v/>
      </c>
      <c r="M1686" s="206" t="str">
        <v/>
      </c>
    </row>
    <row r="1687" spans="1:13" ht="14.4">
      <c r="A1687" s="199" t="str">
        <f ca="1">IFERROR(__xludf.DUMMYFUNCTION("""COMPUTED_VALUE"""),"R")</f>
        <v>R</v>
      </c>
      <c r="B1687" s="207" t="str">
        <f ca="1">IFERROR(__xludf.DUMMYFUNCTION("""COMPUTED_VALUE"""),"Lauren Rueffert")</f>
        <v>Lauren Rueffert</v>
      </c>
      <c r="C1687" s="199">
        <f ca="1">IFERROR(__xludf.DUMMYFUNCTION("""COMPUTED_VALUE"""),7)</f>
        <v>7</v>
      </c>
      <c r="D1687" s="199" t="str">
        <f ca="1">IFERROR(__xludf.DUMMYFUNCTION("""COMPUTED_VALUE"""),"G")</f>
        <v>G</v>
      </c>
      <c r="E1687" s="202" t="str">
        <f ca="1">IFERROR(__xludf.DUMMYFUNCTION("""COMPUTED_VALUE"""),"F")</f>
        <v>F</v>
      </c>
      <c r="F1687" s="202" t="str">
        <f ca="1">IFERROR(__xludf.DUMMYFUNCTION("""COMPUTED_VALUE"""),"J")</f>
        <v>J</v>
      </c>
      <c r="G1687" s="202">
        <f ca="1">IFERROR(__xludf.DUMMYFUNCTION("""COMPUTED_VALUE"""),5)</f>
        <v>5</v>
      </c>
      <c r="H1687" s="206"/>
      <c r="I1687" s="206"/>
      <c r="J1687" s="206"/>
      <c r="K1687" s="206"/>
      <c r="L1687" s="206" t="str">
        <v/>
      </c>
      <c r="M1687" s="206" t="str">
        <v/>
      </c>
    </row>
    <row r="1688" spans="1:13" ht="14.4">
      <c r="A1688" s="199" t="str">
        <f ca="1">IFERROR(__xludf.DUMMYFUNCTION("""COMPUTED_VALUE"""),"R")</f>
        <v>R</v>
      </c>
      <c r="B1688" s="207" t="str">
        <f ca="1">IFERROR(__xludf.DUMMYFUNCTION("""COMPUTED_VALUE"""),"Lucy Bennett")</f>
        <v>Lucy Bennett</v>
      </c>
      <c r="C1688" s="199">
        <f ca="1">IFERROR(__xludf.DUMMYFUNCTION("""COMPUTED_VALUE"""),9)</f>
        <v>9</v>
      </c>
      <c r="D1688" s="199" t="str">
        <f ca="1">IFERROR(__xludf.DUMMYFUNCTION("""COMPUTED_VALUE"""),"G")</f>
        <v>G</v>
      </c>
      <c r="E1688" s="202" t="str">
        <f ca="1">IFERROR(__xludf.DUMMYFUNCTION("""COMPUTED_VALUE"""),"F")</f>
        <v>F</v>
      </c>
      <c r="F1688" s="202" t="str">
        <f ca="1">IFERROR(__xludf.DUMMYFUNCTION("""COMPUTED_VALUE"""),"J")</f>
        <v>J</v>
      </c>
      <c r="G1688" s="202">
        <f ca="1">IFERROR(__xludf.DUMMYFUNCTION("""COMPUTED_VALUE"""),5)</f>
        <v>5</v>
      </c>
      <c r="H1688" s="206">
        <v>62.05</v>
      </c>
      <c r="I1688" s="206"/>
      <c r="J1688" s="206" t="s">
        <v>121</v>
      </c>
      <c r="K1688" s="206"/>
      <c r="L1688" s="206" t="str">
        <v xml:space="preserve"> 62.05</v>
      </c>
      <c r="M1688" s="206" t="str">
        <v/>
      </c>
    </row>
    <row r="1689" spans="1:13" ht="14.4">
      <c r="A1689" s="199" t="str">
        <f ca="1">IFERROR(__xludf.DUMMYFUNCTION("""COMPUTED_VALUE"""),"R")</f>
        <v>R</v>
      </c>
      <c r="B1689" s="207" t="str">
        <f ca="1">IFERROR(__xludf.DUMMYFUNCTION("""COMPUTED_VALUE"""),"Miah Henderson")</f>
        <v>Miah Henderson</v>
      </c>
      <c r="C1689" s="199">
        <f ca="1">IFERROR(__xludf.DUMMYFUNCTION("""COMPUTED_VALUE"""),10)</f>
        <v>10</v>
      </c>
      <c r="D1689" s="199" t="str">
        <f ca="1">IFERROR(__xludf.DUMMYFUNCTION("""COMPUTED_VALUE"""),"G")</f>
        <v>G</v>
      </c>
      <c r="E1689" s="202" t="str">
        <f ca="1">IFERROR(__xludf.DUMMYFUNCTION("""COMPUTED_VALUE"""),"F")</f>
        <v>F</v>
      </c>
      <c r="F1689" s="202" t="str">
        <f ca="1">IFERROR(__xludf.DUMMYFUNCTION("""COMPUTED_VALUE"""),"J")</f>
        <v>J</v>
      </c>
      <c r="G1689" s="202">
        <f ca="1">IFERROR(__xludf.DUMMYFUNCTION("""COMPUTED_VALUE"""),5)</f>
        <v>5</v>
      </c>
      <c r="H1689" s="206"/>
      <c r="I1689" s="206"/>
      <c r="J1689" s="206"/>
      <c r="K1689" s="206"/>
      <c r="L1689" s="206" t="str">
        <v/>
      </c>
      <c r="M1689" s="206" t="str">
        <v/>
      </c>
    </row>
    <row r="1690" spans="1:13" ht="14.4">
      <c r="A1690" s="199" t="str">
        <f ca="1">IFERROR(__xludf.DUMMYFUNCTION("""COMPUTED_VALUE"""),"R")</f>
        <v>R</v>
      </c>
      <c r="B1690" s="207" t="str">
        <f ca="1">IFERROR(__xludf.DUMMYFUNCTION("""COMPUTED_VALUE"""),"Sophia McConnell")</f>
        <v>Sophia McConnell</v>
      </c>
      <c r="C1690" s="199">
        <f ca="1">IFERROR(__xludf.DUMMYFUNCTION("""COMPUTED_VALUE"""),9)</f>
        <v>9</v>
      </c>
      <c r="D1690" s="199" t="str">
        <f ca="1">IFERROR(__xludf.DUMMYFUNCTION("""COMPUTED_VALUE"""),"G")</f>
        <v>G</v>
      </c>
      <c r="E1690" s="202" t="str">
        <f ca="1">IFERROR(__xludf.DUMMYFUNCTION("""COMPUTED_VALUE"""),"F")</f>
        <v>F</v>
      </c>
      <c r="F1690" s="202" t="str">
        <f ca="1">IFERROR(__xludf.DUMMYFUNCTION("""COMPUTED_VALUE"""),"J")</f>
        <v>J</v>
      </c>
      <c r="G1690" s="202">
        <f ca="1">IFERROR(__xludf.DUMMYFUNCTION("""COMPUTED_VALUE"""),5)</f>
        <v>5</v>
      </c>
      <c r="H1690" s="206">
        <v>48.25</v>
      </c>
      <c r="I1690" s="206"/>
      <c r="J1690" s="206" t="s">
        <v>121</v>
      </c>
      <c r="K1690" s="206"/>
      <c r="L1690" s="206" t="str">
        <v xml:space="preserve"> 48.25</v>
      </c>
      <c r="M1690" s="206" t="str">
        <v/>
      </c>
    </row>
    <row r="1691" spans="1:13" ht="14.4">
      <c r="A1691" s="199" t="str">
        <f ca="1">IFERROR(__xludf.DUMMYFUNCTION("""COMPUTED_VALUE"""),"R")</f>
        <v>R</v>
      </c>
      <c r="B1691" s="207" t="str">
        <f ca="1">IFERROR(__xludf.DUMMYFUNCTION("""COMPUTED_VALUE"""),"Cash Riedel")</f>
        <v>Cash Riedel</v>
      </c>
      <c r="C1691" s="199">
        <f ca="1">IFERROR(__xludf.DUMMYFUNCTION("""COMPUTED_VALUE"""),13)</f>
        <v>13</v>
      </c>
      <c r="D1691" s="199" t="str">
        <f ca="1">IFERROR(__xludf.DUMMYFUNCTION("""COMPUTED_VALUE"""),"B")</f>
        <v>B</v>
      </c>
      <c r="E1691" s="202" t="str">
        <f ca="1">IFERROR(__xludf.DUMMYFUNCTION("""COMPUTED_VALUE"""),"I")</f>
        <v>I</v>
      </c>
      <c r="F1691" s="202" t="str">
        <f ca="1">IFERROR(__xludf.DUMMYFUNCTION("""COMPUTED_VALUE"""),"S")</f>
        <v>S</v>
      </c>
      <c r="G1691" s="202">
        <f ca="1">IFERROR(__xludf.DUMMYFUNCTION("""COMPUTED_VALUE"""),5)</f>
        <v>5</v>
      </c>
      <c r="H1691" s="206"/>
      <c r="I1691" s="206">
        <v>89.35</v>
      </c>
      <c r="J1691" s="206"/>
      <c r="K1691" s="206" t="s">
        <v>121</v>
      </c>
      <c r="L1691" s="206" t="str">
        <v xml:space="preserve"> 89.35</v>
      </c>
      <c r="M1691" s="206" t="str">
        <v/>
      </c>
    </row>
    <row r="1692" spans="1:13" ht="14.4">
      <c r="A1692" s="199" t="str">
        <f ca="1">IFERROR(__xludf.DUMMYFUNCTION("""COMPUTED_VALUE"""),"R")</f>
        <v>R</v>
      </c>
      <c r="B1692" s="207" t="str">
        <f ca="1">IFERROR(__xludf.DUMMYFUNCTION("""COMPUTED_VALUE"""),"Joshua Jaramillo")</f>
        <v>Joshua Jaramillo</v>
      </c>
      <c r="C1692" s="199">
        <f ca="1">IFERROR(__xludf.DUMMYFUNCTION("""COMPUTED_VALUE"""),14)</f>
        <v>14</v>
      </c>
      <c r="D1692" s="199" t="str">
        <f ca="1">IFERROR(__xludf.DUMMYFUNCTION("""COMPUTED_VALUE"""),"B")</f>
        <v>B</v>
      </c>
      <c r="E1692" s="202" t="str">
        <f ca="1">IFERROR(__xludf.DUMMYFUNCTION("""COMPUTED_VALUE"""),"I")</f>
        <v>I</v>
      </c>
      <c r="F1692" s="202" t="str">
        <f ca="1">IFERROR(__xludf.DUMMYFUNCTION("""COMPUTED_VALUE"""),"S")</f>
        <v>S</v>
      </c>
      <c r="G1692" s="202">
        <f ca="1">IFERROR(__xludf.DUMMYFUNCTION("""COMPUTED_VALUE"""),5)</f>
        <v>5</v>
      </c>
      <c r="H1692" s="206"/>
      <c r="I1692" s="206"/>
      <c r="J1692" s="206"/>
      <c r="K1692" s="206"/>
      <c r="L1692" s="206" t="str">
        <v/>
      </c>
      <c r="M1692" s="206" t="str">
        <v/>
      </c>
    </row>
    <row r="1693" spans="1:13" ht="14.4">
      <c r="A1693" s="199" t="str">
        <f ca="1">IFERROR(__xludf.DUMMYFUNCTION("""COMPUTED_VALUE"""),"R")</f>
        <v>R</v>
      </c>
      <c r="B1693" s="207" t="str">
        <f ca="1">IFERROR(__xludf.DUMMYFUNCTION("""COMPUTED_VALUE"""),"Leo McFadden")</f>
        <v>Leo McFadden</v>
      </c>
      <c r="C1693" s="199">
        <f ca="1">IFERROR(__xludf.DUMMYFUNCTION("""COMPUTED_VALUE"""),13)</f>
        <v>13</v>
      </c>
      <c r="D1693" s="199" t="str">
        <f ca="1">IFERROR(__xludf.DUMMYFUNCTION("""COMPUTED_VALUE"""),"B")</f>
        <v>B</v>
      </c>
      <c r="E1693" s="202" t="str">
        <f ca="1">IFERROR(__xludf.DUMMYFUNCTION("""COMPUTED_VALUE"""),"I")</f>
        <v>I</v>
      </c>
      <c r="F1693" s="202" t="str">
        <f ca="1">IFERROR(__xludf.DUMMYFUNCTION("""COMPUTED_VALUE"""),"S")</f>
        <v>S</v>
      </c>
      <c r="G1693" s="202">
        <f ca="1">IFERROR(__xludf.DUMMYFUNCTION("""COMPUTED_VALUE"""),5)</f>
        <v>5</v>
      </c>
      <c r="H1693" s="208"/>
      <c r="I1693" s="208">
        <v>64.05</v>
      </c>
      <c r="J1693" s="208"/>
      <c r="K1693" s="208" t="s">
        <v>121</v>
      </c>
      <c r="L1693" s="208" t="str">
        <v xml:space="preserve"> 64.05</v>
      </c>
      <c r="M1693" s="208" t="str">
        <v/>
      </c>
    </row>
    <row r="1694" spans="1:13" ht="14.4">
      <c r="A1694" s="199" t="str">
        <f ca="1">IFERROR(__xludf.DUMMYFUNCTION("""COMPUTED_VALUE"""),"R")</f>
        <v>R</v>
      </c>
      <c r="B1694" s="207" t="str">
        <f ca="1">IFERROR(__xludf.DUMMYFUNCTION("""COMPUTED_VALUE"""),"Hannah Cahalan")</f>
        <v>Hannah Cahalan</v>
      </c>
      <c r="C1694" s="199">
        <f ca="1">IFERROR(__xludf.DUMMYFUNCTION("""COMPUTED_VALUE"""),13)</f>
        <v>13</v>
      </c>
      <c r="D1694" s="199" t="str">
        <f ca="1">IFERROR(__xludf.DUMMYFUNCTION("""COMPUTED_VALUE"""),"G")</f>
        <v>G</v>
      </c>
      <c r="E1694" s="202" t="str">
        <f ca="1">IFERROR(__xludf.DUMMYFUNCTION("""COMPUTED_VALUE"""),"I")</f>
        <v>I</v>
      </c>
      <c r="F1694" s="202" t="str">
        <f ca="1">IFERROR(__xludf.DUMMYFUNCTION("""COMPUTED_VALUE"""),"S")</f>
        <v>S</v>
      </c>
      <c r="G1694" s="202">
        <f ca="1">IFERROR(__xludf.DUMMYFUNCTION("""COMPUTED_VALUE"""),5)</f>
        <v>5</v>
      </c>
      <c r="H1694" s="206">
        <v>80</v>
      </c>
      <c r="I1694" s="206"/>
      <c r="J1694" s="206" t="s">
        <v>121</v>
      </c>
      <c r="K1694" s="206"/>
      <c r="L1694" s="206" t="str">
        <v xml:space="preserve"> 80</v>
      </c>
      <c r="M1694" s="206" t="str">
        <v/>
      </c>
    </row>
    <row r="1695" spans="1:13" ht="14.4">
      <c r="A1695" s="199" t="str">
        <f ca="1">IFERROR(__xludf.DUMMYFUNCTION("""COMPUTED_VALUE"""),"R")</f>
        <v>R</v>
      </c>
      <c r="B1695" s="207" t="str">
        <f ca="1">IFERROR(__xludf.DUMMYFUNCTION("""COMPUTED_VALUE"""),"Mo Murphy")</f>
        <v>Mo Murphy</v>
      </c>
      <c r="C1695" s="199">
        <f ca="1">IFERROR(__xludf.DUMMYFUNCTION("""COMPUTED_VALUE"""),14)</f>
        <v>14</v>
      </c>
      <c r="D1695" s="199" t="str">
        <f ca="1">IFERROR(__xludf.DUMMYFUNCTION("""COMPUTED_VALUE"""),"G")</f>
        <v>G</v>
      </c>
      <c r="E1695" s="202" t="str">
        <f ca="1">IFERROR(__xludf.DUMMYFUNCTION("""COMPUTED_VALUE"""),"I")</f>
        <v>I</v>
      </c>
      <c r="F1695" s="202" t="str">
        <f ca="1">IFERROR(__xludf.DUMMYFUNCTION("""COMPUTED_VALUE"""),"S")</f>
        <v>S</v>
      </c>
      <c r="G1695" s="202">
        <f ca="1">IFERROR(__xludf.DUMMYFUNCTION("""COMPUTED_VALUE"""),5)</f>
        <v>5</v>
      </c>
      <c r="H1695" s="206"/>
      <c r="I1695" s="206"/>
      <c r="J1695" s="206"/>
      <c r="K1695" s="206"/>
      <c r="L1695" s="206" t="str">
        <v/>
      </c>
      <c r="M1695" s="206" t="str">
        <v/>
      </c>
    </row>
    <row r="1696" spans="1:13" ht="14.4">
      <c r="A1696" s="199" t="str">
        <f ca="1">IFERROR(__xludf.DUMMYFUNCTION("""COMPUTED_VALUE"""),"R")</f>
        <v>R</v>
      </c>
      <c r="B1696" s="207" t="str">
        <f ca="1">IFERROR(__xludf.DUMMYFUNCTION("""COMPUTED_VALUE"""),"Scarlett Copas")</f>
        <v>Scarlett Copas</v>
      </c>
      <c r="C1696" s="199">
        <f ca="1">IFERROR(__xludf.DUMMYFUNCTION("""COMPUTED_VALUE"""),13)</f>
        <v>13</v>
      </c>
      <c r="D1696" s="199" t="str">
        <f ca="1">IFERROR(__xludf.DUMMYFUNCTION("""COMPUTED_VALUE"""),"G")</f>
        <v>G</v>
      </c>
      <c r="E1696" s="202" t="str">
        <f ca="1">IFERROR(__xludf.DUMMYFUNCTION("""COMPUTED_VALUE"""),"I")</f>
        <v>I</v>
      </c>
      <c r="F1696" s="202" t="str">
        <f ca="1">IFERROR(__xludf.DUMMYFUNCTION("""COMPUTED_VALUE"""),"S")</f>
        <v>S</v>
      </c>
      <c r="G1696" s="202">
        <f ca="1">IFERROR(__xludf.DUMMYFUNCTION("""COMPUTED_VALUE"""),5)</f>
        <v>5</v>
      </c>
      <c r="H1696" s="206">
        <v>92.65</v>
      </c>
      <c r="I1696" s="206"/>
      <c r="J1696" s="206" t="s">
        <v>121</v>
      </c>
      <c r="K1696" s="206"/>
      <c r="L1696" s="206" t="str">
        <v xml:space="preserve"> 92.65</v>
      </c>
      <c r="M1696" s="206" t="str">
        <v/>
      </c>
    </row>
    <row r="1697" spans="1:13" ht="14.4">
      <c r="A1697" s="199" t="str">
        <f ca="1">IFERROR(__xludf.DUMMYFUNCTION("""COMPUTED_VALUE"""),"R")</f>
        <v>R</v>
      </c>
      <c r="B1697" s="207" t="str">
        <f ca="1">IFERROR(__xludf.DUMMYFUNCTION("""COMPUTED_VALUE"""),"Andrew Bean")</f>
        <v>Andrew Bean</v>
      </c>
      <c r="C1697" s="199">
        <f ca="1">IFERROR(__xludf.DUMMYFUNCTION("""COMPUTED_VALUE"""),11)</f>
        <v>11</v>
      </c>
      <c r="D1697" s="199" t="str">
        <f ca="1">IFERROR(__xludf.DUMMYFUNCTION("""COMPUTED_VALUE"""),"B")</f>
        <v>B</v>
      </c>
      <c r="E1697" s="202" t="str">
        <f ca="1">IFERROR(__xludf.DUMMYFUNCTION("""COMPUTED_VALUE"""),"J")</f>
        <v>J</v>
      </c>
      <c r="F1697" s="202" t="str">
        <f ca="1">IFERROR(__xludf.DUMMYFUNCTION("""COMPUTED_VALUE"""),"I")</f>
        <v>I</v>
      </c>
      <c r="G1697" s="202">
        <f ca="1">IFERROR(__xludf.DUMMYFUNCTION("""COMPUTED_VALUE"""),5)</f>
        <v>5</v>
      </c>
      <c r="H1697" s="206"/>
      <c r="I1697" s="206">
        <v>56.8</v>
      </c>
      <c r="J1697" s="206"/>
      <c r="K1697" s="206" t="s">
        <v>121</v>
      </c>
      <c r="L1697" s="206" t="str">
        <v xml:space="preserve"> 56.8</v>
      </c>
      <c r="M1697" s="206" t="str">
        <v/>
      </c>
    </row>
    <row r="1698" spans="1:13" ht="14.4">
      <c r="A1698" s="199" t="str">
        <f ca="1">IFERROR(__xludf.DUMMYFUNCTION("""COMPUTED_VALUE"""),"R")</f>
        <v>R</v>
      </c>
      <c r="B1698" s="207" t="str">
        <f ca="1">IFERROR(__xludf.DUMMYFUNCTION("""COMPUTED_VALUE"""),"Evan George")</f>
        <v>Evan George</v>
      </c>
      <c r="C1698" s="199">
        <f ca="1">IFERROR(__xludf.DUMMYFUNCTION("""COMPUTED_VALUE"""),12)</f>
        <v>12</v>
      </c>
      <c r="D1698" s="199" t="str">
        <f ca="1">IFERROR(__xludf.DUMMYFUNCTION("""COMPUTED_VALUE"""),"B")</f>
        <v>B</v>
      </c>
      <c r="E1698" s="202" t="str">
        <f ca="1">IFERROR(__xludf.DUMMYFUNCTION("""COMPUTED_VALUE"""),"J")</f>
        <v>J</v>
      </c>
      <c r="F1698" s="202" t="str">
        <f ca="1">IFERROR(__xludf.DUMMYFUNCTION("""COMPUTED_VALUE"""),"I")</f>
        <v>I</v>
      </c>
      <c r="G1698" s="202">
        <f ca="1">IFERROR(__xludf.DUMMYFUNCTION("""COMPUTED_VALUE"""),5)</f>
        <v>5</v>
      </c>
      <c r="H1698" s="208"/>
      <c r="I1698" s="208">
        <v>103.2</v>
      </c>
      <c r="J1698" s="208"/>
      <c r="K1698" s="208" t="s">
        <v>121</v>
      </c>
      <c r="L1698" s="208" t="str">
        <v xml:space="preserve"> 103.2</v>
      </c>
      <c r="M1698" s="208" t="str">
        <v/>
      </c>
    </row>
    <row r="1699" spans="1:13" ht="14.4">
      <c r="A1699" s="199" t="str">
        <f ca="1">IFERROR(__xludf.DUMMYFUNCTION("""COMPUTED_VALUE"""),"R")</f>
        <v>R</v>
      </c>
      <c r="B1699" s="207" t="str">
        <f ca="1">IFERROR(__xludf.DUMMYFUNCTION("""COMPUTED_VALUE"""),"Noah Henderson")</f>
        <v>Noah Henderson</v>
      </c>
      <c r="C1699" s="199">
        <f ca="1">IFERROR(__xludf.DUMMYFUNCTION("""COMPUTED_VALUE"""),12)</f>
        <v>12</v>
      </c>
      <c r="D1699" s="199" t="str">
        <f ca="1">IFERROR(__xludf.DUMMYFUNCTION("""COMPUTED_VALUE"""),"B")</f>
        <v>B</v>
      </c>
      <c r="E1699" s="202" t="str">
        <f ca="1">IFERROR(__xludf.DUMMYFUNCTION("""COMPUTED_VALUE"""),"J")</f>
        <v>J</v>
      </c>
      <c r="F1699" s="202" t="str">
        <f ca="1">IFERROR(__xludf.DUMMYFUNCTION("""COMPUTED_VALUE"""),"I")</f>
        <v>I</v>
      </c>
      <c r="G1699" s="202">
        <f ca="1">IFERROR(__xludf.DUMMYFUNCTION("""COMPUTED_VALUE"""),5)</f>
        <v>5</v>
      </c>
      <c r="H1699" s="208"/>
      <c r="I1699" s="208">
        <v>64.7</v>
      </c>
      <c r="J1699" s="208"/>
      <c r="K1699" s="208" t="s">
        <v>121</v>
      </c>
      <c r="L1699" s="208" t="str">
        <v xml:space="preserve"> 64.7</v>
      </c>
      <c r="M1699" s="208" t="str">
        <v/>
      </c>
    </row>
    <row r="1700" spans="1:13" ht="14.4">
      <c r="A1700" s="199" t="str">
        <f ca="1">IFERROR(__xludf.DUMMYFUNCTION("""COMPUTED_VALUE"""),"R")</f>
        <v>R</v>
      </c>
      <c r="B1700" s="207" t="str">
        <f ca="1">IFERROR(__xludf.DUMMYFUNCTION("""COMPUTED_VALUE"""),"Elise Lunn")</f>
        <v>Elise Lunn</v>
      </c>
      <c r="C1700" s="199">
        <f ca="1">IFERROR(__xludf.DUMMYFUNCTION("""COMPUTED_VALUE"""),11)</f>
        <v>11</v>
      </c>
      <c r="D1700" s="199" t="str">
        <f ca="1">IFERROR(__xludf.DUMMYFUNCTION("""COMPUTED_VALUE"""),"G")</f>
        <v>G</v>
      </c>
      <c r="E1700" s="202" t="str">
        <f ca="1">IFERROR(__xludf.DUMMYFUNCTION("""COMPUTED_VALUE"""),"J")</f>
        <v>J</v>
      </c>
      <c r="F1700" s="202" t="str">
        <f ca="1">IFERROR(__xludf.DUMMYFUNCTION("""COMPUTED_VALUE"""),"I")</f>
        <v>I</v>
      </c>
      <c r="G1700" s="202">
        <f ca="1">IFERROR(__xludf.DUMMYFUNCTION("""COMPUTED_VALUE"""),5)</f>
        <v>5</v>
      </c>
      <c r="H1700" s="206"/>
      <c r="I1700" s="206"/>
      <c r="J1700" s="206"/>
      <c r="K1700" s="206"/>
      <c r="L1700" s="206" t="str">
        <v/>
      </c>
      <c r="M1700" s="206" t="str">
        <v/>
      </c>
    </row>
    <row r="1701" spans="1:13" ht="14.4">
      <c r="A1701" s="199" t="str">
        <f ca="1">IFERROR(__xludf.DUMMYFUNCTION("""COMPUTED_VALUE"""),"R")</f>
        <v>R</v>
      </c>
      <c r="B1701" s="207" t="str">
        <f ca="1">IFERROR(__xludf.DUMMYFUNCTION("""COMPUTED_VALUE"""),"Emily Field")</f>
        <v>Emily Field</v>
      </c>
      <c r="C1701" s="199">
        <f ca="1">IFERROR(__xludf.DUMMYFUNCTION("""COMPUTED_VALUE"""),11)</f>
        <v>11</v>
      </c>
      <c r="D1701" s="199" t="str">
        <f ca="1">IFERROR(__xludf.DUMMYFUNCTION("""COMPUTED_VALUE"""),"G")</f>
        <v>G</v>
      </c>
      <c r="E1701" s="202" t="str">
        <f ca="1">IFERROR(__xludf.DUMMYFUNCTION("""COMPUTED_VALUE"""),"J")</f>
        <v>J</v>
      </c>
      <c r="F1701" s="202" t="str">
        <f ca="1">IFERROR(__xludf.DUMMYFUNCTION("""COMPUTED_VALUE"""),"I")</f>
        <v>I</v>
      </c>
      <c r="G1701" s="202">
        <f ca="1">IFERROR(__xludf.DUMMYFUNCTION("""COMPUTED_VALUE"""),5)</f>
        <v>5</v>
      </c>
      <c r="H1701" s="206">
        <v>70.95</v>
      </c>
      <c r="I1701" s="206"/>
      <c r="J1701" s="206" t="s">
        <v>121</v>
      </c>
      <c r="K1701" s="206"/>
      <c r="L1701" s="206" t="str">
        <v xml:space="preserve"> 70.95</v>
      </c>
      <c r="M1701" s="206" t="str">
        <v/>
      </c>
    </row>
    <row r="1702" spans="1:13" ht="14.4">
      <c r="A1702" s="199" t="str">
        <f ca="1">IFERROR(__xludf.DUMMYFUNCTION("""COMPUTED_VALUE"""),"R")</f>
        <v>R</v>
      </c>
      <c r="B1702" s="207" t="str">
        <f ca="1">IFERROR(__xludf.DUMMYFUNCTION("""COMPUTED_VALUE"""),"Hadley Homer")</f>
        <v>Hadley Homer</v>
      </c>
      <c r="C1702" s="199">
        <f ca="1">IFERROR(__xludf.DUMMYFUNCTION("""COMPUTED_VALUE"""),11)</f>
        <v>11</v>
      </c>
      <c r="D1702" s="199" t="str">
        <f ca="1">IFERROR(__xludf.DUMMYFUNCTION("""COMPUTED_VALUE"""),"G")</f>
        <v>G</v>
      </c>
      <c r="E1702" s="202" t="str">
        <f ca="1">IFERROR(__xludf.DUMMYFUNCTION("""COMPUTED_VALUE"""),"J")</f>
        <v>J</v>
      </c>
      <c r="F1702" s="202" t="str">
        <f ca="1">IFERROR(__xludf.DUMMYFUNCTION("""COMPUTED_VALUE"""),"I")</f>
        <v>I</v>
      </c>
      <c r="G1702" s="202">
        <f ca="1">IFERROR(__xludf.DUMMYFUNCTION("""COMPUTED_VALUE"""),5)</f>
        <v>5</v>
      </c>
      <c r="H1702" s="208"/>
      <c r="I1702" s="208"/>
      <c r="J1702" s="208"/>
      <c r="K1702" s="208"/>
      <c r="L1702" s="208" t="str">
        <v/>
      </c>
      <c r="M1702" s="208" t="str">
        <v/>
      </c>
    </row>
    <row r="1703" spans="1:13" ht="14.4">
      <c r="A1703" s="199" t="str">
        <f ca="1">IFERROR(__xludf.DUMMYFUNCTION("""COMPUTED_VALUE"""),"R")</f>
        <v>R</v>
      </c>
      <c r="B1703" s="207" t="str">
        <f ca="1">IFERROR(__xludf.DUMMYFUNCTION("""COMPUTED_VALUE"""),"Ivy McFadden")</f>
        <v>Ivy McFadden</v>
      </c>
      <c r="C1703" s="199">
        <f ca="1">IFERROR(__xludf.DUMMYFUNCTION("""COMPUTED_VALUE"""),11)</f>
        <v>11</v>
      </c>
      <c r="D1703" s="199" t="str">
        <f ca="1">IFERROR(__xludf.DUMMYFUNCTION("""COMPUTED_VALUE"""),"G")</f>
        <v>G</v>
      </c>
      <c r="E1703" s="202" t="str">
        <f ca="1">IFERROR(__xludf.DUMMYFUNCTION("""COMPUTED_VALUE"""),"J")</f>
        <v>J</v>
      </c>
      <c r="F1703" s="202" t="str">
        <f ca="1">IFERROR(__xludf.DUMMYFUNCTION("""COMPUTED_VALUE"""),"I")</f>
        <v>I</v>
      </c>
      <c r="G1703" s="202">
        <f ca="1">IFERROR(__xludf.DUMMYFUNCTION("""COMPUTED_VALUE"""),5)</f>
        <v>5</v>
      </c>
      <c r="H1703" s="208"/>
      <c r="I1703" s="208"/>
      <c r="J1703" s="208"/>
      <c r="K1703" s="208"/>
      <c r="L1703" s="208" t="str">
        <v/>
      </c>
      <c r="M1703" s="208" t="str">
        <v/>
      </c>
    </row>
    <row r="1704" spans="1:13" ht="14.4">
      <c r="A1704" s="199" t="str">
        <f ca="1">IFERROR(__xludf.DUMMYFUNCTION("""COMPUTED_VALUE"""),"R")</f>
        <v>R</v>
      </c>
      <c r="B1704" s="207" t="str">
        <f ca="1">IFERROR(__xludf.DUMMYFUNCTION("""COMPUTED_VALUE"""),"Olivia Bruce")</f>
        <v>Olivia Bruce</v>
      </c>
      <c r="C1704" s="199">
        <f ca="1">IFERROR(__xludf.DUMMYFUNCTION("""COMPUTED_VALUE"""),12)</f>
        <v>12</v>
      </c>
      <c r="D1704" s="199" t="str">
        <f ca="1">IFERROR(__xludf.DUMMYFUNCTION("""COMPUTED_VALUE"""),"G")</f>
        <v>G</v>
      </c>
      <c r="E1704" s="202" t="str">
        <f ca="1">IFERROR(__xludf.DUMMYFUNCTION("""COMPUTED_VALUE"""),"J")</f>
        <v>J</v>
      </c>
      <c r="F1704" s="202" t="str">
        <f ca="1">IFERROR(__xludf.DUMMYFUNCTION("""COMPUTED_VALUE"""),"I")</f>
        <v>I</v>
      </c>
      <c r="G1704" s="202">
        <f ca="1">IFERROR(__xludf.DUMMYFUNCTION("""COMPUTED_VALUE"""),5)</f>
        <v>5</v>
      </c>
      <c r="H1704" s="206">
        <v>51.8</v>
      </c>
      <c r="I1704" s="206"/>
      <c r="J1704" s="206" t="s">
        <v>121</v>
      </c>
      <c r="K1704" s="206"/>
      <c r="L1704" s="206" t="str">
        <v xml:space="preserve"> 51.8</v>
      </c>
      <c r="M1704" s="206" t="str">
        <v/>
      </c>
    </row>
    <row r="1705" spans="1:13" ht="14.4">
      <c r="A1705" s="199" t="str">
        <f ca="1">IFERROR(__xludf.DUMMYFUNCTION("""COMPUTED_VALUE"""),"R")</f>
        <v>R</v>
      </c>
      <c r="B1705" s="207" t="str">
        <f ca="1">IFERROR(__xludf.DUMMYFUNCTION("""COMPUTED_VALUE"""),"Max Shaffer")</f>
        <v>Max Shaffer</v>
      </c>
      <c r="C1705" s="199">
        <f ca="1">IFERROR(__xludf.DUMMYFUNCTION("""COMPUTED_VALUE"""),15)</f>
        <v>15</v>
      </c>
      <c r="D1705" s="199" t="str">
        <f ca="1">IFERROR(__xludf.DUMMYFUNCTION("""COMPUTED_VALUE"""),"B")</f>
        <v>B</v>
      </c>
      <c r="E1705" s="202" t="str">
        <f ca="1">IFERROR(__xludf.DUMMYFUNCTION("""COMPUTED_VALUE"""),"S")</f>
        <v>S</v>
      </c>
      <c r="F1705" s="202" t="str">
        <f ca="1">IFERROR(__xludf.DUMMYFUNCTION("""COMPUTED_VALUE"""),"S")</f>
        <v>S</v>
      </c>
      <c r="G1705" s="202">
        <f ca="1">IFERROR(__xludf.DUMMYFUNCTION("""COMPUTED_VALUE"""),5)</f>
        <v>5</v>
      </c>
      <c r="H1705" s="206"/>
      <c r="I1705" s="206"/>
      <c r="J1705" s="206"/>
      <c r="K1705" s="206"/>
      <c r="L1705" s="206" t="str">
        <v/>
      </c>
      <c r="M1705" s="206" t="str">
        <v/>
      </c>
    </row>
    <row r="1706" spans="1:13" ht="14.4">
      <c r="A1706" s="199" t="str">
        <f ca="1">IFERROR(__xludf.DUMMYFUNCTION("""COMPUTED_VALUE"""),"R")</f>
        <v>R</v>
      </c>
      <c r="B1706" s="207" t="str">
        <f ca="1">IFERROR(__xludf.DUMMYFUNCTION("""COMPUTED_VALUE"""),"Wade Hayes")</f>
        <v>Wade Hayes</v>
      </c>
      <c r="C1706" s="199">
        <f ca="1">IFERROR(__xludf.DUMMYFUNCTION("""COMPUTED_VALUE"""),16)</f>
        <v>16</v>
      </c>
      <c r="D1706" s="199" t="str">
        <f ca="1">IFERROR(__xludf.DUMMYFUNCTION("""COMPUTED_VALUE"""),"B")</f>
        <v>B</v>
      </c>
      <c r="E1706" s="202" t="str">
        <f ca="1">IFERROR(__xludf.DUMMYFUNCTION("""COMPUTED_VALUE"""),"S")</f>
        <v>S</v>
      </c>
      <c r="F1706" s="202" t="str">
        <f ca="1">IFERROR(__xludf.DUMMYFUNCTION("""COMPUTED_VALUE"""),"S")</f>
        <v>S</v>
      </c>
      <c r="G1706" s="202">
        <f ca="1">IFERROR(__xludf.DUMMYFUNCTION("""COMPUTED_VALUE"""),5)</f>
        <v>5</v>
      </c>
      <c r="H1706" s="206"/>
      <c r="I1706" s="206" t="s">
        <v>122</v>
      </c>
      <c r="J1706" s="206"/>
      <c r="K1706" s="206" t="s">
        <v>121</v>
      </c>
      <c r="L1706" s="206" t="str">
        <v xml:space="preserve"> DQ</v>
      </c>
      <c r="M1706" s="206" t="str">
        <v/>
      </c>
    </row>
    <row r="1707" spans="1:13" ht="14.4">
      <c r="A1707" s="199" t="str">
        <f ca="1">IFERROR(__xludf.DUMMYFUNCTION("""COMPUTED_VALUE"""),"R")</f>
        <v>R</v>
      </c>
      <c r="B1707" s="207" t="str">
        <f ca="1">IFERROR(__xludf.DUMMYFUNCTION("""COMPUTED_VALUE"""),"Jillian Champlin")</f>
        <v>Jillian Champlin</v>
      </c>
      <c r="C1707" s="199">
        <f ca="1">IFERROR(__xludf.DUMMYFUNCTION("""COMPUTED_VALUE"""),15)</f>
        <v>15</v>
      </c>
      <c r="D1707" s="199" t="str">
        <f ca="1">IFERROR(__xludf.DUMMYFUNCTION("""COMPUTED_VALUE"""),"G")</f>
        <v>G</v>
      </c>
      <c r="E1707" s="202" t="str">
        <f ca="1">IFERROR(__xludf.DUMMYFUNCTION("""COMPUTED_VALUE"""),"S")</f>
        <v>S</v>
      </c>
      <c r="F1707" s="202" t="str">
        <f ca="1">IFERROR(__xludf.DUMMYFUNCTION("""COMPUTED_VALUE"""),"S")</f>
        <v>S</v>
      </c>
      <c r="G1707" s="202">
        <f ca="1">IFERROR(__xludf.DUMMYFUNCTION("""COMPUTED_VALUE"""),5)</f>
        <v>5</v>
      </c>
      <c r="H1707" s="208">
        <v>160.55000000000001</v>
      </c>
      <c r="I1707" s="208"/>
      <c r="J1707" s="208" t="s">
        <v>121</v>
      </c>
      <c r="K1707" s="208"/>
      <c r="L1707" s="208" t="str">
        <v xml:space="preserve"> 160.55</v>
      </c>
      <c r="M1707" s="208" t="str">
        <v/>
      </c>
    </row>
    <row r="1708" spans="1:13" ht="14.4">
      <c r="A1708" s="199" t="str">
        <f ca="1">IFERROR(__xludf.DUMMYFUNCTION("""COMPUTED_VALUE"""),"R")</f>
        <v>R</v>
      </c>
      <c r="B1708" s="207" t="str">
        <f ca="1">IFERROR(__xludf.DUMMYFUNCTION("""COMPUTED_VALUE"""),"Sara Kate George")</f>
        <v>Sara Kate George</v>
      </c>
      <c r="C1708" s="199">
        <f ca="1">IFERROR(__xludf.DUMMYFUNCTION("""COMPUTED_VALUE"""),15)</f>
        <v>15</v>
      </c>
      <c r="D1708" s="199" t="str">
        <f ca="1">IFERROR(__xludf.DUMMYFUNCTION("""COMPUTED_VALUE"""),"G")</f>
        <v>G</v>
      </c>
      <c r="E1708" s="202" t="str">
        <f ca="1">IFERROR(__xludf.DUMMYFUNCTION("""COMPUTED_VALUE"""),"S")</f>
        <v>S</v>
      </c>
      <c r="F1708" s="202" t="str">
        <f ca="1">IFERROR(__xludf.DUMMYFUNCTION("""COMPUTED_VALUE"""),"S")</f>
        <v>S</v>
      </c>
      <c r="G1708" s="202">
        <f ca="1">IFERROR(__xludf.DUMMYFUNCTION("""COMPUTED_VALUE"""),5)</f>
        <v>5</v>
      </c>
      <c r="H1708" s="206">
        <v>117.4</v>
      </c>
      <c r="I1708" s="206"/>
      <c r="J1708" s="206" t="s">
        <v>121</v>
      </c>
      <c r="K1708" s="206"/>
      <c r="L1708" s="206" t="str">
        <v xml:space="preserve"> 117.4</v>
      </c>
      <c r="M1708" s="206" t="str">
        <v/>
      </c>
    </row>
    <row r="1709" spans="1:13" ht="14.4">
      <c r="A1709" s="199" t="str">
        <f ca="1">IFERROR(__xludf.DUMMYFUNCTION("""COMPUTED_VALUE"""),"RFD")</f>
        <v>RFD</v>
      </c>
      <c r="B1709" s="207" t="str">
        <f ca="1">IFERROR(__xludf.DUMMYFUNCTION("""COMPUTED_VALUE"""),"Alek Commette")</f>
        <v>Alek Commette</v>
      </c>
      <c r="C1709" s="199">
        <f ca="1">IFERROR(__xludf.DUMMYFUNCTION("""COMPUTED_VALUE"""),9)</f>
        <v>9</v>
      </c>
      <c r="D1709" s="199" t="str">
        <f ca="1">IFERROR(__xludf.DUMMYFUNCTION("""COMPUTED_VALUE"""),"B")</f>
        <v>B</v>
      </c>
      <c r="E1709" s="202" t="str">
        <f ca="1">IFERROR(__xludf.DUMMYFUNCTION("""COMPUTED_VALUE"""),"F")</f>
        <v>F</v>
      </c>
      <c r="F1709" s="202" t="str">
        <f ca="1">IFERROR(__xludf.DUMMYFUNCTION("""COMPUTED_VALUE"""),"J")</f>
        <v>J</v>
      </c>
      <c r="G1709" s="202">
        <f ca="1">IFERROR(__xludf.DUMMYFUNCTION("""COMPUTED_VALUE"""),7)</f>
        <v>7</v>
      </c>
      <c r="H1709" s="208"/>
      <c r="I1709" s="208"/>
      <c r="J1709" s="208"/>
      <c r="K1709" s="208"/>
      <c r="L1709" s="208" t="str">
        <v/>
      </c>
      <c r="M1709" s="208" t="str">
        <v/>
      </c>
    </row>
    <row r="1710" spans="1:13" ht="14.4">
      <c r="A1710" s="199" t="str">
        <f ca="1">IFERROR(__xludf.DUMMYFUNCTION("""COMPUTED_VALUE"""),"RFD")</f>
        <v>RFD</v>
      </c>
      <c r="B1710" s="207" t="str">
        <f ca="1">IFERROR(__xludf.DUMMYFUNCTION("""COMPUTED_VALUE"""),"Austin Brooks")</f>
        <v>Austin Brooks</v>
      </c>
      <c r="C1710" s="199">
        <f ca="1">IFERROR(__xludf.DUMMYFUNCTION("""COMPUTED_VALUE"""),6)</f>
        <v>6</v>
      </c>
      <c r="D1710" s="199" t="str">
        <f ca="1">IFERROR(__xludf.DUMMYFUNCTION("""COMPUTED_VALUE"""),"B")</f>
        <v>B</v>
      </c>
      <c r="E1710" s="202" t="str">
        <f ca="1">IFERROR(__xludf.DUMMYFUNCTION("""COMPUTED_VALUE"""),"F")</f>
        <v>F</v>
      </c>
      <c r="F1710" s="202" t="str">
        <f ca="1">IFERROR(__xludf.DUMMYFUNCTION("""COMPUTED_VALUE"""),"J")</f>
        <v>J</v>
      </c>
      <c r="G1710" s="202">
        <f ca="1">IFERROR(__xludf.DUMMYFUNCTION("""COMPUTED_VALUE"""),7)</f>
        <v>7</v>
      </c>
      <c r="H1710" s="206"/>
      <c r="I1710" s="206">
        <v>19.25</v>
      </c>
      <c r="J1710" s="206"/>
      <c r="K1710" s="206" t="s">
        <v>121</v>
      </c>
      <c r="L1710" s="206" t="str">
        <v xml:space="preserve"> 19.25</v>
      </c>
      <c r="M1710" s="206" t="str">
        <v/>
      </c>
    </row>
    <row r="1711" spans="1:13" ht="14.4">
      <c r="A1711" s="199" t="str">
        <f ca="1">IFERROR(__xludf.DUMMYFUNCTION("""COMPUTED_VALUE"""),"RFD")</f>
        <v>RFD</v>
      </c>
      <c r="B1711" s="207" t="str">
        <f ca="1">IFERROR(__xludf.DUMMYFUNCTION("""COMPUTED_VALUE"""),"Cole Fegan")</f>
        <v>Cole Fegan</v>
      </c>
      <c r="C1711" s="199">
        <f ca="1">IFERROR(__xludf.DUMMYFUNCTION("""COMPUTED_VALUE"""),7)</f>
        <v>7</v>
      </c>
      <c r="D1711" s="199" t="str">
        <f ca="1">IFERROR(__xludf.DUMMYFUNCTION("""COMPUTED_VALUE"""),"B")</f>
        <v>B</v>
      </c>
      <c r="E1711" s="202" t="str">
        <f ca="1">IFERROR(__xludf.DUMMYFUNCTION("""COMPUTED_VALUE"""),"F")</f>
        <v>F</v>
      </c>
      <c r="F1711" s="202" t="str">
        <f ca="1">IFERROR(__xludf.DUMMYFUNCTION("""COMPUTED_VALUE"""),"J")</f>
        <v>J</v>
      </c>
      <c r="G1711" s="202">
        <f ca="1">IFERROR(__xludf.DUMMYFUNCTION("""COMPUTED_VALUE"""),7)</f>
        <v>7</v>
      </c>
      <c r="H1711" s="208"/>
      <c r="I1711" s="208">
        <v>32.700000000000003</v>
      </c>
      <c r="J1711" s="208"/>
      <c r="K1711" s="208" t="s">
        <v>121</v>
      </c>
      <c r="L1711" s="208" t="str">
        <v xml:space="preserve"> 32.7</v>
      </c>
      <c r="M1711" s="208" t="str">
        <v/>
      </c>
    </row>
    <row r="1712" spans="1:13" ht="14.4">
      <c r="A1712" s="199" t="str">
        <f ca="1">IFERROR(__xludf.DUMMYFUNCTION("""COMPUTED_VALUE"""),"RFD")</f>
        <v>RFD</v>
      </c>
      <c r="B1712" s="207" t="str">
        <f ca="1">IFERROR(__xludf.DUMMYFUNCTION("""COMPUTED_VALUE"""),"Max Braswell")</f>
        <v>Max Braswell</v>
      </c>
      <c r="C1712" s="199">
        <f ca="1">IFERROR(__xludf.DUMMYFUNCTION("""COMPUTED_VALUE"""),10)</f>
        <v>10</v>
      </c>
      <c r="D1712" s="199" t="str">
        <f ca="1">IFERROR(__xludf.DUMMYFUNCTION("""COMPUTED_VALUE"""),"B")</f>
        <v>B</v>
      </c>
      <c r="E1712" s="202" t="str">
        <f ca="1">IFERROR(__xludf.DUMMYFUNCTION("""COMPUTED_VALUE"""),"F")</f>
        <v>F</v>
      </c>
      <c r="F1712" s="202" t="str">
        <f ca="1">IFERROR(__xludf.DUMMYFUNCTION("""COMPUTED_VALUE"""),"J")</f>
        <v>J</v>
      </c>
      <c r="G1712" s="202">
        <f ca="1">IFERROR(__xludf.DUMMYFUNCTION("""COMPUTED_VALUE"""),7)</f>
        <v>7</v>
      </c>
      <c r="H1712" s="206"/>
      <c r="I1712" s="206">
        <v>47.15</v>
      </c>
      <c r="J1712" s="206"/>
      <c r="K1712" s="206" t="s">
        <v>121</v>
      </c>
      <c r="L1712" s="206" t="str">
        <v xml:space="preserve"> 47.15</v>
      </c>
      <c r="M1712" s="206" t="str">
        <v/>
      </c>
    </row>
    <row r="1713" spans="1:13" ht="14.4">
      <c r="A1713" s="199" t="str">
        <f ca="1">IFERROR(__xludf.DUMMYFUNCTION("""COMPUTED_VALUE"""),"RFD")</f>
        <v>RFD</v>
      </c>
      <c r="B1713" s="207" t="str">
        <f ca="1">IFERROR(__xludf.DUMMYFUNCTION("""COMPUTED_VALUE"""),"Michael Commette")</f>
        <v>Michael Commette</v>
      </c>
      <c r="C1713" s="199">
        <f ca="1">IFERROR(__xludf.DUMMYFUNCTION("""COMPUTED_VALUE"""),9)</f>
        <v>9</v>
      </c>
      <c r="D1713" s="199" t="str">
        <f ca="1">IFERROR(__xludf.DUMMYFUNCTION("""COMPUTED_VALUE"""),"B")</f>
        <v>B</v>
      </c>
      <c r="E1713" s="202" t="str">
        <f ca="1">IFERROR(__xludf.DUMMYFUNCTION("""COMPUTED_VALUE"""),"F")</f>
        <v>F</v>
      </c>
      <c r="F1713" s="202" t="str">
        <f ca="1">IFERROR(__xludf.DUMMYFUNCTION("""COMPUTED_VALUE"""),"J")</f>
        <v>J</v>
      </c>
      <c r="G1713" s="202">
        <f ca="1">IFERROR(__xludf.DUMMYFUNCTION("""COMPUTED_VALUE"""),7)</f>
        <v>7</v>
      </c>
      <c r="H1713" s="208"/>
      <c r="I1713" s="208"/>
      <c r="J1713" s="208"/>
      <c r="K1713" s="208"/>
      <c r="L1713" s="208" t="str">
        <v/>
      </c>
      <c r="M1713" s="208" t="str">
        <v/>
      </c>
    </row>
    <row r="1714" spans="1:13" ht="14.4">
      <c r="A1714" s="199" t="str">
        <f ca="1">IFERROR(__xludf.DUMMYFUNCTION("""COMPUTED_VALUE"""),"RFD")</f>
        <v>RFD</v>
      </c>
      <c r="B1714" s="207" t="str">
        <f ca="1">IFERROR(__xludf.DUMMYFUNCTION("""COMPUTED_VALUE"""),"Zachary Lesser")</f>
        <v>Zachary Lesser</v>
      </c>
      <c r="C1714" s="199">
        <f ca="1">IFERROR(__xludf.DUMMYFUNCTION("""COMPUTED_VALUE"""),9)</f>
        <v>9</v>
      </c>
      <c r="D1714" s="199" t="str">
        <f ca="1">IFERROR(__xludf.DUMMYFUNCTION("""COMPUTED_VALUE"""),"B")</f>
        <v>B</v>
      </c>
      <c r="E1714" s="202" t="str">
        <f ca="1">IFERROR(__xludf.DUMMYFUNCTION("""COMPUTED_VALUE"""),"F")</f>
        <v>F</v>
      </c>
      <c r="F1714" s="202" t="str">
        <f ca="1">IFERROR(__xludf.DUMMYFUNCTION("""COMPUTED_VALUE"""),"J")</f>
        <v>J</v>
      </c>
      <c r="G1714" s="202">
        <f ca="1">IFERROR(__xludf.DUMMYFUNCTION("""COMPUTED_VALUE"""),7)</f>
        <v>7</v>
      </c>
      <c r="H1714" s="208"/>
      <c r="I1714" s="208"/>
      <c r="J1714" s="208"/>
      <c r="K1714" s="208"/>
      <c r="L1714" s="208" t="str">
        <v/>
      </c>
      <c r="M1714" s="208" t="str">
        <v/>
      </c>
    </row>
    <row r="1715" spans="1:13" ht="14.4">
      <c r="A1715" s="199" t="str">
        <f ca="1">IFERROR(__xludf.DUMMYFUNCTION("""COMPUTED_VALUE"""),"RFD")</f>
        <v>RFD</v>
      </c>
      <c r="B1715" s="207" t="str">
        <f ca="1">IFERROR(__xludf.DUMMYFUNCTION("""COMPUTED_VALUE"""),"Avery Burch")</f>
        <v>Avery Burch</v>
      </c>
      <c r="C1715" s="199">
        <f ca="1">IFERROR(__xludf.DUMMYFUNCTION("""COMPUTED_VALUE"""),10)</f>
        <v>10</v>
      </c>
      <c r="D1715" s="199" t="str">
        <f ca="1">IFERROR(__xludf.DUMMYFUNCTION("""COMPUTED_VALUE"""),"G")</f>
        <v>G</v>
      </c>
      <c r="E1715" s="202" t="str">
        <f ca="1">IFERROR(__xludf.DUMMYFUNCTION("""COMPUTED_VALUE"""),"F")</f>
        <v>F</v>
      </c>
      <c r="F1715" s="202" t="str">
        <f ca="1">IFERROR(__xludf.DUMMYFUNCTION("""COMPUTED_VALUE"""),"J")</f>
        <v>J</v>
      </c>
      <c r="G1715" s="202">
        <f ca="1">IFERROR(__xludf.DUMMYFUNCTION("""COMPUTED_VALUE"""),7)</f>
        <v>7</v>
      </c>
      <c r="H1715" s="208">
        <v>12.25</v>
      </c>
      <c r="I1715" s="208"/>
      <c r="J1715" s="208" t="s">
        <v>121</v>
      </c>
      <c r="K1715" s="208"/>
      <c r="L1715" s="208" t="str">
        <v xml:space="preserve"> 12.25</v>
      </c>
      <c r="M1715" s="208" t="str">
        <v/>
      </c>
    </row>
    <row r="1716" spans="1:13" ht="14.4">
      <c r="A1716" s="199" t="str">
        <f ca="1">IFERROR(__xludf.DUMMYFUNCTION("""COMPUTED_VALUE"""),"RFD")</f>
        <v>RFD</v>
      </c>
      <c r="B1716" s="207" t="str">
        <f ca="1">IFERROR(__xludf.DUMMYFUNCTION("""COMPUTED_VALUE"""),"Emma Townsend")</f>
        <v>Emma Townsend</v>
      </c>
      <c r="C1716" s="199">
        <f ca="1">IFERROR(__xludf.DUMMYFUNCTION("""COMPUTED_VALUE"""),9)</f>
        <v>9</v>
      </c>
      <c r="D1716" s="199" t="str">
        <f ca="1">IFERROR(__xludf.DUMMYFUNCTION("""COMPUTED_VALUE"""),"G")</f>
        <v>G</v>
      </c>
      <c r="E1716" s="202" t="str">
        <f ca="1">IFERROR(__xludf.DUMMYFUNCTION("""COMPUTED_VALUE"""),"F")</f>
        <v>F</v>
      </c>
      <c r="F1716" s="202" t="str">
        <f ca="1">IFERROR(__xludf.DUMMYFUNCTION("""COMPUTED_VALUE"""),"J")</f>
        <v>J</v>
      </c>
      <c r="G1716" s="202">
        <f ca="1">IFERROR(__xludf.DUMMYFUNCTION("""COMPUTED_VALUE"""),7)</f>
        <v>7</v>
      </c>
      <c r="H1716" s="208"/>
      <c r="I1716" s="208"/>
      <c r="J1716" s="208"/>
      <c r="K1716" s="208"/>
      <c r="L1716" s="208" t="str">
        <v/>
      </c>
      <c r="M1716" s="208" t="str">
        <v/>
      </c>
    </row>
    <row r="1717" spans="1:13" ht="14.4">
      <c r="A1717" s="199" t="str">
        <f ca="1">IFERROR(__xludf.DUMMYFUNCTION("""COMPUTED_VALUE"""),"RFD")</f>
        <v>RFD</v>
      </c>
      <c r="B1717" s="207" t="str">
        <f ca="1">IFERROR(__xludf.DUMMYFUNCTION("""COMPUTED_VALUE"""),"Evie Warren")</f>
        <v>Evie Warren</v>
      </c>
      <c r="C1717" s="199">
        <f ca="1">IFERROR(__xludf.DUMMYFUNCTION("""COMPUTED_VALUE"""),8)</f>
        <v>8</v>
      </c>
      <c r="D1717" s="199" t="str">
        <f ca="1">IFERROR(__xludf.DUMMYFUNCTION("""COMPUTED_VALUE"""),"G")</f>
        <v>G</v>
      </c>
      <c r="E1717" s="202" t="str">
        <f ca="1">IFERROR(__xludf.DUMMYFUNCTION("""COMPUTED_VALUE"""),"F")</f>
        <v>F</v>
      </c>
      <c r="F1717" s="202" t="str">
        <f ca="1">IFERROR(__xludf.DUMMYFUNCTION("""COMPUTED_VALUE"""),"J")</f>
        <v>J</v>
      </c>
      <c r="G1717" s="202">
        <f ca="1">IFERROR(__xludf.DUMMYFUNCTION("""COMPUTED_VALUE"""),7)</f>
        <v>7</v>
      </c>
      <c r="H1717" s="208">
        <v>37.6</v>
      </c>
      <c r="I1717" s="208"/>
      <c r="J1717" s="208" t="s">
        <v>121</v>
      </c>
      <c r="K1717" s="208"/>
      <c r="L1717" s="208" t="str">
        <v xml:space="preserve"> 37.6</v>
      </c>
      <c r="M1717" s="208" t="str">
        <v/>
      </c>
    </row>
    <row r="1718" spans="1:13" ht="14.4">
      <c r="A1718" s="199" t="str">
        <f ca="1">IFERROR(__xludf.DUMMYFUNCTION("""COMPUTED_VALUE"""),"RFD")</f>
        <v>RFD</v>
      </c>
      <c r="B1718" s="207" t="str">
        <f ca="1">IFERROR(__xludf.DUMMYFUNCTION("""COMPUTED_VALUE"""),"Hadley Townsend")</f>
        <v>Hadley Townsend</v>
      </c>
      <c r="C1718" s="199">
        <f ca="1">IFERROR(__xludf.DUMMYFUNCTION("""COMPUTED_VALUE"""),7)</f>
        <v>7</v>
      </c>
      <c r="D1718" s="199" t="str">
        <f ca="1">IFERROR(__xludf.DUMMYFUNCTION("""COMPUTED_VALUE"""),"G")</f>
        <v>G</v>
      </c>
      <c r="E1718" s="202" t="str">
        <f ca="1">IFERROR(__xludf.DUMMYFUNCTION("""COMPUTED_VALUE"""),"F")</f>
        <v>F</v>
      </c>
      <c r="F1718" s="202" t="str">
        <f ca="1">IFERROR(__xludf.DUMMYFUNCTION("""COMPUTED_VALUE"""),"J")</f>
        <v>J</v>
      </c>
      <c r="G1718" s="202">
        <f ca="1">IFERROR(__xludf.DUMMYFUNCTION("""COMPUTED_VALUE"""),7)</f>
        <v>7</v>
      </c>
      <c r="H1718" s="208">
        <v>29.5</v>
      </c>
      <c r="I1718" s="208"/>
      <c r="J1718" s="208" t="s">
        <v>121</v>
      </c>
      <c r="K1718" s="208"/>
      <c r="L1718" s="208" t="str">
        <v xml:space="preserve"> 29.5</v>
      </c>
      <c r="M1718" s="208" t="str">
        <v/>
      </c>
    </row>
    <row r="1719" spans="1:13" ht="14.4">
      <c r="A1719" s="199" t="str">
        <f ca="1">IFERROR(__xludf.DUMMYFUNCTION("""COMPUTED_VALUE"""),"RFD")</f>
        <v>RFD</v>
      </c>
      <c r="B1719" s="207" t="str">
        <f ca="1">IFERROR(__xludf.DUMMYFUNCTION("""COMPUTED_VALUE"""),"Kaelyn Farrelly")</f>
        <v>Kaelyn Farrelly</v>
      </c>
      <c r="C1719" s="199">
        <f ca="1">IFERROR(__xludf.DUMMYFUNCTION("""COMPUTED_VALUE"""),7)</f>
        <v>7</v>
      </c>
      <c r="D1719" s="199" t="str">
        <f ca="1">IFERROR(__xludf.DUMMYFUNCTION("""COMPUTED_VALUE"""),"G")</f>
        <v>G</v>
      </c>
      <c r="E1719" s="202" t="str">
        <f ca="1">IFERROR(__xludf.DUMMYFUNCTION("""COMPUTED_VALUE"""),"F")</f>
        <v>F</v>
      </c>
      <c r="F1719" s="202" t="str">
        <f ca="1">IFERROR(__xludf.DUMMYFUNCTION("""COMPUTED_VALUE"""),"J")</f>
        <v>J</v>
      </c>
      <c r="G1719" s="202">
        <f ca="1">IFERROR(__xludf.DUMMYFUNCTION("""COMPUTED_VALUE"""),7)</f>
        <v>7</v>
      </c>
      <c r="H1719" s="208"/>
      <c r="I1719" s="208"/>
      <c r="J1719" s="208"/>
      <c r="K1719" s="208"/>
      <c r="L1719" s="208" t="str">
        <v/>
      </c>
      <c r="M1719" s="208" t="str">
        <v/>
      </c>
    </row>
    <row r="1720" spans="1:13" ht="14.4">
      <c r="A1720" s="199" t="str">
        <f ca="1">IFERROR(__xludf.DUMMYFUNCTION("""COMPUTED_VALUE"""),"RFD")</f>
        <v>RFD</v>
      </c>
      <c r="B1720" s="207" t="str">
        <f ca="1">IFERROR(__xludf.DUMMYFUNCTION("""COMPUTED_VALUE"""),"Katerina Commette")</f>
        <v>Katerina Commette</v>
      </c>
      <c r="C1720" s="199">
        <f ca="1">IFERROR(__xludf.DUMMYFUNCTION("""COMPUTED_VALUE"""),6)</f>
        <v>6</v>
      </c>
      <c r="D1720" s="199" t="str">
        <f ca="1">IFERROR(__xludf.DUMMYFUNCTION("""COMPUTED_VALUE"""),"G")</f>
        <v>G</v>
      </c>
      <c r="E1720" s="202" t="str">
        <f ca="1">IFERROR(__xludf.DUMMYFUNCTION("""COMPUTED_VALUE"""),"F")</f>
        <v>F</v>
      </c>
      <c r="F1720" s="202" t="str">
        <f ca="1">IFERROR(__xludf.DUMMYFUNCTION("""COMPUTED_VALUE"""),"J")</f>
        <v>J</v>
      </c>
      <c r="G1720" s="202">
        <f ca="1">IFERROR(__xludf.DUMMYFUNCTION("""COMPUTED_VALUE"""),7)</f>
        <v>7</v>
      </c>
      <c r="H1720" s="208"/>
      <c r="I1720" s="208"/>
      <c r="J1720" s="208"/>
      <c r="K1720" s="208"/>
      <c r="L1720" s="208" t="str">
        <v/>
      </c>
      <c r="M1720" s="208" t="str">
        <v/>
      </c>
    </row>
    <row r="1721" spans="1:13" ht="14.4">
      <c r="A1721" s="199" t="str">
        <f ca="1">IFERROR(__xludf.DUMMYFUNCTION("""COMPUTED_VALUE"""),"RFD")</f>
        <v>RFD</v>
      </c>
      <c r="B1721" s="207" t="str">
        <f ca="1">IFERROR(__xludf.DUMMYFUNCTION("""COMPUTED_VALUE"""),"Kathryn Fegan")</f>
        <v>Kathryn Fegan</v>
      </c>
      <c r="C1721" s="199">
        <f ca="1">IFERROR(__xludf.DUMMYFUNCTION("""COMPUTED_VALUE"""),10)</f>
        <v>10</v>
      </c>
      <c r="D1721" s="199" t="str">
        <f ca="1">IFERROR(__xludf.DUMMYFUNCTION("""COMPUTED_VALUE"""),"G")</f>
        <v>G</v>
      </c>
      <c r="E1721" s="202" t="str">
        <f ca="1">IFERROR(__xludf.DUMMYFUNCTION("""COMPUTED_VALUE"""),"F")</f>
        <v>F</v>
      </c>
      <c r="F1721" s="202" t="str">
        <f ca="1">IFERROR(__xludf.DUMMYFUNCTION("""COMPUTED_VALUE"""),"J")</f>
        <v>J</v>
      </c>
      <c r="G1721" s="202">
        <f ca="1">IFERROR(__xludf.DUMMYFUNCTION("""COMPUTED_VALUE"""),7)</f>
        <v>7</v>
      </c>
      <c r="H1721" s="208">
        <v>60.15</v>
      </c>
      <c r="I1721" s="208"/>
      <c r="J1721" s="208" t="s">
        <v>121</v>
      </c>
      <c r="K1721" s="208"/>
      <c r="L1721" s="208" t="str">
        <v xml:space="preserve"> 60.15</v>
      </c>
      <c r="M1721" s="208" t="str">
        <v/>
      </c>
    </row>
    <row r="1722" spans="1:13" ht="14.4">
      <c r="A1722" s="199" t="str">
        <f ca="1">IFERROR(__xludf.DUMMYFUNCTION("""COMPUTED_VALUE"""),"RFD")</f>
        <v>RFD</v>
      </c>
      <c r="B1722" s="207" t="str">
        <f ca="1">IFERROR(__xludf.DUMMYFUNCTION("""COMPUTED_VALUE"""),"Lorriane Miller")</f>
        <v>Lorriane Miller</v>
      </c>
      <c r="C1722" s="199">
        <f ca="1">IFERROR(__xludf.DUMMYFUNCTION("""COMPUTED_VALUE"""),8)</f>
        <v>8</v>
      </c>
      <c r="D1722" s="199" t="str">
        <f ca="1">IFERROR(__xludf.DUMMYFUNCTION("""COMPUTED_VALUE"""),"G")</f>
        <v>G</v>
      </c>
      <c r="E1722" s="202" t="str">
        <f ca="1">IFERROR(__xludf.DUMMYFUNCTION("""COMPUTED_VALUE"""),"F")</f>
        <v>F</v>
      </c>
      <c r="F1722" s="202" t="str">
        <f ca="1">IFERROR(__xludf.DUMMYFUNCTION("""COMPUTED_VALUE"""),"J")</f>
        <v>J</v>
      </c>
      <c r="G1722" s="202">
        <f ca="1">IFERROR(__xludf.DUMMYFUNCTION("""COMPUTED_VALUE"""),7)</f>
        <v>7</v>
      </c>
      <c r="H1722" s="208">
        <v>32.35</v>
      </c>
      <c r="I1722" s="208"/>
      <c r="J1722" s="208" t="s">
        <v>121</v>
      </c>
      <c r="K1722" s="208"/>
      <c r="L1722" s="208" t="str">
        <v xml:space="preserve"> 32.35</v>
      </c>
      <c r="M1722" s="208" t="str">
        <v/>
      </c>
    </row>
    <row r="1723" spans="1:13" ht="14.4">
      <c r="A1723" s="199" t="str">
        <f ca="1">IFERROR(__xludf.DUMMYFUNCTION("""COMPUTED_VALUE"""),"RFD")</f>
        <v>RFD</v>
      </c>
      <c r="B1723" s="207" t="str">
        <f ca="1">IFERROR(__xludf.DUMMYFUNCTION("""COMPUTED_VALUE"""),"Mary Kate Dobrydney")</f>
        <v>Mary Kate Dobrydney</v>
      </c>
      <c r="C1723" s="199">
        <f ca="1">IFERROR(__xludf.DUMMYFUNCTION("""COMPUTED_VALUE"""),10)</f>
        <v>10</v>
      </c>
      <c r="D1723" s="199" t="str">
        <f ca="1">IFERROR(__xludf.DUMMYFUNCTION("""COMPUTED_VALUE"""),"G")</f>
        <v>G</v>
      </c>
      <c r="E1723" s="202" t="str">
        <f ca="1">IFERROR(__xludf.DUMMYFUNCTION("""COMPUTED_VALUE"""),"F")</f>
        <v>F</v>
      </c>
      <c r="F1723" s="202" t="str">
        <f ca="1">IFERROR(__xludf.DUMMYFUNCTION("""COMPUTED_VALUE"""),"J")</f>
        <v>J</v>
      </c>
      <c r="G1723" s="202">
        <f ca="1">IFERROR(__xludf.DUMMYFUNCTION("""COMPUTED_VALUE"""),7)</f>
        <v>7</v>
      </c>
      <c r="H1723" s="208"/>
      <c r="I1723" s="208"/>
      <c r="J1723" s="208"/>
      <c r="K1723" s="208"/>
      <c r="L1723" s="208" t="str">
        <v/>
      </c>
      <c r="M1723" s="208" t="str">
        <v/>
      </c>
    </row>
    <row r="1724" spans="1:13" ht="14.4">
      <c r="A1724" s="199" t="str">
        <f ca="1">IFERROR(__xludf.DUMMYFUNCTION("""COMPUTED_VALUE"""),"RFD")</f>
        <v>RFD</v>
      </c>
      <c r="B1724" s="207" t="str">
        <f ca="1">IFERROR(__xludf.DUMMYFUNCTION("""COMPUTED_VALUE"""),"Mimi Braswell")</f>
        <v>Mimi Braswell</v>
      </c>
      <c r="C1724" s="199">
        <f ca="1">IFERROR(__xludf.DUMMYFUNCTION("""COMPUTED_VALUE"""),9)</f>
        <v>9</v>
      </c>
      <c r="D1724" s="199" t="str">
        <f ca="1">IFERROR(__xludf.DUMMYFUNCTION("""COMPUTED_VALUE"""),"G")</f>
        <v>G</v>
      </c>
      <c r="E1724" s="202" t="str">
        <f ca="1">IFERROR(__xludf.DUMMYFUNCTION("""COMPUTED_VALUE"""),"F")</f>
        <v>F</v>
      </c>
      <c r="F1724" s="202" t="str">
        <f ca="1">IFERROR(__xludf.DUMMYFUNCTION("""COMPUTED_VALUE"""),"J")</f>
        <v>J</v>
      </c>
      <c r="G1724" s="202">
        <f ca="1">IFERROR(__xludf.DUMMYFUNCTION("""COMPUTED_VALUE"""),7)</f>
        <v>7</v>
      </c>
      <c r="H1724" s="208"/>
      <c r="I1724" s="208"/>
      <c r="J1724" s="208"/>
      <c r="K1724" s="208"/>
      <c r="L1724" s="208" t="str">
        <v/>
      </c>
      <c r="M1724" s="208" t="str">
        <v/>
      </c>
    </row>
    <row r="1725" spans="1:13" ht="14.4">
      <c r="A1725" s="199" t="str">
        <f ca="1">IFERROR(__xludf.DUMMYFUNCTION("""COMPUTED_VALUE"""),"RFD")</f>
        <v>RFD</v>
      </c>
      <c r="B1725" s="207" t="str">
        <f ca="1">IFERROR(__xludf.DUMMYFUNCTION("""COMPUTED_VALUE"""),"Sarah Bosch")</f>
        <v>Sarah Bosch</v>
      </c>
      <c r="C1725" s="199">
        <f ca="1">IFERROR(__xludf.DUMMYFUNCTION("""COMPUTED_VALUE"""),10)</f>
        <v>10</v>
      </c>
      <c r="D1725" s="199" t="str">
        <f ca="1">IFERROR(__xludf.DUMMYFUNCTION("""COMPUTED_VALUE"""),"G")</f>
        <v>G</v>
      </c>
      <c r="E1725" s="202" t="str">
        <f ca="1">IFERROR(__xludf.DUMMYFUNCTION("""COMPUTED_VALUE"""),"F")</f>
        <v>F</v>
      </c>
      <c r="F1725" s="202" t="str">
        <f ca="1">IFERROR(__xludf.DUMMYFUNCTION("""COMPUTED_VALUE"""),"J")</f>
        <v>J</v>
      </c>
      <c r="G1725" s="202">
        <f ca="1">IFERROR(__xludf.DUMMYFUNCTION("""COMPUTED_VALUE"""),7)</f>
        <v>7</v>
      </c>
      <c r="H1725" s="208"/>
      <c r="I1725" s="208"/>
      <c r="J1725" s="208"/>
      <c r="K1725" s="208"/>
      <c r="L1725" s="208" t="str">
        <v/>
      </c>
      <c r="M1725" s="208" t="str">
        <v/>
      </c>
    </row>
    <row r="1726" spans="1:13" ht="14.4">
      <c r="A1726" s="199" t="str">
        <f ca="1">IFERROR(__xludf.DUMMYFUNCTION("""COMPUTED_VALUE"""),"RFD")</f>
        <v>RFD</v>
      </c>
      <c r="B1726" s="207" t="str">
        <f ca="1">IFERROR(__xludf.DUMMYFUNCTION("""COMPUTED_VALUE"""),"Teny Davitian")</f>
        <v>Teny Davitian</v>
      </c>
      <c r="C1726" s="199">
        <f ca="1">IFERROR(__xludf.DUMMYFUNCTION("""COMPUTED_VALUE"""),10)</f>
        <v>10</v>
      </c>
      <c r="D1726" s="199" t="str">
        <f ca="1">IFERROR(__xludf.DUMMYFUNCTION("""COMPUTED_VALUE"""),"G")</f>
        <v>G</v>
      </c>
      <c r="E1726" s="202" t="str">
        <f ca="1">IFERROR(__xludf.DUMMYFUNCTION("""COMPUTED_VALUE"""),"F")</f>
        <v>F</v>
      </c>
      <c r="F1726" s="202" t="str">
        <f ca="1">IFERROR(__xludf.DUMMYFUNCTION("""COMPUTED_VALUE"""),"J")</f>
        <v>J</v>
      </c>
      <c r="G1726" s="202">
        <f ca="1">IFERROR(__xludf.DUMMYFUNCTION("""COMPUTED_VALUE"""),7)</f>
        <v>7</v>
      </c>
      <c r="H1726" s="208">
        <v>45.7</v>
      </c>
      <c r="I1726" s="208"/>
      <c r="J1726" s="208" t="s">
        <v>121</v>
      </c>
      <c r="K1726" s="208"/>
      <c r="L1726" s="208" t="str">
        <v xml:space="preserve"> 45.7</v>
      </c>
      <c r="M1726" s="208" t="str">
        <v/>
      </c>
    </row>
    <row r="1727" spans="1:13" ht="14.4">
      <c r="A1727" s="199" t="str">
        <f ca="1">IFERROR(__xludf.DUMMYFUNCTION("""COMPUTED_VALUE"""),"RFD")</f>
        <v>RFD</v>
      </c>
      <c r="B1727" s="207" t="str">
        <f ca="1">IFERROR(__xludf.DUMMYFUNCTION("""COMPUTED_VALUE"""),"Liam Wade")</f>
        <v>Liam Wade</v>
      </c>
      <c r="C1727" s="199">
        <f ca="1">IFERROR(__xludf.DUMMYFUNCTION("""COMPUTED_VALUE"""),13)</f>
        <v>13</v>
      </c>
      <c r="D1727" s="199" t="str">
        <f ca="1">IFERROR(__xludf.DUMMYFUNCTION("""COMPUTED_VALUE"""),"B")</f>
        <v>B</v>
      </c>
      <c r="E1727" s="202" t="str">
        <f ca="1">IFERROR(__xludf.DUMMYFUNCTION("""COMPUTED_VALUE"""),"I")</f>
        <v>I</v>
      </c>
      <c r="F1727" s="202" t="str">
        <f ca="1">IFERROR(__xludf.DUMMYFUNCTION("""COMPUTED_VALUE"""),"S")</f>
        <v>S</v>
      </c>
      <c r="G1727" s="202">
        <f ca="1">IFERROR(__xludf.DUMMYFUNCTION("""COMPUTED_VALUE"""),7)</f>
        <v>7</v>
      </c>
      <c r="H1727" s="208"/>
      <c r="I1727" s="208">
        <v>78.5</v>
      </c>
      <c r="J1727" s="208"/>
      <c r="K1727" s="208" t="s">
        <v>121</v>
      </c>
      <c r="L1727" s="208" t="str">
        <v xml:space="preserve"> 78.5</v>
      </c>
      <c r="M1727" s="208" t="str">
        <v/>
      </c>
    </row>
    <row r="1728" spans="1:13" ht="14.4">
      <c r="A1728" s="199" t="str">
        <f ca="1">IFERROR(__xludf.DUMMYFUNCTION("""COMPUTED_VALUE"""),"RFD")</f>
        <v>RFD</v>
      </c>
      <c r="B1728" s="207" t="str">
        <f ca="1">IFERROR(__xludf.DUMMYFUNCTION("""COMPUTED_VALUE"""),"Claire Dobrydney")</f>
        <v>Claire Dobrydney</v>
      </c>
      <c r="C1728" s="199">
        <f ca="1">IFERROR(__xludf.DUMMYFUNCTION("""COMPUTED_VALUE"""),13)</f>
        <v>13</v>
      </c>
      <c r="D1728" s="199" t="str">
        <f ca="1">IFERROR(__xludf.DUMMYFUNCTION("""COMPUTED_VALUE"""),"G")</f>
        <v>G</v>
      </c>
      <c r="E1728" s="202" t="str">
        <f ca="1">IFERROR(__xludf.DUMMYFUNCTION("""COMPUTED_VALUE"""),"I")</f>
        <v>I</v>
      </c>
      <c r="F1728" s="202" t="str">
        <f ca="1">IFERROR(__xludf.DUMMYFUNCTION("""COMPUTED_VALUE"""),"S")</f>
        <v>S</v>
      </c>
      <c r="G1728" s="202">
        <f ca="1">IFERROR(__xludf.DUMMYFUNCTION("""COMPUTED_VALUE"""),7)</f>
        <v>7</v>
      </c>
      <c r="H1728" s="208"/>
      <c r="I1728" s="208"/>
      <c r="J1728" s="208"/>
      <c r="K1728" s="208"/>
      <c r="L1728" s="208" t="str">
        <v/>
      </c>
      <c r="M1728" s="208" t="str">
        <v/>
      </c>
    </row>
    <row r="1729" spans="1:13" ht="14.4">
      <c r="A1729" s="199" t="str">
        <f ca="1">IFERROR(__xludf.DUMMYFUNCTION("""COMPUTED_VALUE"""),"RFD")</f>
        <v>RFD</v>
      </c>
      <c r="B1729" s="207" t="str">
        <f ca="1">IFERROR(__xludf.DUMMYFUNCTION("""COMPUTED_VALUE"""),"Emma Norsky")</f>
        <v>Emma Norsky</v>
      </c>
      <c r="C1729" s="199">
        <f ca="1">IFERROR(__xludf.DUMMYFUNCTION("""COMPUTED_VALUE"""),14)</f>
        <v>14</v>
      </c>
      <c r="D1729" s="199" t="str">
        <f ca="1">IFERROR(__xludf.DUMMYFUNCTION("""COMPUTED_VALUE"""),"G")</f>
        <v>G</v>
      </c>
      <c r="E1729" s="202" t="str">
        <f ca="1">IFERROR(__xludf.DUMMYFUNCTION("""COMPUTED_VALUE"""),"I")</f>
        <v>I</v>
      </c>
      <c r="F1729" s="202" t="str">
        <f ca="1">IFERROR(__xludf.DUMMYFUNCTION("""COMPUTED_VALUE"""),"S")</f>
        <v>S</v>
      </c>
      <c r="G1729" s="202">
        <f ca="1">IFERROR(__xludf.DUMMYFUNCTION("""COMPUTED_VALUE"""),7)</f>
        <v>7</v>
      </c>
      <c r="H1729" s="208"/>
      <c r="I1729" s="208"/>
      <c r="J1729" s="208"/>
      <c r="K1729" s="208"/>
      <c r="L1729" s="208" t="str">
        <v/>
      </c>
      <c r="M1729" s="208" t="str">
        <v/>
      </c>
    </row>
    <row r="1730" spans="1:13" ht="14.4">
      <c r="A1730" s="199" t="str">
        <f ca="1">IFERROR(__xludf.DUMMYFUNCTION("""COMPUTED_VALUE"""),"RFD")</f>
        <v>RFD</v>
      </c>
      <c r="B1730" s="207" t="str">
        <f ca="1">IFERROR(__xludf.DUMMYFUNCTION("""COMPUTED_VALUE"""),"Bradyn Brooks")</f>
        <v>Bradyn Brooks</v>
      </c>
      <c r="C1730" s="199">
        <f ca="1">IFERROR(__xludf.DUMMYFUNCTION("""COMPUTED_VALUE"""),11)</f>
        <v>11</v>
      </c>
      <c r="D1730" s="199" t="str">
        <f ca="1">IFERROR(__xludf.DUMMYFUNCTION("""COMPUTED_VALUE"""),"B")</f>
        <v>B</v>
      </c>
      <c r="E1730" s="202" t="str">
        <f ca="1">IFERROR(__xludf.DUMMYFUNCTION("""COMPUTED_VALUE"""),"J")</f>
        <v>J</v>
      </c>
      <c r="F1730" s="202" t="str">
        <f ca="1">IFERROR(__xludf.DUMMYFUNCTION("""COMPUTED_VALUE"""),"I")</f>
        <v>I</v>
      </c>
      <c r="G1730" s="202">
        <f ca="1">IFERROR(__xludf.DUMMYFUNCTION("""COMPUTED_VALUE"""),7)</f>
        <v>7</v>
      </c>
      <c r="H1730" s="208"/>
      <c r="I1730" s="208"/>
      <c r="J1730" s="208"/>
      <c r="K1730" s="208"/>
      <c r="L1730" s="208" t="str">
        <v/>
      </c>
      <c r="M1730" s="208" t="str">
        <v/>
      </c>
    </row>
    <row r="1731" spans="1:13" ht="14.4">
      <c r="A1731" s="199" t="str">
        <f ca="1">IFERROR(__xludf.DUMMYFUNCTION("""COMPUTED_VALUE"""),"RFD")</f>
        <v>RFD</v>
      </c>
      <c r="B1731" s="207" t="str">
        <f ca="1">IFERROR(__xludf.DUMMYFUNCTION("""COMPUTED_VALUE"""),"John Burns")</f>
        <v>John Burns</v>
      </c>
      <c r="C1731" s="199">
        <f ca="1">IFERROR(__xludf.DUMMYFUNCTION("""COMPUTED_VALUE"""),12)</f>
        <v>12</v>
      </c>
      <c r="D1731" s="199" t="str">
        <f ca="1">IFERROR(__xludf.DUMMYFUNCTION("""COMPUTED_VALUE"""),"B")</f>
        <v>B</v>
      </c>
      <c r="E1731" s="202" t="str">
        <f ca="1">IFERROR(__xludf.DUMMYFUNCTION("""COMPUTED_VALUE"""),"J")</f>
        <v>J</v>
      </c>
      <c r="F1731" s="202" t="str">
        <f ca="1">IFERROR(__xludf.DUMMYFUNCTION("""COMPUTED_VALUE"""),"I")</f>
        <v>I</v>
      </c>
      <c r="G1731" s="202">
        <f ca="1">IFERROR(__xludf.DUMMYFUNCTION("""COMPUTED_VALUE"""),7)</f>
        <v>7</v>
      </c>
      <c r="H1731" s="208"/>
      <c r="I1731" s="208">
        <v>59.85</v>
      </c>
      <c r="J1731" s="208"/>
      <c r="K1731" s="208" t="s">
        <v>121</v>
      </c>
      <c r="L1731" s="208" t="str">
        <v xml:space="preserve"> 59.85</v>
      </c>
      <c r="M1731" s="208" t="str">
        <v/>
      </c>
    </row>
    <row r="1732" spans="1:13" ht="14.4">
      <c r="A1732" s="199" t="str">
        <f ca="1">IFERROR(__xludf.DUMMYFUNCTION("""COMPUTED_VALUE"""),"RFD")</f>
        <v>RFD</v>
      </c>
      <c r="B1732" s="207" t="str">
        <f ca="1">IFERROR(__xludf.DUMMYFUNCTION("""COMPUTED_VALUE"""),"Roman Braswell")</f>
        <v>Roman Braswell</v>
      </c>
      <c r="C1732" s="199">
        <f ca="1">IFERROR(__xludf.DUMMYFUNCTION("""COMPUTED_VALUE"""),12)</f>
        <v>12</v>
      </c>
      <c r="D1732" s="199" t="str">
        <f ca="1">IFERROR(__xludf.DUMMYFUNCTION("""COMPUTED_VALUE"""),"B")</f>
        <v>B</v>
      </c>
      <c r="E1732" s="202" t="str">
        <f ca="1">IFERROR(__xludf.DUMMYFUNCTION("""COMPUTED_VALUE"""),"J")</f>
        <v>J</v>
      </c>
      <c r="F1732" s="202" t="str">
        <f ca="1">IFERROR(__xludf.DUMMYFUNCTION("""COMPUTED_VALUE"""),"I")</f>
        <v>I</v>
      </c>
      <c r="G1732" s="202">
        <f ca="1">IFERROR(__xludf.DUMMYFUNCTION("""COMPUTED_VALUE"""),7)</f>
        <v>7</v>
      </c>
      <c r="H1732" s="208"/>
      <c r="I1732" s="208">
        <v>127.65</v>
      </c>
      <c r="J1732" s="208"/>
      <c r="K1732" s="208" t="s">
        <v>123</v>
      </c>
      <c r="L1732" s="208" t="str">
        <v xml:space="preserve"> -127.65</v>
      </c>
      <c r="M1732" s="208" t="str">
        <v>^</v>
      </c>
    </row>
    <row r="1733" spans="1:13" ht="14.4">
      <c r="A1733" s="199" t="str">
        <f ca="1">IFERROR(__xludf.DUMMYFUNCTION("""COMPUTED_VALUE"""),"RFD")</f>
        <v>RFD</v>
      </c>
      <c r="B1733" s="207" t="str">
        <f ca="1">IFERROR(__xludf.DUMMYFUNCTION("""COMPUTED_VALUE"""),"Wyatt Fegan")</f>
        <v>Wyatt Fegan</v>
      </c>
      <c r="C1733" s="199">
        <f ca="1">IFERROR(__xludf.DUMMYFUNCTION("""COMPUTED_VALUE"""),12)</f>
        <v>12</v>
      </c>
      <c r="D1733" s="199" t="str">
        <f ca="1">IFERROR(__xludf.DUMMYFUNCTION("""COMPUTED_VALUE"""),"B")</f>
        <v>B</v>
      </c>
      <c r="E1733" s="202" t="str">
        <f ca="1">IFERROR(__xludf.DUMMYFUNCTION("""COMPUTED_VALUE"""),"J")</f>
        <v>J</v>
      </c>
      <c r="F1733" s="202" t="str">
        <f ca="1">IFERROR(__xludf.DUMMYFUNCTION("""COMPUTED_VALUE"""),"I")</f>
        <v>I</v>
      </c>
      <c r="G1733" s="202">
        <f ca="1">IFERROR(__xludf.DUMMYFUNCTION("""COMPUTED_VALUE"""),7)</f>
        <v>7</v>
      </c>
      <c r="H1733" s="208"/>
      <c r="I1733" s="208">
        <v>83.4</v>
      </c>
      <c r="J1733" s="208"/>
      <c r="K1733" s="208" t="s">
        <v>121</v>
      </c>
      <c r="L1733" s="208" t="str">
        <v xml:space="preserve"> 83.4</v>
      </c>
      <c r="M1733" s="208" t="str">
        <v/>
      </c>
    </row>
    <row r="1734" spans="1:13" ht="14.4">
      <c r="A1734" s="199" t="str">
        <f ca="1">IFERROR(__xludf.DUMMYFUNCTION("""COMPUTED_VALUE"""),"RFD")</f>
        <v>RFD</v>
      </c>
      <c r="B1734" s="207" t="str">
        <f ca="1">IFERROR(__xludf.DUMMYFUNCTION("""COMPUTED_VALUE"""),"Eva Martin")</f>
        <v>Eva Martin</v>
      </c>
      <c r="C1734" s="199">
        <f ca="1">IFERROR(__xludf.DUMMYFUNCTION("""COMPUTED_VALUE"""),12)</f>
        <v>12</v>
      </c>
      <c r="D1734" s="199" t="str">
        <f ca="1">IFERROR(__xludf.DUMMYFUNCTION("""COMPUTED_VALUE"""),"G")</f>
        <v>G</v>
      </c>
      <c r="E1734" s="202" t="str">
        <f ca="1">IFERROR(__xludf.DUMMYFUNCTION("""COMPUTED_VALUE"""),"J")</f>
        <v>J</v>
      </c>
      <c r="F1734" s="202" t="str">
        <f ca="1">IFERROR(__xludf.DUMMYFUNCTION("""COMPUTED_VALUE"""),"I")</f>
        <v>I</v>
      </c>
      <c r="G1734" s="202">
        <f ca="1">IFERROR(__xludf.DUMMYFUNCTION("""COMPUTED_VALUE"""),7)</f>
        <v>7</v>
      </c>
      <c r="H1734" s="208">
        <v>56.75</v>
      </c>
      <c r="I1734" s="208"/>
      <c r="J1734" s="208" t="s">
        <v>121</v>
      </c>
      <c r="K1734" s="208"/>
      <c r="L1734" s="208" t="str">
        <v xml:space="preserve"> 56.75</v>
      </c>
      <c r="M1734" s="208" t="str">
        <v/>
      </c>
    </row>
    <row r="1735" spans="1:13" ht="14.4">
      <c r="A1735" s="199" t="str">
        <f ca="1">IFERROR(__xludf.DUMMYFUNCTION("""COMPUTED_VALUE"""),"RFD")</f>
        <v>RFD</v>
      </c>
      <c r="B1735" s="207" t="str">
        <f ca="1">IFERROR(__xludf.DUMMYFUNCTION("""COMPUTED_VALUE"""),"Pendry Carroll")</f>
        <v>Pendry Carroll</v>
      </c>
      <c r="C1735" s="199">
        <f ca="1">IFERROR(__xludf.DUMMYFUNCTION("""COMPUTED_VALUE"""),11)</f>
        <v>11</v>
      </c>
      <c r="D1735" s="199" t="str">
        <f ca="1">IFERROR(__xludf.DUMMYFUNCTION("""COMPUTED_VALUE"""),"G")</f>
        <v>G</v>
      </c>
      <c r="E1735" s="202" t="str">
        <f ca="1">IFERROR(__xludf.DUMMYFUNCTION("""COMPUTED_VALUE"""),"J")</f>
        <v>J</v>
      </c>
      <c r="F1735" s="202" t="str">
        <f ca="1">IFERROR(__xludf.DUMMYFUNCTION("""COMPUTED_VALUE"""),"I")</f>
        <v>I</v>
      </c>
      <c r="G1735" s="202">
        <f ca="1">IFERROR(__xludf.DUMMYFUNCTION("""COMPUTED_VALUE"""),7)</f>
        <v>7</v>
      </c>
      <c r="H1735" s="208">
        <v>58.25</v>
      </c>
      <c r="I1735" s="208"/>
      <c r="J1735" s="208" t="s">
        <v>121</v>
      </c>
      <c r="K1735" s="208"/>
      <c r="L1735" s="208" t="str">
        <v xml:space="preserve"> 58.25</v>
      </c>
      <c r="M1735" s="208" t="str">
        <v/>
      </c>
    </row>
    <row r="1736" spans="1:13" ht="14.4">
      <c r="A1736" s="199" t="str">
        <f ca="1">IFERROR(__xludf.DUMMYFUNCTION("""COMPUTED_VALUE"""),"RFD")</f>
        <v>RFD</v>
      </c>
      <c r="B1736" s="207" t="str">
        <f ca="1">IFERROR(__xludf.DUMMYFUNCTION("""COMPUTED_VALUE"""),"Chris Dobrydney")</f>
        <v>Chris Dobrydney</v>
      </c>
      <c r="C1736" s="199">
        <f ca="1">IFERROR(__xludf.DUMMYFUNCTION("""COMPUTED_VALUE"""),17)</f>
        <v>17</v>
      </c>
      <c r="D1736" s="199" t="str">
        <f ca="1">IFERROR(__xludf.DUMMYFUNCTION("""COMPUTED_VALUE"""),"B")</f>
        <v>B</v>
      </c>
      <c r="E1736" s="202" t="str">
        <f ca="1">IFERROR(__xludf.DUMMYFUNCTION("""COMPUTED_VALUE"""),"S")</f>
        <v>S</v>
      </c>
      <c r="F1736" s="202" t="str">
        <f ca="1">IFERROR(__xludf.DUMMYFUNCTION("""COMPUTED_VALUE"""),"S")</f>
        <v>S</v>
      </c>
      <c r="G1736" s="202">
        <f ca="1">IFERROR(__xludf.DUMMYFUNCTION("""COMPUTED_VALUE"""),7)</f>
        <v>7</v>
      </c>
      <c r="H1736" s="208"/>
      <c r="I1736" s="208"/>
      <c r="J1736" s="208"/>
      <c r="K1736" s="208"/>
      <c r="L1736" s="208" t="str">
        <v/>
      </c>
      <c r="M1736" s="208" t="str">
        <v/>
      </c>
    </row>
    <row r="1737" spans="1:13" ht="14.4">
      <c r="A1737" s="199" t="str">
        <f ca="1">IFERROR(__xludf.DUMMYFUNCTION("""COMPUTED_VALUE"""),"RFD")</f>
        <v>RFD</v>
      </c>
      <c r="B1737" s="207" t="str">
        <f ca="1">IFERROR(__xludf.DUMMYFUNCTION("""COMPUTED_VALUE"""),"Griffin Brown")</f>
        <v>Griffin Brown</v>
      </c>
      <c r="C1737" s="199">
        <f ca="1">IFERROR(__xludf.DUMMYFUNCTION("""COMPUTED_VALUE"""),15)</f>
        <v>15</v>
      </c>
      <c r="D1737" s="199" t="str">
        <f ca="1">IFERROR(__xludf.DUMMYFUNCTION("""COMPUTED_VALUE"""),"B")</f>
        <v>B</v>
      </c>
      <c r="E1737" s="202" t="str">
        <f ca="1">IFERROR(__xludf.DUMMYFUNCTION("""COMPUTED_VALUE"""),"S")</f>
        <v>S</v>
      </c>
      <c r="F1737" s="202" t="str">
        <f ca="1">IFERROR(__xludf.DUMMYFUNCTION("""COMPUTED_VALUE"""),"S")</f>
        <v>S</v>
      </c>
      <c r="G1737" s="202">
        <f ca="1">IFERROR(__xludf.DUMMYFUNCTION("""COMPUTED_VALUE"""),7)</f>
        <v>7</v>
      </c>
      <c r="H1737" s="208"/>
      <c r="I1737" s="208"/>
      <c r="J1737" s="208"/>
      <c r="K1737" s="208"/>
      <c r="L1737" s="208" t="str">
        <v/>
      </c>
      <c r="M1737" s="208" t="str">
        <v/>
      </c>
    </row>
    <row r="1738" spans="1:13" ht="14.4">
      <c r="A1738" s="199" t="str">
        <f ca="1">IFERROR(__xludf.DUMMYFUNCTION("""COMPUTED_VALUE"""),"RFD")</f>
        <v>RFD</v>
      </c>
      <c r="B1738" s="207" t="str">
        <f ca="1">IFERROR(__xludf.DUMMYFUNCTION("""COMPUTED_VALUE"""),"Abby Deer")</f>
        <v>Abby Deer</v>
      </c>
      <c r="C1738" s="199">
        <f ca="1">IFERROR(__xludf.DUMMYFUNCTION("""COMPUTED_VALUE"""),18)</f>
        <v>18</v>
      </c>
      <c r="D1738" s="199" t="str">
        <f ca="1">IFERROR(__xludf.DUMMYFUNCTION("""COMPUTED_VALUE"""),"G")</f>
        <v>G</v>
      </c>
      <c r="E1738" s="202" t="str">
        <f ca="1">IFERROR(__xludf.DUMMYFUNCTION("""COMPUTED_VALUE"""),"S")</f>
        <v>S</v>
      </c>
      <c r="F1738" s="202" t="str">
        <f ca="1">IFERROR(__xludf.DUMMYFUNCTION("""COMPUTED_VALUE"""),"S")</f>
        <v>S</v>
      </c>
      <c r="G1738" s="202">
        <f ca="1">IFERROR(__xludf.DUMMYFUNCTION("""COMPUTED_VALUE"""),7)</f>
        <v>7</v>
      </c>
      <c r="H1738" s="208"/>
      <c r="I1738" s="208"/>
      <c r="J1738" s="208"/>
      <c r="K1738" s="208"/>
      <c r="L1738" s="208" t="str">
        <v/>
      </c>
      <c r="M1738" s="208" t="str">
        <v/>
      </c>
    </row>
    <row r="1739" spans="1:13" ht="14.4">
      <c r="A1739" s="199" t="str">
        <f ca="1">IFERROR(__xludf.DUMMYFUNCTION("""COMPUTED_VALUE"""),"RFD")</f>
        <v>RFD</v>
      </c>
      <c r="B1739" s="207" t="str">
        <f ca="1">IFERROR(__xludf.DUMMYFUNCTION("""COMPUTED_VALUE"""),"Heather Calderon")</f>
        <v>Heather Calderon</v>
      </c>
      <c r="C1739" s="199">
        <f ca="1">IFERROR(__xludf.DUMMYFUNCTION("""COMPUTED_VALUE"""),15)</f>
        <v>15</v>
      </c>
      <c r="D1739" s="199" t="str">
        <f ca="1">IFERROR(__xludf.DUMMYFUNCTION("""COMPUTED_VALUE"""),"G")</f>
        <v>G</v>
      </c>
      <c r="E1739" s="202" t="str">
        <f ca="1">IFERROR(__xludf.DUMMYFUNCTION("""COMPUTED_VALUE"""),"S")</f>
        <v>S</v>
      </c>
      <c r="F1739" s="202" t="str">
        <f ca="1">IFERROR(__xludf.DUMMYFUNCTION("""COMPUTED_VALUE"""),"S")</f>
        <v>S</v>
      </c>
      <c r="G1739" s="202">
        <f ca="1">IFERROR(__xludf.DUMMYFUNCTION("""COMPUTED_VALUE"""),7)</f>
        <v>7</v>
      </c>
      <c r="H1739" s="208"/>
      <c r="I1739" s="208"/>
      <c r="J1739" s="208"/>
      <c r="K1739" s="208"/>
      <c r="L1739" s="208" t="str">
        <v/>
      </c>
      <c r="M1739" s="208" t="str">
        <v/>
      </c>
    </row>
    <row r="1740" spans="1:13" ht="14.4">
      <c r="A1740" s="199" t="str">
        <f ca="1">IFERROR(__xludf.DUMMYFUNCTION("""COMPUTED_VALUE"""),"RH")</f>
        <v>RH</v>
      </c>
      <c r="B1740" s="207" t="str">
        <f ca="1">IFERROR(__xludf.DUMMYFUNCTION("""COMPUTED_VALUE"""),"Brodie Kuehne")</f>
        <v>Brodie Kuehne</v>
      </c>
      <c r="C1740" s="199">
        <f ca="1">IFERROR(__xludf.DUMMYFUNCTION("""COMPUTED_VALUE"""),7)</f>
        <v>7</v>
      </c>
      <c r="D1740" s="199" t="str">
        <f ca="1">IFERROR(__xludf.DUMMYFUNCTION("""COMPUTED_VALUE"""),"B")</f>
        <v>B</v>
      </c>
      <c r="E1740" s="202" t="str">
        <f ca="1">IFERROR(__xludf.DUMMYFUNCTION("""COMPUTED_VALUE"""),"F")</f>
        <v>F</v>
      </c>
      <c r="F1740" s="202" t="str">
        <f ca="1">IFERROR(__xludf.DUMMYFUNCTION("""COMPUTED_VALUE"""),"J")</f>
        <v>J</v>
      </c>
      <c r="G1740" s="202">
        <f ca="1">IFERROR(__xludf.DUMMYFUNCTION("""COMPUTED_VALUE"""),5)</f>
        <v>5</v>
      </c>
      <c r="H1740" s="208"/>
      <c r="I1740" s="208">
        <v>31.15</v>
      </c>
      <c r="J1740" s="208"/>
      <c r="K1740" s="208" t="s">
        <v>121</v>
      </c>
      <c r="L1740" s="208" t="str">
        <v xml:space="preserve"> 31.15</v>
      </c>
      <c r="M1740" s="208" t="str">
        <v/>
      </c>
    </row>
    <row r="1741" spans="1:13" ht="14.4">
      <c r="A1741" s="199" t="str">
        <f ca="1">IFERROR(__xludf.DUMMYFUNCTION("""COMPUTED_VALUE"""),"RH")</f>
        <v>RH</v>
      </c>
      <c r="B1741" s="207" t="str">
        <f ca="1">IFERROR(__xludf.DUMMYFUNCTION("""COMPUTED_VALUE"""),"Cameron Sauchuk")</f>
        <v>Cameron Sauchuk</v>
      </c>
      <c r="C1741" s="199">
        <f ca="1">IFERROR(__xludf.DUMMYFUNCTION("""COMPUTED_VALUE"""),10)</f>
        <v>10</v>
      </c>
      <c r="D1741" s="199" t="str">
        <f ca="1">IFERROR(__xludf.DUMMYFUNCTION("""COMPUTED_VALUE"""),"B")</f>
        <v>B</v>
      </c>
      <c r="E1741" s="202" t="str">
        <f ca="1">IFERROR(__xludf.DUMMYFUNCTION("""COMPUTED_VALUE"""),"F")</f>
        <v>F</v>
      </c>
      <c r="F1741" s="202" t="str">
        <f ca="1">IFERROR(__xludf.DUMMYFUNCTION("""COMPUTED_VALUE"""),"J")</f>
        <v>J</v>
      </c>
      <c r="G1741" s="202">
        <f ca="1">IFERROR(__xludf.DUMMYFUNCTION("""COMPUTED_VALUE"""),5)</f>
        <v>5</v>
      </c>
      <c r="H1741" s="208"/>
      <c r="I1741" s="208">
        <v>35.85</v>
      </c>
      <c r="J1741" s="208"/>
      <c r="K1741" s="208" t="s">
        <v>121</v>
      </c>
      <c r="L1741" s="208" t="str">
        <v xml:space="preserve"> 35.85</v>
      </c>
      <c r="M1741" s="208" t="str">
        <v/>
      </c>
    </row>
    <row r="1742" spans="1:13" ht="14.4">
      <c r="A1742" s="199" t="str">
        <f ca="1">IFERROR(__xludf.DUMMYFUNCTION("""COMPUTED_VALUE"""),"RH")</f>
        <v>RH</v>
      </c>
      <c r="B1742" s="207" t="str">
        <f ca="1">IFERROR(__xludf.DUMMYFUNCTION("""COMPUTED_VALUE"""),"Curt Berry")</f>
        <v>Curt Berry</v>
      </c>
      <c r="C1742" s="199">
        <f ca="1">IFERROR(__xludf.DUMMYFUNCTION("""COMPUTED_VALUE"""),8)</f>
        <v>8</v>
      </c>
      <c r="D1742" s="199" t="str">
        <f ca="1">IFERROR(__xludf.DUMMYFUNCTION("""COMPUTED_VALUE"""),"B")</f>
        <v>B</v>
      </c>
      <c r="E1742" s="202" t="str">
        <f ca="1">IFERROR(__xludf.DUMMYFUNCTION("""COMPUTED_VALUE"""),"F")</f>
        <v>F</v>
      </c>
      <c r="F1742" s="202" t="str">
        <f ca="1">IFERROR(__xludf.DUMMYFUNCTION("""COMPUTED_VALUE"""),"J")</f>
        <v>J</v>
      </c>
      <c r="G1742" s="202">
        <f ca="1">IFERROR(__xludf.DUMMYFUNCTION("""COMPUTED_VALUE"""),5)</f>
        <v>5</v>
      </c>
      <c r="H1742" s="208"/>
      <c r="I1742" s="208"/>
      <c r="J1742" s="208"/>
      <c r="K1742" s="208"/>
      <c r="L1742" s="208" t="str">
        <v/>
      </c>
      <c r="M1742" s="208" t="str">
        <v/>
      </c>
    </row>
    <row r="1743" spans="1:13" ht="14.4">
      <c r="A1743" s="199" t="str">
        <f ca="1">IFERROR(__xludf.DUMMYFUNCTION("""COMPUTED_VALUE"""),"RH")</f>
        <v>RH</v>
      </c>
      <c r="B1743" s="207" t="str">
        <f ca="1">IFERROR(__xludf.DUMMYFUNCTION("""COMPUTED_VALUE"""),"Gabe Newtson")</f>
        <v>Gabe Newtson</v>
      </c>
      <c r="C1743" s="199">
        <f ca="1">IFERROR(__xludf.DUMMYFUNCTION("""COMPUTED_VALUE"""),10)</f>
        <v>10</v>
      </c>
      <c r="D1743" s="199" t="str">
        <f ca="1">IFERROR(__xludf.DUMMYFUNCTION("""COMPUTED_VALUE"""),"B")</f>
        <v>B</v>
      </c>
      <c r="E1743" s="202" t="str">
        <f ca="1">IFERROR(__xludf.DUMMYFUNCTION("""COMPUTED_VALUE"""),"F")</f>
        <v>F</v>
      </c>
      <c r="F1743" s="202" t="str">
        <f ca="1">IFERROR(__xludf.DUMMYFUNCTION("""COMPUTED_VALUE"""),"J")</f>
        <v>J</v>
      </c>
      <c r="G1743" s="202">
        <f ca="1">IFERROR(__xludf.DUMMYFUNCTION("""COMPUTED_VALUE"""),5)</f>
        <v>5</v>
      </c>
      <c r="H1743" s="208"/>
      <c r="I1743" s="208"/>
      <c r="J1743" s="208"/>
      <c r="K1743" s="208"/>
      <c r="L1743" s="208" t="str">
        <v/>
      </c>
      <c r="M1743" s="208" t="str">
        <v/>
      </c>
    </row>
    <row r="1744" spans="1:13" ht="14.4">
      <c r="A1744" s="199" t="str">
        <f ca="1">IFERROR(__xludf.DUMMYFUNCTION("""COMPUTED_VALUE"""),"RH")</f>
        <v>RH</v>
      </c>
      <c r="B1744" s="207" t="str">
        <f ca="1">IFERROR(__xludf.DUMMYFUNCTION("""COMPUTED_VALUE"""),"Hudson Lynch")</f>
        <v>Hudson Lynch</v>
      </c>
      <c r="C1744" s="199">
        <f ca="1">IFERROR(__xludf.DUMMYFUNCTION("""COMPUTED_VALUE"""),10)</f>
        <v>10</v>
      </c>
      <c r="D1744" s="199" t="str">
        <f ca="1">IFERROR(__xludf.DUMMYFUNCTION("""COMPUTED_VALUE"""),"B")</f>
        <v>B</v>
      </c>
      <c r="E1744" s="202" t="str">
        <f ca="1">IFERROR(__xludf.DUMMYFUNCTION("""COMPUTED_VALUE"""),"F")</f>
        <v>F</v>
      </c>
      <c r="F1744" s="202" t="str">
        <f ca="1">IFERROR(__xludf.DUMMYFUNCTION("""COMPUTED_VALUE"""),"J")</f>
        <v>J</v>
      </c>
      <c r="G1744" s="202">
        <f ca="1">IFERROR(__xludf.DUMMYFUNCTION("""COMPUTED_VALUE"""),5)</f>
        <v>5</v>
      </c>
      <c r="H1744" s="208"/>
      <c r="I1744" s="208">
        <v>59.2</v>
      </c>
      <c r="J1744" s="208"/>
      <c r="K1744" s="208" t="s">
        <v>121</v>
      </c>
      <c r="L1744" s="208" t="str">
        <v xml:space="preserve"> 59.2</v>
      </c>
      <c r="M1744" s="208" t="str">
        <v/>
      </c>
    </row>
    <row r="1745" spans="1:13" ht="14.4">
      <c r="A1745" s="199" t="str">
        <f ca="1">IFERROR(__xludf.DUMMYFUNCTION("""COMPUTED_VALUE"""),"RH")</f>
        <v>RH</v>
      </c>
      <c r="B1745" s="207" t="str">
        <f ca="1">IFERROR(__xludf.DUMMYFUNCTION("""COMPUTED_VALUE"""),"Jack Flanagan")</f>
        <v>Jack Flanagan</v>
      </c>
      <c r="C1745" s="199">
        <f ca="1">IFERROR(__xludf.DUMMYFUNCTION("""COMPUTED_VALUE"""),9)</f>
        <v>9</v>
      </c>
      <c r="D1745" s="199" t="str">
        <f ca="1">IFERROR(__xludf.DUMMYFUNCTION("""COMPUTED_VALUE"""),"B")</f>
        <v>B</v>
      </c>
      <c r="E1745" s="202" t="str">
        <f ca="1">IFERROR(__xludf.DUMMYFUNCTION("""COMPUTED_VALUE"""),"F")</f>
        <v>F</v>
      </c>
      <c r="F1745" s="202" t="str">
        <f ca="1">IFERROR(__xludf.DUMMYFUNCTION("""COMPUTED_VALUE"""),"J")</f>
        <v>J</v>
      </c>
      <c r="G1745" s="202">
        <f ca="1">IFERROR(__xludf.DUMMYFUNCTION("""COMPUTED_VALUE"""),5)</f>
        <v>5</v>
      </c>
      <c r="H1745" s="208"/>
      <c r="I1745" s="208">
        <v>51.75</v>
      </c>
      <c r="J1745" s="208"/>
      <c r="K1745" s="208" t="s">
        <v>121</v>
      </c>
      <c r="L1745" s="208" t="str">
        <v xml:space="preserve"> 51.75</v>
      </c>
      <c r="M1745" s="208" t="str">
        <v/>
      </c>
    </row>
    <row r="1746" spans="1:13" ht="14.4">
      <c r="A1746" s="199" t="str">
        <f ca="1">IFERROR(__xludf.DUMMYFUNCTION("""COMPUTED_VALUE"""),"RH")</f>
        <v>RH</v>
      </c>
      <c r="B1746" s="207" t="str">
        <f ca="1">IFERROR(__xludf.DUMMYFUNCTION("""COMPUTED_VALUE"""),"Jackson Waller")</f>
        <v>Jackson Waller</v>
      </c>
      <c r="C1746" s="199">
        <f ca="1">IFERROR(__xludf.DUMMYFUNCTION("""COMPUTED_VALUE"""),9)</f>
        <v>9</v>
      </c>
      <c r="D1746" s="199" t="str">
        <f ca="1">IFERROR(__xludf.DUMMYFUNCTION("""COMPUTED_VALUE"""),"B")</f>
        <v>B</v>
      </c>
      <c r="E1746" s="202" t="str">
        <f ca="1">IFERROR(__xludf.DUMMYFUNCTION("""COMPUTED_VALUE"""),"F")</f>
        <v>F</v>
      </c>
      <c r="F1746" s="202" t="str">
        <f ca="1">IFERROR(__xludf.DUMMYFUNCTION("""COMPUTED_VALUE"""),"J")</f>
        <v>J</v>
      </c>
      <c r="G1746" s="202">
        <f ca="1">IFERROR(__xludf.DUMMYFUNCTION("""COMPUTED_VALUE"""),5)</f>
        <v>5</v>
      </c>
      <c r="H1746" s="208"/>
      <c r="I1746" s="208"/>
      <c r="J1746" s="208"/>
      <c r="K1746" s="208"/>
      <c r="L1746" s="208" t="str">
        <v/>
      </c>
      <c r="M1746" s="208" t="str">
        <v/>
      </c>
    </row>
    <row r="1747" spans="1:13" ht="14.4">
      <c r="A1747" s="199" t="str">
        <f ca="1">IFERROR(__xludf.DUMMYFUNCTION("""COMPUTED_VALUE"""),"RH")</f>
        <v>RH</v>
      </c>
      <c r="B1747" s="207" t="str">
        <f ca="1">IFERROR(__xludf.DUMMYFUNCTION("""COMPUTED_VALUE"""),"Jacob Forbes")</f>
        <v>Jacob Forbes</v>
      </c>
      <c r="C1747" s="199">
        <f ca="1">IFERROR(__xludf.DUMMYFUNCTION("""COMPUTED_VALUE"""),9)</f>
        <v>9</v>
      </c>
      <c r="D1747" s="199" t="str">
        <f ca="1">IFERROR(__xludf.DUMMYFUNCTION("""COMPUTED_VALUE"""),"B")</f>
        <v>B</v>
      </c>
      <c r="E1747" s="202" t="str">
        <f ca="1">IFERROR(__xludf.DUMMYFUNCTION("""COMPUTED_VALUE"""),"F")</f>
        <v>F</v>
      </c>
      <c r="F1747" s="202" t="str">
        <f ca="1">IFERROR(__xludf.DUMMYFUNCTION("""COMPUTED_VALUE"""),"J")</f>
        <v>J</v>
      </c>
      <c r="G1747" s="202">
        <f ca="1">IFERROR(__xludf.DUMMYFUNCTION("""COMPUTED_VALUE"""),5)</f>
        <v>5</v>
      </c>
      <c r="H1747" s="208"/>
      <c r="I1747" s="208"/>
      <c r="J1747" s="208"/>
      <c r="K1747" s="208"/>
      <c r="L1747" s="208" t="str">
        <v/>
      </c>
      <c r="M1747" s="208" t="str">
        <v/>
      </c>
    </row>
    <row r="1748" spans="1:13" ht="14.4">
      <c r="A1748" s="199" t="str">
        <f ca="1">IFERROR(__xludf.DUMMYFUNCTION("""COMPUTED_VALUE"""),"RH")</f>
        <v>RH</v>
      </c>
      <c r="B1748" s="207" t="str">
        <f ca="1">IFERROR(__xludf.DUMMYFUNCTION("""COMPUTED_VALUE"""),"Jacob Hurt")</f>
        <v>Jacob Hurt</v>
      </c>
      <c r="C1748" s="199">
        <f ca="1">IFERROR(__xludf.DUMMYFUNCTION("""COMPUTED_VALUE"""),10)</f>
        <v>10</v>
      </c>
      <c r="D1748" s="199" t="str">
        <f ca="1">IFERROR(__xludf.DUMMYFUNCTION("""COMPUTED_VALUE"""),"B")</f>
        <v>B</v>
      </c>
      <c r="E1748" s="202" t="str">
        <f ca="1">IFERROR(__xludf.DUMMYFUNCTION("""COMPUTED_VALUE"""),"F")</f>
        <v>F</v>
      </c>
      <c r="F1748" s="202" t="str">
        <f ca="1">IFERROR(__xludf.DUMMYFUNCTION("""COMPUTED_VALUE"""),"J")</f>
        <v>J</v>
      </c>
      <c r="G1748" s="202">
        <f ca="1">IFERROR(__xludf.DUMMYFUNCTION("""COMPUTED_VALUE"""),5)</f>
        <v>5</v>
      </c>
      <c r="H1748" s="208"/>
      <c r="I1748" s="208">
        <v>49.6</v>
      </c>
      <c r="J1748" s="208"/>
      <c r="K1748" s="208" t="s">
        <v>121</v>
      </c>
      <c r="L1748" s="208" t="str">
        <v xml:space="preserve"> 49.6</v>
      </c>
      <c r="M1748" s="208" t="str">
        <v/>
      </c>
    </row>
    <row r="1749" spans="1:13" ht="14.4">
      <c r="A1749" s="199" t="str">
        <f ca="1">IFERROR(__xludf.DUMMYFUNCTION("""COMPUTED_VALUE"""),"RH")</f>
        <v>RH</v>
      </c>
      <c r="B1749" s="207" t="str">
        <f ca="1">IFERROR(__xludf.DUMMYFUNCTION("""COMPUTED_VALUE"""),"Leo Yarmolovich")</f>
        <v>Leo Yarmolovich</v>
      </c>
      <c r="C1749" s="199">
        <f ca="1">IFERROR(__xludf.DUMMYFUNCTION("""COMPUTED_VALUE"""),7)</f>
        <v>7</v>
      </c>
      <c r="D1749" s="199" t="str">
        <f ca="1">IFERROR(__xludf.DUMMYFUNCTION("""COMPUTED_VALUE"""),"B")</f>
        <v>B</v>
      </c>
      <c r="E1749" s="202" t="str">
        <f ca="1">IFERROR(__xludf.DUMMYFUNCTION("""COMPUTED_VALUE"""),"F")</f>
        <v>F</v>
      </c>
      <c r="F1749" s="202" t="str">
        <f ca="1">IFERROR(__xludf.DUMMYFUNCTION("""COMPUTED_VALUE"""),"J")</f>
        <v>J</v>
      </c>
      <c r="G1749" s="202">
        <f ca="1">IFERROR(__xludf.DUMMYFUNCTION("""COMPUTED_VALUE"""),5)</f>
        <v>5</v>
      </c>
      <c r="H1749" s="208"/>
      <c r="I1749" s="208"/>
      <c r="J1749" s="208"/>
      <c r="K1749" s="208"/>
      <c r="L1749" s="208" t="str">
        <v/>
      </c>
      <c r="M1749" s="208" t="str">
        <v/>
      </c>
    </row>
    <row r="1750" spans="1:13" ht="14.4">
      <c r="A1750" s="199" t="str">
        <f ca="1">IFERROR(__xludf.DUMMYFUNCTION("""COMPUTED_VALUE"""),"RH")</f>
        <v>RH</v>
      </c>
      <c r="B1750" s="207" t="str">
        <f ca="1">IFERROR(__xludf.DUMMYFUNCTION("""COMPUTED_VALUE"""),"Oliver Matthews")</f>
        <v>Oliver Matthews</v>
      </c>
      <c r="C1750" s="199">
        <f ca="1">IFERROR(__xludf.DUMMYFUNCTION("""COMPUTED_VALUE"""),10)</f>
        <v>10</v>
      </c>
      <c r="D1750" s="199" t="str">
        <f ca="1">IFERROR(__xludf.DUMMYFUNCTION("""COMPUTED_VALUE"""),"B")</f>
        <v>B</v>
      </c>
      <c r="E1750" s="202" t="str">
        <f ca="1">IFERROR(__xludf.DUMMYFUNCTION("""COMPUTED_VALUE"""),"F")</f>
        <v>F</v>
      </c>
      <c r="F1750" s="202" t="str">
        <f ca="1">IFERROR(__xludf.DUMMYFUNCTION("""COMPUTED_VALUE"""),"J")</f>
        <v>J</v>
      </c>
      <c r="G1750" s="202">
        <f ca="1">IFERROR(__xludf.DUMMYFUNCTION("""COMPUTED_VALUE"""),5)</f>
        <v>5</v>
      </c>
      <c r="H1750" s="208"/>
      <c r="I1750" s="208">
        <v>31.25</v>
      </c>
      <c r="J1750" s="208"/>
      <c r="K1750" s="208" t="s">
        <v>121</v>
      </c>
      <c r="L1750" s="208" t="str">
        <v xml:space="preserve"> 31.25</v>
      </c>
      <c r="M1750" s="208" t="str">
        <v/>
      </c>
    </row>
    <row r="1751" spans="1:13" ht="14.4">
      <c r="A1751" s="199" t="str">
        <f ca="1">IFERROR(__xludf.DUMMYFUNCTION("""COMPUTED_VALUE"""),"RH")</f>
        <v>RH</v>
      </c>
      <c r="B1751" s="207" t="str">
        <f ca="1">IFERROR(__xludf.DUMMYFUNCTION("""COMPUTED_VALUE"""),"Roman Garza")</f>
        <v>Roman Garza</v>
      </c>
      <c r="C1751" s="199">
        <f ca="1">IFERROR(__xludf.DUMMYFUNCTION("""COMPUTED_VALUE"""),8)</f>
        <v>8</v>
      </c>
      <c r="D1751" s="199" t="str">
        <f ca="1">IFERROR(__xludf.DUMMYFUNCTION("""COMPUTED_VALUE"""),"B")</f>
        <v>B</v>
      </c>
      <c r="E1751" s="202" t="str">
        <f ca="1">IFERROR(__xludf.DUMMYFUNCTION("""COMPUTED_VALUE"""),"F")</f>
        <v>F</v>
      </c>
      <c r="F1751" s="202" t="str">
        <f ca="1">IFERROR(__xludf.DUMMYFUNCTION("""COMPUTED_VALUE"""),"J")</f>
        <v>J</v>
      </c>
      <c r="G1751" s="202">
        <f ca="1">IFERROR(__xludf.DUMMYFUNCTION("""COMPUTED_VALUE"""),5)</f>
        <v>5</v>
      </c>
      <c r="H1751" s="208"/>
      <c r="I1751" s="208"/>
      <c r="J1751" s="208"/>
      <c r="K1751" s="208"/>
      <c r="L1751" s="208" t="str">
        <v/>
      </c>
      <c r="M1751" s="208" t="str">
        <v/>
      </c>
    </row>
    <row r="1752" spans="1:13" ht="14.4">
      <c r="A1752" s="199" t="str">
        <f ca="1">IFERROR(__xludf.DUMMYFUNCTION("""COMPUTED_VALUE"""),"RH")</f>
        <v>RH</v>
      </c>
      <c r="B1752" s="207" t="str">
        <f ca="1">IFERROR(__xludf.DUMMYFUNCTION("""COMPUTED_VALUE"""),"Saxon Newell")</f>
        <v>Saxon Newell</v>
      </c>
      <c r="C1752" s="199">
        <f ca="1">IFERROR(__xludf.DUMMYFUNCTION("""COMPUTED_VALUE"""),7)</f>
        <v>7</v>
      </c>
      <c r="D1752" s="199" t="str">
        <f ca="1">IFERROR(__xludf.DUMMYFUNCTION("""COMPUTED_VALUE"""),"B")</f>
        <v>B</v>
      </c>
      <c r="E1752" s="202" t="str">
        <f ca="1">IFERROR(__xludf.DUMMYFUNCTION("""COMPUTED_VALUE"""),"F")</f>
        <v>F</v>
      </c>
      <c r="F1752" s="202" t="str">
        <f ca="1">IFERROR(__xludf.DUMMYFUNCTION("""COMPUTED_VALUE"""),"J")</f>
        <v>J</v>
      </c>
      <c r="G1752" s="202">
        <f ca="1">IFERROR(__xludf.DUMMYFUNCTION("""COMPUTED_VALUE"""),5)</f>
        <v>5</v>
      </c>
      <c r="H1752" s="208"/>
      <c r="I1752" s="208"/>
      <c r="J1752" s="208"/>
      <c r="K1752" s="208"/>
      <c r="L1752" s="208" t="str">
        <v/>
      </c>
      <c r="M1752" s="208" t="str">
        <v/>
      </c>
    </row>
    <row r="1753" spans="1:13" ht="14.4">
      <c r="A1753" s="199" t="str">
        <f ca="1">IFERROR(__xludf.DUMMYFUNCTION("""COMPUTED_VALUE"""),"RH")</f>
        <v>RH</v>
      </c>
      <c r="B1753" s="207" t="str">
        <f ca="1">IFERROR(__xludf.DUMMYFUNCTION("""COMPUTED_VALUE"""),"Winston Morgan")</f>
        <v>Winston Morgan</v>
      </c>
      <c r="C1753" s="199">
        <f ca="1">IFERROR(__xludf.DUMMYFUNCTION("""COMPUTED_VALUE"""),5)</f>
        <v>5</v>
      </c>
      <c r="D1753" s="199" t="str">
        <f ca="1">IFERROR(__xludf.DUMMYFUNCTION("""COMPUTED_VALUE"""),"B")</f>
        <v>B</v>
      </c>
      <c r="E1753" s="202" t="str">
        <f ca="1">IFERROR(__xludf.DUMMYFUNCTION("""COMPUTED_VALUE"""),"F")</f>
        <v>F</v>
      </c>
      <c r="F1753" s="202" t="str">
        <f ca="1">IFERROR(__xludf.DUMMYFUNCTION("""COMPUTED_VALUE"""),"J")</f>
        <v>J</v>
      </c>
      <c r="G1753" s="202">
        <f ca="1">IFERROR(__xludf.DUMMYFUNCTION("""COMPUTED_VALUE"""),5)</f>
        <v>5</v>
      </c>
      <c r="H1753" s="208"/>
      <c r="I1753" s="208"/>
      <c r="J1753" s="208"/>
      <c r="K1753" s="208"/>
      <c r="L1753" s="208" t="str">
        <v/>
      </c>
      <c r="M1753" s="208" t="str">
        <v/>
      </c>
    </row>
    <row r="1754" spans="1:13" ht="14.4">
      <c r="A1754" s="199" t="str">
        <f ca="1">IFERROR(__xludf.DUMMYFUNCTION("""COMPUTED_VALUE"""),"RH")</f>
        <v>RH</v>
      </c>
      <c r="B1754" s="207" t="str">
        <f ca="1">IFERROR(__xludf.DUMMYFUNCTION("""COMPUTED_VALUE"""),"Alex Morgan")</f>
        <v>Alex Morgan</v>
      </c>
      <c r="C1754" s="199">
        <f ca="1">IFERROR(__xludf.DUMMYFUNCTION("""COMPUTED_VALUE"""),8)</f>
        <v>8</v>
      </c>
      <c r="D1754" s="199" t="str">
        <f ca="1">IFERROR(__xludf.DUMMYFUNCTION("""COMPUTED_VALUE"""),"G")</f>
        <v>G</v>
      </c>
      <c r="E1754" s="202" t="str">
        <f ca="1">IFERROR(__xludf.DUMMYFUNCTION("""COMPUTED_VALUE"""),"F")</f>
        <v>F</v>
      </c>
      <c r="F1754" s="202" t="str">
        <f ca="1">IFERROR(__xludf.DUMMYFUNCTION("""COMPUTED_VALUE"""),"J")</f>
        <v>J</v>
      </c>
      <c r="G1754" s="202">
        <f ca="1">IFERROR(__xludf.DUMMYFUNCTION("""COMPUTED_VALUE"""),5)</f>
        <v>5</v>
      </c>
      <c r="H1754" s="208">
        <v>42.85</v>
      </c>
      <c r="I1754" s="208"/>
      <c r="J1754" s="208" t="s">
        <v>121</v>
      </c>
      <c r="K1754" s="208"/>
      <c r="L1754" s="208" t="str">
        <v xml:space="preserve"> 42.85</v>
      </c>
      <c r="M1754" s="208" t="str">
        <v/>
      </c>
    </row>
    <row r="1755" spans="1:13" ht="14.4">
      <c r="A1755" s="199" t="str">
        <f ca="1">IFERROR(__xludf.DUMMYFUNCTION("""COMPUTED_VALUE"""),"RH")</f>
        <v>RH</v>
      </c>
      <c r="B1755" s="207" t="str">
        <f ca="1">IFERROR(__xludf.DUMMYFUNCTION("""COMPUTED_VALUE"""),"Alysa Gaona")</f>
        <v>Alysa Gaona</v>
      </c>
      <c r="C1755" s="199">
        <f ca="1">IFERROR(__xludf.DUMMYFUNCTION("""COMPUTED_VALUE"""),10)</f>
        <v>10</v>
      </c>
      <c r="D1755" s="199" t="str">
        <f ca="1">IFERROR(__xludf.DUMMYFUNCTION("""COMPUTED_VALUE"""),"G")</f>
        <v>G</v>
      </c>
      <c r="E1755" s="202" t="str">
        <f ca="1">IFERROR(__xludf.DUMMYFUNCTION("""COMPUTED_VALUE"""),"F")</f>
        <v>F</v>
      </c>
      <c r="F1755" s="202" t="str">
        <f ca="1">IFERROR(__xludf.DUMMYFUNCTION("""COMPUTED_VALUE"""),"J")</f>
        <v>J</v>
      </c>
      <c r="G1755" s="202">
        <f ca="1">IFERROR(__xludf.DUMMYFUNCTION("""COMPUTED_VALUE"""),5)</f>
        <v>5</v>
      </c>
      <c r="H1755" s="208">
        <v>32.1</v>
      </c>
      <c r="I1755" s="208"/>
      <c r="J1755" s="208" t="s">
        <v>121</v>
      </c>
      <c r="K1755" s="208"/>
      <c r="L1755" s="208" t="str">
        <v xml:space="preserve"> 32.1</v>
      </c>
      <c r="M1755" s="208" t="str">
        <v/>
      </c>
    </row>
    <row r="1756" spans="1:13" ht="14.4">
      <c r="A1756" s="199" t="str">
        <f ca="1">IFERROR(__xludf.DUMMYFUNCTION("""COMPUTED_VALUE"""),"RH")</f>
        <v>RH</v>
      </c>
      <c r="B1756" s="207" t="str">
        <f ca="1">IFERROR(__xludf.DUMMYFUNCTION("""COMPUTED_VALUE"""),"Amber Harrison")</f>
        <v>Amber Harrison</v>
      </c>
      <c r="C1756" s="199">
        <f ca="1">IFERROR(__xludf.DUMMYFUNCTION("""COMPUTED_VALUE"""),10)</f>
        <v>10</v>
      </c>
      <c r="D1756" s="199" t="str">
        <f ca="1">IFERROR(__xludf.DUMMYFUNCTION("""COMPUTED_VALUE"""),"G")</f>
        <v>G</v>
      </c>
      <c r="E1756" s="202" t="str">
        <f ca="1">IFERROR(__xludf.DUMMYFUNCTION("""COMPUTED_VALUE"""),"F")</f>
        <v>F</v>
      </c>
      <c r="F1756" s="202" t="str">
        <f ca="1">IFERROR(__xludf.DUMMYFUNCTION("""COMPUTED_VALUE"""),"J")</f>
        <v>J</v>
      </c>
      <c r="G1756" s="202">
        <f ca="1">IFERROR(__xludf.DUMMYFUNCTION("""COMPUTED_VALUE"""),5)</f>
        <v>5</v>
      </c>
      <c r="H1756" s="208">
        <v>47.55</v>
      </c>
      <c r="I1756" s="208"/>
      <c r="J1756" s="208" t="s">
        <v>121</v>
      </c>
      <c r="K1756" s="208"/>
      <c r="L1756" s="208" t="str">
        <v xml:space="preserve"> 47.55</v>
      </c>
      <c r="M1756" s="208" t="str">
        <v/>
      </c>
    </row>
    <row r="1757" spans="1:13" ht="14.4">
      <c r="A1757" s="199" t="str">
        <f ca="1">IFERROR(__xludf.DUMMYFUNCTION("""COMPUTED_VALUE"""),"RH")</f>
        <v>RH</v>
      </c>
      <c r="B1757" s="207" t="str">
        <f ca="1">IFERROR(__xludf.DUMMYFUNCTION("""COMPUTED_VALUE"""),"Avery Schmitz")</f>
        <v>Avery Schmitz</v>
      </c>
      <c r="C1757" s="199">
        <f ca="1">IFERROR(__xludf.DUMMYFUNCTION("""COMPUTED_VALUE"""),8)</f>
        <v>8</v>
      </c>
      <c r="D1757" s="199" t="str">
        <f ca="1">IFERROR(__xludf.DUMMYFUNCTION("""COMPUTED_VALUE"""),"G")</f>
        <v>G</v>
      </c>
      <c r="E1757" s="202" t="str">
        <f ca="1">IFERROR(__xludf.DUMMYFUNCTION("""COMPUTED_VALUE"""),"F")</f>
        <v>F</v>
      </c>
      <c r="F1757" s="202" t="str">
        <f ca="1">IFERROR(__xludf.DUMMYFUNCTION("""COMPUTED_VALUE"""),"J")</f>
        <v>J</v>
      </c>
      <c r="G1757" s="202">
        <f ca="1">IFERROR(__xludf.DUMMYFUNCTION("""COMPUTED_VALUE"""),5)</f>
        <v>5</v>
      </c>
      <c r="H1757" s="208"/>
      <c r="I1757" s="208"/>
      <c r="J1757" s="208"/>
      <c r="K1757" s="208"/>
      <c r="L1757" s="208" t="str">
        <v/>
      </c>
      <c r="M1757" s="208" t="str">
        <v/>
      </c>
    </row>
    <row r="1758" spans="1:13" ht="14.4">
      <c r="A1758" s="199" t="str">
        <f ca="1">IFERROR(__xludf.DUMMYFUNCTION("""COMPUTED_VALUE"""),"RH")</f>
        <v>RH</v>
      </c>
      <c r="B1758" s="207" t="str">
        <f ca="1">IFERROR(__xludf.DUMMYFUNCTION("""COMPUTED_VALUE"""),"Caroline Berry")</f>
        <v>Caroline Berry</v>
      </c>
      <c r="C1758" s="199">
        <f ca="1">IFERROR(__xludf.DUMMYFUNCTION("""COMPUTED_VALUE"""),10)</f>
        <v>10</v>
      </c>
      <c r="D1758" s="199" t="str">
        <f ca="1">IFERROR(__xludf.DUMMYFUNCTION("""COMPUTED_VALUE"""),"G")</f>
        <v>G</v>
      </c>
      <c r="E1758" s="202" t="str">
        <f ca="1">IFERROR(__xludf.DUMMYFUNCTION("""COMPUTED_VALUE"""),"F")</f>
        <v>F</v>
      </c>
      <c r="F1758" s="202" t="str">
        <f ca="1">IFERROR(__xludf.DUMMYFUNCTION("""COMPUTED_VALUE"""),"J")</f>
        <v>J</v>
      </c>
      <c r="G1758" s="202">
        <f ca="1">IFERROR(__xludf.DUMMYFUNCTION("""COMPUTED_VALUE"""),5)</f>
        <v>5</v>
      </c>
      <c r="H1758" s="208"/>
      <c r="I1758" s="208"/>
      <c r="J1758" s="208"/>
      <c r="K1758" s="208"/>
      <c r="L1758" s="208" t="str">
        <v/>
      </c>
      <c r="M1758" s="208" t="str">
        <v/>
      </c>
    </row>
    <row r="1759" spans="1:13" ht="14.4">
      <c r="A1759" s="199" t="str">
        <f ca="1">IFERROR(__xludf.DUMMYFUNCTION("""COMPUTED_VALUE"""),"RH")</f>
        <v>RH</v>
      </c>
      <c r="B1759" s="207" t="str">
        <f ca="1">IFERROR(__xludf.DUMMYFUNCTION("""COMPUTED_VALUE"""),"Claire Flanagan")</f>
        <v>Claire Flanagan</v>
      </c>
      <c r="C1759" s="199">
        <f ca="1">IFERROR(__xludf.DUMMYFUNCTION("""COMPUTED_VALUE"""),7)</f>
        <v>7</v>
      </c>
      <c r="D1759" s="199" t="str">
        <f ca="1">IFERROR(__xludf.DUMMYFUNCTION("""COMPUTED_VALUE"""),"G")</f>
        <v>G</v>
      </c>
      <c r="E1759" s="202" t="str">
        <f ca="1">IFERROR(__xludf.DUMMYFUNCTION("""COMPUTED_VALUE"""),"F")</f>
        <v>F</v>
      </c>
      <c r="F1759" s="202" t="str">
        <f ca="1">IFERROR(__xludf.DUMMYFUNCTION("""COMPUTED_VALUE"""),"J")</f>
        <v>J</v>
      </c>
      <c r="G1759" s="202">
        <f ca="1">IFERROR(__xludf.DUMMYFUNCTION("""COMPUTED_VALUE"""),5)</f>
        <v>5</v>
      </c>
      <c r="H1759" s="208"/>
      <c r="I1759" s="208"/>
      <c r="J1759" s="208"/>
      <c r="K1759" s="208"/>
      <c r="L1759" s="208" t="str">
        <v/>
      </c>
      <c r="M1759" s="208" t="str">
        <v/>
      </c>
    </row>
    <row r="1760" spans="1:13" ht="14.4">
      <c r="A1760" s="199" t="str">
        <f ca="1">IFERROR(__xludf.DUMMYFUNCTION("""COMPUTED_VALUE"""),"RH")</f>
        <v>RH</v>
      </c>
      <c r="B1760" s="207" t="str">
        <f ca="1">IFERROR(__xludf.DUMMYFUNCTION("""COMPUTED_VALUE"""),"Elena Timmermann")</f>
        <v>Elena Timmermann</v>
      </c>
      <c r="C1760" s="199">
        <f ca="1">IFERROR(__xludf.DUMMYFUNCTION("""COMPUTED_VALUE"""),10)</f>
        <v>10</v>
      </c>
      <c r="D1760" s="199" t="str">
        <f ca="1">IFERROR(__xludf.DUMMYFUNCTION("""COMPUTED_VALUE"""),"G")</f>
        <v>G</v>
      </c>
      <c r="E1760" s="202" t="str">
        <f ca="1">IFERROR(__xludf.DUMMYFUNCTION("""COMPUTED_VALUE"""),"F")</f>
        <v>F</v>
      </c>
      <c r="F1760" s="202" t="str">
        <f ca="1">IFERROR(__xludf.DUMMYFUNCTION("""COMPUTED_VALUE"""),"J")</f>
        <v>J</v>
      </c>
      <c r="G1760" s="202">
        <f ca="1">IFERROR(__xludf.DUMMYFUNCTION("""COMPUTED_VALUE"""),5)</f>
        <v>5</v>
      </c>
      <c r="H1760" s="208"/>
      <c r="I1760" s="208"/>
      <c r="J1760" s="208"/>
      <c r="K1760" s="208"/>
      <c r="L1760" s="208" t="str">
        <v/>
      </c>
      <c r="M1760" s="208" t="str">
        <v/>
      </c>
    </row>
    <row r="1761" spans="1:13" ht="14.4">
      <c r="A1761" s="199" t="str">
        <f ca="1">IFERROR(__xludf.DUMMYFUNCTION("""COMPUTED_VALUE"""),"RH")</f>
        <v>RH</v>
      </c>
      <c r="B1761" s="207" t="str">
        <f ca="1">IFERROR(__xludf.DUMMYFUNCTION("""COMPUTED_VALUE"""),"Evie Kerelchuk")</f>
        <v>Evie Kerelchuk</v>
      </c>
      <c r="C1761" s="199">
        <f ca="1">IFERROR(__xludf.DUMMYFUNCTION("""COMPUTED_VALUE"""),8)</f>
        <v>8</v>
      </c>
      <c r="D1761" s="199" t="str">
        <f ca="1">IFERROR(__xludf.DUMMYFUNCTION("""COMPUTED_VALUE"""),"G")</f>
        <v>G</v>
      </c>
      <c r="E1761" s="202" t="str">
        <f ca="1">IFERROR(__xludf.DUMMYFUNCTION("""COMPUTED_VALUE"""),"F")</f>
        <v>F</v>
      </c>
      <c r="F1761" s="202" t="str">
        <f ca="1">IFERROR(__xludf.DUMMYFUNCTION("""COMPUTED_VALUE"""),"J")</f>
        <v>J</v>
      </c>
      <c r="G1761" s="202">
        <f ca="1">IFERROR(__xludf.DUMMYFUNCTION("""COMPUTED_VALUE"""),5)</f>
        <v>5</v>
      </c>
      <c r="H1761" s="208">
        <v>33.5</v>
      </c>
      <c r="I1761" s="208"/>
      <c r="J1761" s="208" t="s">
        <v>121</v>
      </c>
      <c r="K1761" s="208"/>
      <c r="L1761" s="208" t="str">
        <v xml:space="preserve"> 33.5</v>
      </c>
      <c r="M1761" s="208" t="str">
        <v/>
      </c>
    </row>
    <row r="1762" spans="1:13" ht="14.4">
      <c r="A1762" s="199" t="str">
        <f ca="1">IFERROR(__xludf.DUMMYFUNCTION("""COMPUTED_VALUE"""),"RH")</f>
        <v>RH</v>
      </c>
      <c r="B1762" s="207" t="str">
        <f ca="1">IFERROR(__xludf.DUMMYFUNCTION("""COMPUTED_VALUE"""),"Hannah Walker")</f>
        <v>Hannah Walker</v>
      </c>
      <c r="C1762" s="199">
        <f ca="1">IFERROR(__xludf.DUMMYFUNCTION("""COMPUTED_VALUE"""),9)</f>
        <v>9</v>
      </c>
      <c r="D1762" s="199" t="str">
        <f ca="1">IFERROR(__xludf.DUMMYFUNCTION("""COMPUTED_VALUE"""),"G")</f>
        <v>G</v>
      </c>
      <c r="E1762" s="202" t="str">
        <f ca="1">IFERROR(__xludf.DUMMYFUNCTION("""COMPUTED_VALUE"""),"F")</f>
        <v>F</v>
      </c>
      <c r="F1762" s="202" t="str">
        <f ca="1">IFERROR(__xludf.DUMMYFUNCTION("""COMPUTED_VALUE"""),"J")</f>
        <v>J</v>
      </c>
      <c r="G1762" s="202">
        <f ca="1">IFERROR(__xludf.DUMMYFUNCTION("""COMPUTED_VALUE"""),5)</f>
        <v>5</v>
      </c>
      <c r="H1762" s="208"/>
      <c r="I1762" s="208"/>
      <c r="J1762" s="208"/>
      <c r="K1762" s="208"/>
      <c r="L1762" s="208" t="str">
        <v/>
      </c>
      <c r="M1762" s="208" t="str">
        <v/>
      </c>
    </row>
    <row r="1763" spans="1:13" ht="14.4">
      <c r="A1763" s="199" t="str">
        <f ca="1">IFERROR(__xludf.DUMMYFUNCTION("""COMPUTED_VALUE"""),"RH")</f>
        <v>RH</v>
      </c>
      <c r="B1763" s="207" t="str">
        <f ca="1">IFERROR(__xludf.DUMMYFUNCTION("""COMPUTED_VALUE"""),"Isabel Kerelchuk")</f>
        <v>Isabel Kerelchuk</v>
      </c>
      <c r="C1763" s="199">
        <f ca="1">IFERROR(__xludf.DUMMYFUNCTION("""COMPUTED_VALUE"""),8)</f>
        <v>8</v>
      </c>
      <c r="D1763" s="199" t="str">
        <f ca="1">IFERROR(__xludf.DUMMYFUNCTION("""COMPUTED_VALUE"""),"G")</f>
        <v>G</v>
      </c>
      <c r="E1763" s="202" t="str">
        <f ca="1">IFERROR(__xludf.DUMMYFUNCTION("""COMPUTED_VALUE"""),"F")</f>
        <v>F</v>
      </c>
      <c r="F1763" s="202" t="str">
        <f ca="1">IFERROR(__xludf.DUMMYFUNCTION("""COMPUTED_VALUE"""),"J")</f>
        <v>J</v>
      </c>
      <c r="G1763" s="202">
        <f ca="1">IFERROR(__xludf.DUMMYFUNCTION("""COMPUTED_VALUE"""),5)</f>
        <v>5</v>
      </c>
      <c r="H1763" s="208">
        <v>28.2</v>
      </c>
      <c r="I1763" s="208"/>
      <c r="J1763" s="208" t="s">
        <v>121</v>
      </c>
      <c r="K1763" s="208"/>
      <c r="L1763" s="208" t="str">
        <v xml:space="preserve"> 28.2</v>
      </c>
      <c r="M1763" s="208" t="str">
        <v/>
      </c>
    </row>
    <row r="1764" spans="1:13" ht="14.4">
      <c r="A1764" s="199" t="str">
        <f ca="1">IFERROR(__xludf.DUMMYFUNCTION("""COMPUTED_VALUE"""),"RH")</f>
        <v>RH</v>
      </c>
      <c r="B1764" s="207" t="str">
        <f ca="1">IFERROR(__xludf.DUMMYFUNCTION("""COMPUTED_VALUE"""),"Izzy Matthews")</f>
        <v>Izzy Matthews</v>
      </c>
      <c r="C1764" s="199">
        <f ca="1">IFERROR(__xludf.DUMMYFUNCTION("""COMPUTED_VALUE"""),8)</f>
        <v>8</v>
      </c>
      <c r="D1764" s="199" t="str">
        <f ca="1">IFERROR(__xludf.DUMMYFUNCTION("""COMPUTED_VALUE"""),"G")</f>
        <v>G</v>
      </c>
      <c r="E1764" s="202" t="str">
        <f ca="1">IFERROR(__xludf.DUMMYFUNCTION("""COMPUTED_VALUE"""),"F")</f>
        <v>F</v>
      </c>
      <c r="F1764" s="202" t="str">
        <f ca="1">IFERROR(__xludf.DUMMYFUNCTION("""COMPUTED_VALUE"""),"J")</f>
        <v>J</v>
      </c>
      <c r="G1764" s="202">
        <f ca="1">IFERROR(__xludf.DUMMYFUNCTION("""COMPUTED_VALUE"""),5)</f>
        <v>5</v>
      </c>
      <c r="H1764" s="208">
        <v>31.85</v>
      </c>
      <c r="I1764" s="208"/>
      <c r="J1764" s="208" t="s">
        <v>121</v>
      </c>
      <c r="K1764" s="208"/>
      <c r="L1764" s="208" t="str">
        <v xml:space="preserve"> 31.85</v>
      </c>
      <c r="M1764" s="208" t="str">
        <v/>
      </c>
    </row>
    <row r="1765" spans="1:13" ht="14.4">
      <c r="A1765" s="199" t="str">
        <f ca="1">IFERROR(__xludf.DUMMYFUNCTION("""COMPUTED_VALUE"""),"RH")</f>
        <v>RH</v>
      </c>
      <c r="B1765" s="207" t="str">
        <f ca="1">IFERROR(__xludf.DUMMYFUNCTION("""COMPUTED_VALUE"""),"Lily Boger")</f>
        <v>Lily Boger</v>
      </c>
      <c r="C1765" s="199">
        <f ca="1">IFERROR(__xludf.DUMMYFUNCTION("""COMPUTED_VALUE"""),7)</f>
        <v>7</v>
      </c>
      <c r="D1765" s="199" t="str">
        <f ca="1">IFERROR(__xludf.DUMMYFUNCTION("""COMPUTED_VALUE"""),"G")</f>
        <v>G</v>
      </c>
      <c r="E1765" s="202" t="str">
        <f ca="1">IFERROR(__xludf.DUMMYFUNCTION("""COMPUTED_VALUE"""),"F")</f>
        <v>F</v>
      </c>
      <c r="F1765" s="202" t="str">
        <f ca="1">IFERROR(__xludf.DUMMYFUNCTION("""COMPUTED_VALUE"""),"J")</f>
        <v>J</v>
      </c>
      <c r="G1765" s="202">
        <f ca="1">IFERROR(__xludf.DUMMYFUNCTION("""COMPUTED_VALUE"""),5)</f>
        <v>5</v>
      </c>
      <c r="H1765" s="208"/>
      <c r="I1765" s="208"/>
      <c r="J1765" s="208"/>
      <c r="K1765" s="208"/>
      <c r="L1765" s="208" t="str">
        <v/>
      </c>
      <c r="M1765" s="208" t="str">
        <v/>
      </c>
    </row>
    <row r="1766" spans="1:13" ht="14.4">
      <c r="A1766" s="199" t="str">
        <f ca="1">IFERROR(__xludf.DUMMYFUNCTION("""COMPUTED_VALUE"""),"RH")</f>
        <v>RH</v>
      </c>
      <c r="B1766" s="207" t="str">
        <f ca="1">IFERROR(__xludf.DUMMYFUNCTION("""COMPUTED_VALUE"""),"Liv Freeman")</f>
        <v>Liv Freeman</v>
      </c>
      <c r="C1766" s="199">
        <f ca="1">IFERROR(__xludf.DUMMYFUNCTION("""COMPUTED_VALUE"""),9)</f>
        <v>9</v>
      </c>
      <c r="D1766" s="199" t="str">
        <f ca="1">IFERROR(__xludf.DUMMYFUNCTION("""COMPUTED_VALUE"""),"G")</f>
        <v>G</v>
      </c>
      <c r="E1766" s="202" t="str">
        <f ca="1">IFERROR(__xludf.DUMMYFUNCTION("""COMPUTED_VALUE"""),"F")</f>
        <v>F</v>
      </c>
      <c r="F1766" s="202" t="str">
        <f ca="1">IFERROR(__xludf.DUMMYFUNCTION("""COMPUTED_VALUE"""),"J")</f>
        <v>J</v>
      </c>
      <c r="G1766" s="202">
        <f ca="1">IFERROR(__xludf.DUMMYFUNCTION("""COMPUTED_VALUE"""),5)</f>
        <v>5</v>
      </c>
      <c r="H1766" s="208"/>
      <c r="I1766" s="208"/>
      <c r="J1766" s="208"/>
      <c r="K1766" s="208"/>
      <c r="L1766" s="208" t="str">
        <v/>
      </c>
      <c r="M1766" s="208" t="str">
        <v/>
      </c>
    </row>
    <row r="1767" spans="1:13" ht="14.4">
      <c r="A1767" s="199" t="str">
        <f ca="1">IFERROR(__xludf.DUMMYFUNCTION("""COMPUTED_VALUE"""),"RH")</f>
        <v>RH</v>
      </c>
      <c r="B1767" s="207" t="str">
        <f ca="1">IFERROR(__xludf.DUMMYFUNCTION("""COMPUTED_VALUE"""),"Natasha Sauchuk")</f>
        <v>Natasha Sauchuk</v>
      </c>
      <c r="C1767" s="199">
        <f ca="1">IFERROR(__xludf.DUMMYFUNCTION("""COMPUTED_VALUE"""),8)</f>
        <v>8</v>
      </c>
      <c r="D1767" s="199" t="str">
        <f ca="1">IFERROR(__xludf.DUMMYFUNCTION("""COMPUTED_VALUE"""),"G")</f>
        <v>G</v>
      </c>
      <c r="E1767" s="202" t="str">
        <f ca="1">IFERROR(__xludf.DUMMYFUNCTION("""COMPUTED_VALUE"""),"F")</f>
        <v>F</v>
      </c>
      <c r="F1767" s="202" t="str">
        <f ca="1">IFERROR(__xludf.DUMMYFUNCTION("""COMPUTED_VALUE"""),"J")</f>
        <v>J</v>
      </c>
      <c r="G1767" s="202">
        <f ca="1">IFERROR(__xludf.DUMMYFUNCTION("""COMPUTED_VALUE"""),5)</f>
        <v>5</v>
      </c>
      <c r="H1767" s="208">
        <v>23.8</v>
      </c>
      <c r="I1767" s="208"/>
      <c r="J1767" s="208" t="s">
        <v>121</v>
      </c>
      <c r="K1767" s="208"/>
      <c r="L1767" s="208" t="str">
        <v xml:space="preserve"> 23.8</v>
      </c>
      <c r="M1767" s="208" t="str">
        <v/>
      </c>
    </row>
    <row r="1768" spans="1:13" ht="14.4">
      <c r="A1768" s="199" t="str">
        <f ca="1">IFERROR(__xludf.DUMMYFUNCTION("""COMPUTED_VALUE"""),"RH")</f>
        <v>RH</v>
      </c>
      <c r="B1768" s="207" t="str">
        <f ca="1">IFERROR(__xludf.DUMMYFUNCTION("""COMPUTED_VALUE"""),"Olivia Timmermann")</f>
        <v>Olivia Timmermann</v>
      </c>
      <c r="C1768" s="199">
        <f ca="1">IFERROR(__xludf.DUMMYFUNCTION("""COMPUTED_VALUE"""),7)</f>
        <v>7</v>
      </c>
      <c r="D1768" s="199" t="str">
        <f ca="1">IFERROR(__xludf.DUMMYFUNCTION("""COMPUTED_VALUE"""),"G")</f>
        <v>G</v>
      </c>
      <c r="E1768" s="202" t="str">
        <f ca="1">IFERROR(__xludf.DUMMYFUNCTION("""COMPUTED_VALUE"""),"F")</f>
        <v>F</v>
      </c>
      <c r="F1768" s="202" t="str">
        <f ca="1">IFERROR(__xludf.DUMMYFUNCTION("""COMPUTED_VALUE"""),"J")</f>
        <v>J</v>
      </c>
      <c r="G1768" s="202">
        <f ca="1">IFERROR(__xludf.DUMMYFUNCTION("""COMPUTED_VALUE"""),5)</f>
        <v>5</v>
      </c>
      <c r="H1768" s="208">
        <v>34.049999999999997</v>
      </c>
      <c r="I1768" s="208"/>
      <c r="J1768" s="208" t="s">
        <v>121</v>
      </c>
      <c r="K1768" s="208"/>
      <c r="L1768" s="208" t="str">
        <v xml:space="preserve"> 34.05</v>
      </c>
      <c r="M1768" s="208" t="str">
        <v/>
      </c>
    </row>
    <row r="1769" spans="1:13" ht="14.4">
      <c r="A1769" s="199" t="str">
        <f ca="1">IFERROR(__xludf.DUMMYFUNCTION("""COMPUTED_VALUE"""),"RH")</f>
        <v>RH</v>
      </c>
      <c r="B1769" s="207" t="str">
        <f ca="1">IFERROR(__xludf.DUMMYFUNCTION("""COMPUTED_VALUE"""),"Quinn Zahler")</f>
        <v>Quinn Zahler</v>
      </c>
      <c r="C1769" s="199">
        <f ca="1">IFERROR(__xludf.DUMMYFUNCTION("""COMPUTED_VALUE"""),8)</f>
        <v>8</v>
      </c>
      <c r="D1769" s="199" t="str">
        <f ca="1">IFERROR(__xludf.DUMMYFUNCTION("""COMPUTED_VALUE"""),"G")</f>
        <v>G</v>
      </c>
      <c r="E1769" s="202" t="str">
        <f ca="1">IFERROR(__xludf.DUMMYFUNCTION("""COMPUTED_VALUE"""),"F")</f>
        <v>F</v>
      </c>
      <c r="F1769" s="202" t="str">
        <f ca="1">IFERROR(__xludf.DUMMYFUNCTION("""COMPUTED_VALUE"""),"J")</f>
        <v>J</v>
      </c>
      <c r="G1769" s="202">
        <f ca="1">IFERROR(__xludf.DUMMYFUNCTION("""COMPUTED_VALUE"""),5)</f>
        <v>5</v>
      </c>
      <c r="H1769" s="208"/>
      <c r="I1769" s="208"/>
      <c r="J1769" s="208"/>
      <c r="K1769" s="208"/>
      <c r="L1769" s="208" t="str">
        <v/>
      </c>
      <c r="M1769" s="208" t="str">
        <v/>
      </c>
    </row>
    <row r="1770" spans="1:13" ht="14.4">
      <c r="A1770" s="199" t="str">
        <f ca="1">IFERROR(__xludf.DUMMYFUNCTION("""COMPUTED_VALUE"""),"RH")</f>
        <v>RH</v>
      </c>
      <c r="B1770" s="207" t="str">
        <f ca="1">IFERROR(__xludf.DUMMYFUNCTION("""COMPUTED_VALUE"""),"Xanthy Kuehne")</f>
        <v>Xanthy Kuehne</v>
      </c>
      <c r="C1770" s="199">
        <f ca="1">IFERROR(__xludf.DUMMYFUNCTION("""COMPUTED_VALUE"""),8)</f>
        <v>8</v>
      </c>
      <c r="D1770" s="199" t="str">
        <f ca="1">IFERROR(__xludf.DUMMYFUNCTION("""COMPUTED_VALUE"""),"G")</f>
        <v>G</v>
      </c>
      <c r="E1770" s="202" t="str">
        <f ca="1">IFERROR(__xludf.DUMMYFUNCTION("""COMPUTED_VALUE"""),"F")</f>
        <v>F</v>
      </c>
      <c r="F1770" s="202" t="str">
        <f ca="1">IFERROR(__xludf.DUMMYFUNCTION("""COMPUTED_VALUE"""),"J")</f>
        <v>J</v>
      </c>
      <c r="G1770" s="202">
        <f ca="1">IFERROR(__xludf.DUMMYFUNCTION("""COMPUTED_VALUE"""),5)</f>
        <v>5</v>
      </c>
      <c r="H1770" s="208">
        <v>40.9</v>
      </c>
      <c r="I1770" s="208"/>
      <c r="J1770" s="208" t="s">
        <v>121</v>
      </c>
      <c r="K1770" s="208"/>
      <c r="L1770" s="208" t="str">
        <v xml:space="preserve"> 40.9</v>
      </c>
      <c r="M1770" s="208" t="str">
        <v/>
      </c>
    </row>
    <row r="1771" spans="1:13" ht="14.4">
      <c r="A1771" s="199" t="str">
        <f ca="1">IFERROR(__xludf.DUMMYFUNCTION("""COMPUTED_VALUE"""),"RH")</f>
        <v>RH</v>
      </c>
      <c r="B1771" s="207" t="str">
        <f ca="1">IFERROR(__xludf.DUMMYFUNCTION("""COMPUTED_VALUE"""),"Zoe Shmargal-Ellison")</f>
        <v>Zoe Shmargal-Ellison</v>
      </c>
      <c r="C1771" s="199">
        <f ca="1">IFERROR(__xludf.DUMMYFUNCTION("""COMPUTED_VALUE"""),9)</f>
        <v>9</v>
      </c>
      <c r="D1771" s="199" t="str">
        <f ca="1">IFERROR(__xludf.DUMMYFUNCTION("""COMPUTED_VALUE"""),"G")</f>
        <v>G</v>
      </c>
      <c r="E1771" s="202" t="str">
        <f ca="1">IFERROR(__xludf.DUMMYFUNCTION("""COMPUTED_VALUE"""),"F")</f>
        <v>F</v>
      </c>
      <c r="F1771" s="202" t="str">
        <f ca="1">IFERROR(__xludf.DUMMYFUNCTION("""COMPUTED_VALUE"""),"J")</f>
        <v>J</v>
      </c>
      <c r="G1771" s="202">
        <f ca="1">IFERROR(__xludf.DUMMYFUNCTION("""COMPUTED_VALUE"""),5)</f>
        <v>5</v>
      </c>
      <c r="H1771" s="208"/>
      <c r="I1771" s="208"/>
      <c r="J1771" s="208"/>
      <c r="K1771" s="208"/>
      <c r="L1771" s="208" t="str">
        <v/>
      </c>
      <c r="M1771" s="208" t="str">
        <v/>
      </c>
    </row>
    <row r="1772" spans="1:13" ht="14.4">
      <c r="A1772" s="199" t="str">
        <f ca="1">IFERROR(__xludf.DUMMYFUNCTION("""COMPUTED_VALUE"""),"RH")</f>
        <v>RH</v>
      </c>
      <c r="B1772" s="207" t="str">
        <f ca="1">IFERROR(__xludf.DUMMYFUNCTION("""COMPUTED_VALUE"""),"Cooper Lynch")</f>
        <v>Cooper Lynch</v>
      </c>
      <c r="C1772" s="199">
        <f ca="1">IFERROR(__xludf.DUMMYFUNCTION("""COMPUTED_VALUE"""),14)</f>
        <v>14</v>
      </c>
      <c r="D1772" s="199" t="str">
        <f ca="1">IFERROR(__xludf.DUMMYFUNCTION("""COMPUTED_VALUE"""),"B")</f>
        <v>B</v>
      </c>
      <c r="E1772" s="202" t="str">
        <f ca="1">IFERROR(__xludf.DUMMYFUNCTION("""COMPUTED_VALUE"""),"I")</f>
        <v>I</v>
      </c>
      <c r="F1772" s="202" t="str">
        <f ca="1">IFERROR(__xludf.DUMMYFUNCTION("""COMPUTED_VALUE"""),"S")</f>
        <v>S</v>
      </c>
      <c r="G1772" s="202">
        <f ca="1">IFERROR(__xludf.DUMMYFUNCTION("""COMPUTED_VALUE"""),5)</f>
        <v>5</v>
      </c>
      <c r="H1772" s="208"/>
      <c r="I1772" s="208"/>
      <c r="J1772" s="208"/>
      <c r="K1772" s="208"/>
      <c r="L1772" s="208" t="str">
        <v/>
      </c>
      <c r="M1772" s="208" t="str">
        <v/>
      </c>
    </row>
    <row r="1773" spans="1:13" ht="14.4">
      <c r="A1773" s="199" t="str">
        <f ca="1">IFERROR(__xludf.DUMMYFUNCTION("""COMPUTED_VALUE"""),"RH")</f>
        <v>RH</v>
      </c>
      <c r="B1773" s="207" t="str">
        <f ca="1">IFERROR(__xludf.DUMMYFUNCTION("""COMPUTED_VALUE"""),"Liam Healey-Wright")</f>
        <v>Liam Healey-Wright</v>
      </c>
      <c r="C1773" s="199">
        <f ca="1">IFERROR(__xludf.DUMMYFUNCTION("""COMPUTED_VALUE"""),14)</f>
        <v>14</v>
      </c>
      <c r="D1773" s="199" t="str">
        <f ca="1">IFERROR(__xludf.DUMMYFUNCTION("""COMPUTED_VALUE"""),"B")</f>
        <v>B</v>
      </c>
      <c r="E1773" s="202" t="str">
        <f ca="1">IFERROR(__xludf.DUMMYFUNCTION("""COMPUTED_VALUE"""),"I")</f>
        <v>I</v>
      </c>
      <c r="F1773" s="202" t="str">
        <f ca="1">IFERROR(__xludf.DUMMYFUNCTION("""COMPUTED_VALUE"""),"S")</f>
        <v>S</v>
      </c>
      <c r="G1773" s="202">
        <f ca="1">IFERROR(__xludf.DUMMYFUNCTION("""COMPUTED_VALUE"""),5)</f>
        <v>5</v>
      </c>
      <c r="H1773" s="208"/>
      <c r="I1773" s="208">
        <v>53.55</v>
      </c>
      <c r="J1773" s="208"/>
      <c r="K1773" s="208" t="s">
        <v>121</v>
      </c>
      <c r="L1773" s="208" t="str">
        <v xml:space="preserve"> 53.55</v>
      </c>
      <c r="M1773" s="208" t="str">
        <v/>
      </c>
    </row>
    <row r="1774" spans="1:13" ht="14.4">
      <c r="A1774" s="199" t="str">
        <f ca="1">IFERROR(__xludf.DUMMYFUNCTION("""COMPUTED_VALUE"""),"RH")</f>
        <v>RH</v>
      </c>
      <c r="B1774" s="207" t="str">
        <f ca="1">IFERROR(__xludf.DUMMYFUNCTION("""COMPUTED_VALUE"""),"Ryan Casteleyn")</f>
        <v>Ryan Casteleyn</v>
      </c>
      <c r="C1774" s="199">
        <f ca="1">IFERROR(__xludf.DUMMYFUNCTION("""COMPUTED_VALUE"""),13)</f>
        <v>13</v>
      </c>
      <c r="D1774" s="199" t="str">
        <f ca="1">IFERROR(__xludf.DUMMYFUNCTION("""COMPUTED_VALUE"""),"B")</f>
        <v>B</v>
      </c>
      <c r="E1774" s="202" t="str">
        <f ca="1">IFERROR(__xludf.DUMMYFUNCTION("""COMPUTED_VALUE"""),"I")</f>
        <v>I</v>
      </c>
      <c r="F1774" s="202" t="str">
        <f ca="1">IFERROR(__xludf.DUMMYFUNCTION("""COMPUTED_VALUE"""),"S")</f>
        <v>S</v>
      </c>
      <c r="G1774" s="202">
        <f ca="1">IFERROR(__xludf.DUMMYFUNCTION("""COMPUTED_VALUE"""),5)</f>
        <v>5</v>
      </c>
      <c r="H1774" s="208"/>
      <c r="I1774" s="208">
        <v>86.35</v>
      </c>
      <c r="J1774" s="208"/>
      <c r="K1774" s="208" t="s">
        <v>121</v>
      </c>
      <c r="L1774" s="208" t="str">
        <v xml:space="preserve"> 86.35</v>
      </c>
      <c r="M1774" s="208" t="str">
        <v/>
      </c>
    </row>
    <row r="1775" spans="1:13" ht="14.4">
      <c r="A1775" s="199" t="str">
        <f ca="1">IFERROR(__xludf.DUMMYFUNCTION("""COMPUTED_VALUE"""),"RH")</f>
        <v>RH</v>
      </c>
      <c r="B1775" s="207" t="str">
        <f ca="1">IFERROR(__xludf.DUMMYFUNCTION("""COMPUTED_VALUE"""),"Tim Maloney")</f>
        <v>Tim Maloney</v>
      </c>
      <c r="C1775" s="199">
        <f ca="1">IFERROR(__xludf.DUMMYFUNCTION("""COMPUTED_VALUE"""),13)</f>
        <v>13</v>
      </c>
      <c r="D1775" s="199" t="str">
        <f ca="1">IFERROR(__xludf.DUMMYFUNCTION("""COMPUTED_VALUE"""),"B")</f>
        <v>B</v>
      </c>
      <c r="E1775" s="202" t="str">
        <f ca="1">IFERROR(__xludf.DUMMYFUNCTION("""COMPUTED_VALUE"""),"I")</f>
        <v>I</v>
      </c>
      <c r="F1775" s="202" t="str">
        <f ca="1">IFERROR(__xludf.DUMMYFUNCTION("""COMPUTED_VALUE"""),"S")</f>
        <v>S</v>
      </c>
      <c r="G1775" s="202">
        <f ca="1">IFERROR(__xludf.DUMMYFUNCTION("""COMPUTED_VALUE"""),5)</f>
        <v>5</v>
      </c>
      <c r="H1775" s="208"/>
      <c r="I1775" s="208"/>
      <c r="J1775" s="208"/>
      <c r="K1775" s="208"/>
      <c r="L1775" s="208" t="str">
        <v/>
      </c>
      <c r="M1775" s="208" t="str">
        <v/>
      </c>
    </row>
    <row r="1776" spans="1:13" ht="14.4">
      <c r="A1776" s="199" t="str">
        <f ca="1">IFERROR(__xludf.DUMMYFUNCTION("""COMPUTED_VALUE"""),"RH")</f>
        <v>RH</v>
      </c>
      <c r="B1776" s="207" t="str">
        <f ca="1">IFERROR(__xludf.DUMMYFUNCTION("""COMPUTED_VALUE"""),"TJ Zahler")</f>
        <v>TJ Zahler</v>
      </c>
      <c r="C1776" s="199">
        <f ca="1">IFERROR(__xludf.DUMMYFUNCTION("""COMPUTED_VALUE"""),14)</f>
        <v>14</v>
      </c>
      <c r="D1776" s="199" t="str">
        <f ca="1">IFERROR(__xludf.DUMMYFUNCTION("""COMPUTED_VALUE"""),"B")</f>
        <v>B</v>
      </c>
      <c r="E1776" s="202" t="str">
        <f ca="1">IFERROR(__xludf.DUMMYFUNCTION("""COMPUTED_VALUE"""),"I")</f>
        <v>I</v>
      </c>
      <c r="F1776" s="202" t="str">
        <f ca="1">IFERROR(__xludf.DUMMYFUNCTION("""COMPUTED_VALUE"""),"S")</f>
        <v>S</v>
      </c>
      <c r="G1776" s="202">
        <f ca="1">IFERROR(__xludf.DUMMYFUNCTION("""COMPUTED_VALUE"""),5)</f>
        <v>5</v>
      </c>
      <c r="H1776" s="208"/>
      <c r="I1776" s="208"/>
      <c r="J1776" s="208"/>
      <c r="K1776" s="208"/>
      <c r="L1776" s="208" t="str">
        <v/>
      </c>
      <c r="M1776" s="208" t="str">
        <v/>
      </c>
    </row>
    <row r="1777" spans="1:13" ht="14.4">
      <c r="A1777" s="199" t="str">
        <f ca="1">IFERROR(__xludf.DUMMYFUNCTION("""COMPUTED_VALUE"""),"RH")</f>
        <v>RH</v>
      </c>
      <c r="B1777" s="207" t="str">
        <f ca="1">IFERROR(__xludf.DUMMYFUNCTION("""COMPUTED_VALUE"""),"Tommy Juster")</f>
        <v>Tommy Juster</v>
      </c>
      <c r="C1777" s="199">
        <f ca="1">IFERROR(__xludf.DUMMYFUNCTION("""COMPUTED_VALUE"""),14)</f>
        <v>14</v>
      </c>
      <c r="D1777" s="199" t="str">
        <f ca="1">IFERROR(__xludf.DUMMYFUNCTION("""COMPUTED_VALUE"""),"B")</f>
        <v>B</v>
      </c>
      <c r="E1777" s="202" t="str">
        <f ca="1">IFERROR(__xludf.DUMMYFUNCTION("""COMPUTED_VALUE"""),"I")</f>
        <v>I</v>
      </c>
      <c r="F1777" s="202" t="str">
        <f ca="1">IFERROR(__xludf.DUMMYFUNCTION("""COMPUTED_VALUE"""),"S")</f>
        <v>S</v>
      </c>
      <c r="G1777" s="202">
        <f ca="1">IFERROR(__xludf.DUMMYFUNCTION("""COMPUTED_VALUE"""),5)</f>
        <v>5</v>
      </c>
      <c r="H1777" s="208"/>
      <c r="I1777" s="208">
        <v>76.7</v>
      </c>
      <c r="J1777" s="208"/>
      <c r="K1777" s="208" t="s">
        <v>121</v>
      </c>
      <c r="L1777" s="208" t="str">
        <v xml:space="preserve"> 76.7</v>
      </c>
      <c r="M1777" s="208" t="str">
        <v/>
      </c>
    </row>
    <row r="1778" spans="1:13" ht="14.4">
      <c r="A1778" s="199" t="str">
        <f ca="1">IFERROR(__xludf.DUMMYFUNCTION("""COMPUTED_VALUE"""),"RH")</f>
        <v>RH</v>
      </c>
      <c r="B1778" s="207" t="str">
        <f ca="1">IFERROR(__xludf.DUMMYFUNCTION("""COMPUTED_VALUE"""),"Claire Berry")</f>
        <v>Claire Berry</v>
      </c>
      <c r="C1778" s="199">
        <f ca="1">IFERROR(__xludf.DUMMYFUNCTION("""COMPUTED_VALUE"""),13)</f>
        <v>13</v>
      </c>
      <c r="D1778" s="199" t="str">
        <f ca="1">IFERROR(__xludf.DUMMYFUNCTION("""COMPUTED_VALUE"""),"G")</f>
        <v>G</v>
      </c>
      <c r="E1778" s="202" t="str">
        <f ca="1">IFERROR(__xludf.DUMMYFUNCTION("""COMPUTED_VALUE"""),"I")</f>
        <v>I</v>
      </c>
      <c r="F1778" s="202" t="str">
        <f ca="1">IFERROR(__xludf.DUMMYFUNCTION("""COMPUTED_VALUE"""),"S")</f>
        <v>S</v>
      </c>
      <c r="G1778" s="202">
        <f ca="1">IFERROR(__xludf.DUMMYFUNCTION("""COMPUTED_VALUE"""),5)</f>
        <v>5</v>
      </c>
      <c r="H1778" s="208"/>
      <c r="I1778" s="208"/>
      <c r="J1778" s="208"/>
      <c r="K1778" s="208"/>
      <c r="L1778" s="208" t="str">
        <v/>
      </c>
      <c r="M1778" s="208" t="str">
        <v/>
      </c>
    </row>
    <row r="1779" spans="1:13" ht="14.4">
      <c r="A1779" s="199" t="str">
        <f ca="1">IFERROR(__xludf.DUMMYFUNCTION("""COMPUTED_VALUE"""),"RH")</f>
        <v>RH</v>
      </c>
      <c r="B1779" s="207" t="str">
        <f ca="1">IFERROR(__xludf.DUMMYFUNCTION("""COMPUTED_VALUE"""),"Lyla Harrison")</f>
        <v>Lyla Harrison</v>
      </c>
      <c r="C1779" s="199">
        <f ca="1">IFERROR(__xludf.DUMMYFUNCTION("""COMPUTED_VALUE"""),14)</f>
        <v>14</v>
      </c>
      <c r="D1779" s="199" t="str">
        <f ca="1">IFERROR(__xludf.DUMMYFUNCTION("""COMPUTED_VALUE"""),"G")</f>
        <v>G</v>
      </c>
      <c r="E1779" s="202" t="str">
        <f ca="1">IFERROR(__xludf.DUMMYFUNCTION("""COMPUTED_VALUE"""),"I")</f>
        <v>I</v>
      </c>
      <c r="F1779" s="202" t="str">
        <f ca="1">IFERROR(__xludf.DUMMYFUNCTION("""COMPUTED_VALUE"""),"S")</f>
        <v>S</v>
      </c>
      <c r="G1779" s="202">
        <f ca="1">IFERROR(__xludf.DUMMYFUNCTION("""COMPUTED_VALUE"""),5)</f>
        <v>5</v>
      </c>
      <c r="H1779" s="208">
        <v>82.35</v>
      </c>
      <c r="I1779" s="208"/>
      <c r="J1779" s="208" t="s">
        <v>121</v>
      </c>
      <c r="K1779" s="208"/>
      <c r="L1779" s="208" t="str">
        <v xml:space="preserve"> 82.35</v>
      </c>
      <c r="M1779" s="208" t="str">
        <v/>
      </c>
    </row>
    <row r="1780" spans="1:13" ht="14.4">
      <c r="A1780" s="199" t="str">
        <f ca="1">IFERROR(__xludf.DUMMYFUNCTION("""COMPUTED_VALUE"""),"RH")</f>
        <v>RH</v>
      </c>
      <c r="B1780" s="207" t="str">
        <f ca="1">IFERROR(__xludf.DUMMYFUNCTION("""COMPUTED_VALUE"""),"Natalia Sayasithsena")</f>
        <v>Natalia Sayasithsena</v>
      </c>
      <c r="C1780" s="199">
        <f ca="1">IFERROR(__xludf.DUMMYFUNCTION("""COMPUTED_VALUE"""),13)</f>
        <v>13</v>
      </c>
      <c r="D1780" s="199" t="str">
        <f ca="1">IFERROR(__xludf.DUMMYFUNCTION("""COMPUTED_VALUE"""),"G")</f>
        <v>G</v>
      </c>
      <c r="E1780" s="202" t="str">
        <f ca="1">IFERROR(__xludf.DUMMYFUNCTION("""COMPUTED_VALUE"""),"I")</f>
        <v>I</v>
      </c>
      <c r="F1780" s="202" t="str">
        <f ca="1">IFERROR(__xludf.DUMMYFUNCTION("""COMPUTED_VALUE"""),"S")</f>
        <v>S</v>
      </c>
      <c r="G1780" s="202">
        <f ca="1">IFERROR(__xludf.DUMMYFUNCTION("""COMPUTED_VALUE"""),5)</f>
        <v>5</v>
      </c>
      <c r="H1780" s="208">
        <v>62.95</v>
      </c>
      <c r="I1780" s="208"/>
      <c r="J1780" s="208" t="s">
        <v>121</v>
      </c>
      <c r="K1780" s="208"/>
      <c r="L1780" s="208" t="str">
        <v xml:space="preserve"> 62.95</v>
      </c>
      <c r="M1780" s="208" t="str">
        <v/>
      </c>
    </row>
    <row r="1781" spans="1:13" ht="14.4">
      <c r="A1781" s="199" t="str">
        <f ca="1">IFERROR(__xludf.DUMMYFUNCTION("""COMPUTED_VALUE"""),"RH")</f>
        <v>RH</v>
      </c>
      <c r="B1781" s="207" t="str">
        <f ca="1">IFERROR(__xludf.DUMMYFUNCTION("""COMPUTED_VALUE"""),"Becket Lanier")</f>
        <v>Becket Lanier</v>
      </c>
      <c r="C1781" s="199">
        <f ca="1">IFERROR(__xludf.DUMMYFUNCTION("""COMPUTED_VALUE"""),11)</f>
        <v>11</v>
      </c>
      <c r="D1781" s="199" t="str">
        <f ca="1">IFERROR(__xludf.DUMMYFUNCTION("""COMPUTED_VALUE"""),"B")</f>
        <v>B</v>
      </c>
      <c r="E1781" s="202" t="str">
        <f ca="1">IFERROR(__xludf.DUMMYFUNCTION("""COMPUTED_VALUE"""),"J")</f>
        <v>J</v>
      </c>
      <c r="F1781" s="202" t="str">
        <f ca="1">IFERROR(__xludf.DUMMYFUNCTION("""COMPUTED_VALUE"""),"I")</f>
        <v>I</v>
      </c>
      <c r="G1781" s="202">
        <f ca="1">IFERROR(__xludf.DUMMYFUNCTION("""COMPUTED_VALUE"""),5)</f>
        <v>5</v>
      </c>
      <c r="H1781" s="208"/>
      <c r="I1781" s="208">
        <v>87.25</v>
      </c>
      <c r="J1781" s="208"/>
      <c r="K1781" s="208" t="s">
        <v>121</v>
      </c>
      <c r="L1781" s="208" t="str">
        <v xml:space="preserve"> 87.25</v>
      </c>
      <c r="M1781" s="208" t="str">
        <v/>
      </c>
    </row>
    <row r="1782" spans="1:13" ht="14.4">
      <c r="A1782" s="199" t="str">
        <f ca="1">IFERROR(__xludf.DUMMYFUNCTION("""COMPUTED_VALUE"""),"RH")</f>
        <v>RH</v>
      </c>
      <c r="B1782" s="207" t="str">
        <f ca="1">IFERROR(__xludf.DUMMYFUNCTION("""COMPUTED_VALUE"""),"Griffin Wagner")</f>
        <v>Griffin Wagner</v>
      </c>
      <c r="C1782" s="199">
        <f ca="1">IFERROR(__xludf.DUMMYFUNCTION("""COMPUTED_VALUE"""),11)</f>
        <v>11</v>
      </c>
      <c r="D1782" s="199" t="str">
        <f ca="1">IFERROR(__xludf.DUMMYFUNCTION("""COMPUTED_VALUE"""),"B")</f>
        <v>B</v>
      </c>
      <c r="E1782" s="202" t="str">
        <f ca="1">IFERROR(__xludf.DUMMYFUNCTION("""COMPUTED_VALUE"""),"J")</f>
        <v>J</v>
      </c>
      <c r="F1782" s="202" t="str">
        <f ca="1">IFERROR(__xludf.DUMMYFUNCTION("""COMPUTED_VALUE"""),"I")</f>
        <v>I</v>
      </c>
      <c r="G1782" s="202">
        <f ca="1">IFERROR(__xludf.DUMMYFUNCTION("""COMPUTED_VALUE"""),5)</f>
        <v>5</v>
      </c>
      <c r="H1782" s="208"/>
      <c r="I1782" s="208">
        <v>74.599999999999994</v>
      </c>
      <c r="J1782" s="208"/>
      <c r="K1782" s="208" t="s">
        <v>121</v>
      </c>
      <c r="L1782" s="208" t="str">
        <v xml:space="preserve"> 74.6</v>
      </c>
      <c r="M1782" s="208" t="str">
        <v/>
      </c>
    </row>
    <row r="1783" spans="1:13" ht="14.4">
      <c r="A1783" s="199" t="str">
        <f ca="1">IFERROR(__xludf.DUMMYFUNCTION("""COMPUTED_VALUE"""),"RH")</f>
        <v>RH</v>
      </c>
      <c r="B1783" s="207" t="str">
        <f ca="1">IFERROR(__xludf.DUMMYFUNCTION("""COMPUTED_VALUE"""),"Rob Freeman")</f>
        <v>Rob Freeman</v>
      </c>
      <c r="C1783" s="199">
        <f ca="1">IFERROR(__xludf.DUMMYFUNCTION("""COMPUTED_VALUE"""),11)</f>
        <v>11</v>
      </c>
      <c r="D1783" s="199" t="str">
        <f ca="1">IFERROR(__xludf.DUMMYFUNCTION("""COMPUTED_VALUE"""),"B")</f>
        <v>B</v>
      </c>
      <c r="E1783" s="202" t="str">
        <f ca="1">IFERROR(__xludf.DUMMYFUNCTION("""COMPUTED_VALUE"""),"J")</f>
        <v>J</v>
      </c>
      <c r="F1783" s="202" t="str">
        <f ca="1">IFERROR(__xludf.DUMMYFUNCTION("""COMPUTED_VALUE"""),"I")</f>
        <v>I</v>
      </c>
      <c r="G1783" s="202">
        <f ca="1">IFERROR(__xludf.DUMMYFUNCTION("""COMPUTED_VALUE"""),5)</f>
        <v>5</v>
      </c>
      <c r="H1783" s="208"/>
      <c r="I1783" s="208"/>
      <c r="J1783" s="208"/>
      <c r="K1783" s="208"/>
      <c r="L1783" s="208" t="str">
        <v/>
      </c>
      <c r="M1783" s="208" t="str">
        <v/>
      </c>
    </row>
    <row r="1784" spans="1:13" ht="14.4">
      <c r="A1784" s="199" t="str">
        <f ca="1">IFERROR(__xludf.DUMMYFUNCTION("""COMPUTED_VALUE"""),"RH")</f>
        <v>RH</v>
      </c>
      <c r="B1784" s="207" t="str">
        <f ca="1">IFERROR(__xludf.DUMMYFUNCTION("""COMPUTED_VALUE"""),"Anamarie Harrison")</f>
        <v>Anamarie Harrison</v>
      </c>
      <c r="C1784" s="199">
        <f ca="1">IFERROR(__xludf.DUMMYFUNCTION("""COMPUTED_VALUE"""),12)</f>
        <v>12</v>
      </c>
      <c r="D1784" s="199" t="str">
        <f ca="1">IFERROR(__xludf.DUMMYFUNCTION("""COMPUTED_VALUE"""),"G")</f>
        <v>G</v>
      </c>
      <c r="E1784" s="202" t="str">
        <f ca="1">IFERROR(__xludf.DUMMYFUNCTION("""COMPUTED_VALUE"""),"J")</f>
        <v>J</v>
      </c>
      <c r="F1784" s="202" t="str">
        <f ca="1">IFERROR(__xludf.DUMMYFUNCTION("""COMPUTED_VALUE"""),"I")</f>
        <v>I</v>
      </c>
      <c r="G1784" s="202">
        <f ca="1">IFERROR(__xludf.DUMMYFUNCTION("""COMPUTED_VALUE"""),5)</f>
        <v>5</v>
      </c>
      <c r="H1784" s="208">
        <v>88.95</v>
      </c>
      <c r="I1784" s="208"/>
      <c r="J1784" s="208" t="s">
        <v>121</v>
      </c>
      <c r="K1784" s="208"/>
      <c r="L1784" s="208" t="str">
        <v xml:space="preserve"> 88.95</v>
      </c>
      <c r="M1784" s="208" t="str">
        <v/>
      </c>
    </row>
    <row r="1785" spans="1:13" ht="14.4">
      <c r="A1785" s="199" t="str">
        <f ca="1">IFERROR(__xludf.DUMMYFUNCTION("""COMPUTED_VALUE"""),"RH")</f>
        <v>RH</v>
      </c>
      <c r="B1785" s="207" t="str">
        <f ca="1">IFERROR(__xludf.DUMMYFUNCTION("""COMPUTED_VALUE"""),"Anne Juster")</f>
        <v>Anne Juster</v>
      </c>
      <c r="C1785" s="199">
        <f ca="1">IFERROR(__xludf.DUMMYFUNCTION("""COMPUTED_VALUE"""),11)</f>
        <v>11</v>
      </c>
      <c r="D1785" s="199" t="str">
        <f ca="1">IFERROR(__xludf.DUMMYFUNCTION("""COMPUTED_VALUE"""),"G")</f>
        <v>G</v>
      </c>
      <c r="E1785" s="202" t="str">
        <f ca="1">IFERROR(__xludf.DUMMYFUNCTION("""COMPUTED_VALUE"""),"J")</f>
        <v>J</v>
      </c>
      <c r="F1785" s="202" t="str">
        <f ca="1">IFERROR(__xludf.DUMMYFUNCTION("""COMPUTED_VALUE"""),"I")</f>
        <v>I</v>
      </c>
      <c r="G1785" s="202">
        <f ca="1">IFERROR(__xludf.DUMMYFUNCTION("""COMPUTED_VALUE"""),5)</f>
        <v>5</v>
      </c>
      <c r="H1785" s="208">
        <v>63.95</v>
      </c>
      <c r="I1785" s="208"/>
      <c r="J1785" s="208" t="s">
        <v>121</v>
      </c>
      <c r="K1785" s="208"/>
      <c r="L1785" s="208" t="str">
        <v xml:space="preserve"> 63.95</v>
      </c>
      <c r="M1785" s="208" t="str">
        <v/>
      </c>
    </row>
    <row r="1786" spans="1:13" ht="14.4">
      <c r="A1786" s="199" t="str">
        <f ca="1">IFERROR(__xludf.DUMMYFUNCTION("""COMPUTED_VALUE"""),"RH")</f>
        <v>RH</v>
      </c>
      <c r="B1786" s="207" t="str">
        <f ca="1">IFERROR(__xludf.DUMMYFUNCTION("""COMPUTED_VALUE"""),"Catherine Flanagan")</f>
        <v>Catherine Flanagan</v>
      </c>
      <c r="C1786" s="199">
        <f ca="1">IFERROR(__xludf.DUMMYFUNCTION("""COMPUTED_VALUE"""),12)</f>
        <v>12</v>
      </c>
      <c r="D1786" s="199" t="str">
        <f ca="1">IFERROR(__xludf.DUMMYFUNCTION("""COMPUTED_VALUE"""),"G")</f>
        <v>G</v>
      </c>
      <c r="E1786" s="202" t="str">
        <f ca="1">IFERROR(__xludf.DUMMYFUNCTION("""COMPUTED_VALUE"""),"J")</f>
        <v>J</v>
      </c>
      <c r="F1786" s="202" t="str">
        <f ca="1">IFERROR(__xludf.DUMMYFUNCTION("""COMPUTED_VALUE"""),"I")</f>
        <v>I</v>
      </c>
      <c r="G1786" s="202">
        <f ca="1">IFERROR(__xludf.DUMMYFUNCTION("""COMPUTED_VALUE"""),5)</f>
        <v>5</v>
      </c>
      <c r="H1786" s="208"/>
      <c r="I1786" s="208"/>
      <c r="J1786" s="208"/>
      <c r="K1786" s="208"/>
      <c r="L1786" s="208" t="str">
        <v/>
      </c>
      <c r="M1786" s="208" t="str">
        <v/>
      </c>
    </row>
    <row r="1787" spans="1:13" ht="14.4">
      <c r="A1787" s="199" t="str">
        <f ca="1">IFERROR(__xludf.DUMMYFUNCTION("""COMPUTED_VALUE"""),"RH")</f>
        <v>RH</v>
      </c>
      <c r="B1787" s="207" t="str">
        <f ca="1">IFERROR(__xludf.DUMMYFUNCTION("""COMPUTED_VALUE"""),"Edie Freeman")</f>
        <v>Edie Freeman</v>
      </c>
      <c r="C1787" s="199">
        <f ca="1">IFERROR(__xludf.DUMMYFUNCTION("""COMPUTED_VALUE"""),11)</f>
        <v>11</v>
      </c>
      <c r="D1787" s="199" t="str">
        <f ca="1">IFERROR(__xludf.DUMMYFUNCTION("""COMPUTED_VALUE"""),"G")</f>
        <v>G</v>
      </c>
      <c r="E1787" s="202" t="str">
        <f ca="1">IFERROR(__xludf.DUMMYFUNCTION("""COMPUTED_VALUE"""),"J")</f>
        <v>J</v>
      </c>
      <c r="F1787" s="202" t="str">
        <f ca="1">IFERROR(__xludf.DUMMYFUNCTION("""COMPUTED_VALUE"""),"I")</f>
        <v>I</v>
      </c>
      <c r="G1787" s="202">
        <f ca="1">IFERROR(__xludf.DUMMYFUNCTION("""COMPUTED_VALUE"""),5)</f>
        <v>5</v>
      </c>
      <c r="H1787" s="208"/>
      <c r="I1787" s="208"/>
      <c r="J1787" s="208"/>
      <c r="K1787" s="208"/>
      <c r="L1787" s="208" t="str">
        <v/>
      </c>
      <c r="M1787" s="208" t="str">
        <v/>
      </c>
    </row>
    <row r="1788" spans="1:13" ht="14.4">
      <c r="A1788" s="199" t="str">
        <f ca="1">IFERROR(__xludf.DUMMYFUNCTION("""COMPUTED_VALUE"""),"RH")</f>
        <v>RH</v>
      </c>
      <c r="B1788" s="207" t="str">
        <f ca="1">IFERROR(__xludf.DUMMYFUNCTION("""COMPUTED_VALUE"""),"Ella Hackett")</f>
        <v>Ella Hackett</v>
      </c>
      <c r="C1788" s="199">
        <f ca="1">IFERROR(__xludf.DUMMYFUNCTION("""COMPUTED_VALUE"""),11)</f>
        <v>11</v>
      </c>
      <c r="D1788" s="199" t="str">
        <f ca="1">IFERROR(__xludf.DUMMYFUNCTION("""COMPUTED_VALUE"""),"G")</f>
        <v>G</v>
      </c>
      <c r="E1788" s="202" t="str">
        <f ca="1">IFERROR(__xludf.DUMMYFUNCTION("""COMPUTED_VALUE"""),"J")</f>
        <v>J</v>
      </c>
      <c r="F1788" s="202" t="str">
        <f ca="1">IFERROR(__xludf.DUMMYFUNCTION("""COMPUTED_VALUE"""),"I")</f>
        <v>I</v>
      </c>
      <c r="G1788" s="202">
        <f ca="1">IFERROR(__xludf.DUMMYFUNCTION("""COMPUTED_VALUE"""),5)</f>
        <v>5</v>
      </c>
      <c r="H1788" s="208"/>
      <c r="I1788" s="208"/>
      <c r="J1788" s="208"/>
      <c r="K1788" s="208"/>
      <c r="L1788" s="208" t="str">
        <v/>
      </c>
      <c r="M1788" s="208" t="str">
        <v/>
      </c>
    </row>
    <row r="1789" spans="1:13" ht="14.4">
      <c r="A1789" s="199" t="str">
        <f ca="1">IFERROR(__xludf.DUMMYFUNCTION("""COMPUTED_VALUE"""),"RH")</f>
        <v>RH</v>
      </c>
      <c r="B1789" s="207" t="str">
        <f ca="1">IFERROR(__xludf.DUMMYFUNCTION("""COMPUTED_VALUE"""),"Jennifer Luk")</f>
        <v>Jennifer Luk</v>
      </c>
      <c r="C1789" s="199">
        <f ca="1">IFERROR(__xludf.DUMMYFUNCTION("""COMPUTED_VALUE"""),11)</f>
        <v>11</v>
      </c>
      <c r="D1789" s="199" t="str">
        <f ca="1">IFERROR(__xludf.DUMMYFUNCTION("""COMPUTED_VALUE"""),"G")</f>
        <v>G</v>
      </c>
      <c r="E1789" s="202" t="str">
        <f ca="1">IFERROR(__xludf.DUMMYFUNCTION("""COMPUTED_VALUE"""),"J")</f>
        <v>J</v>
      </c>
      <c r="F1789" s="202" t="str">
        <f ca="1">IFERROR(__xludf.DUMMYFUNCTION("""COMPUTED_VALUE"""),"I")</f>
        <v>I</v>
      </c>
      <c r="G1789" s="202">
        <f ca="1">IFERROR(__xludf.DUMMYFUNCTION("""COMPUTED_VALUE"""),5)</f>
        <v>5</v>
      </c>
      <c r="H1789" s="208"/>
      <c r="I1789" s="208"/>
      <c r="J1789" s="208"/>
      <c r="K1789" s="208"/>
      <c r="L1789" s="208" t="str">
        <v/>
      </c>
      <c r="M1789" s="208" t="str">
        <v/>
      </c>
    </row>
    <row r="1790" spans="1:13" ht="14.4">
      <c r="A1790" s="199" t="str">
        <f ca="1">IFERROR(__xludf.DUMMYFUNCTION("""COMPUTED_VALUE"""),"RH")</f>
        <v>RH</v>
      </c>
      <c r="B1790" s="207" t="str">
        <f ca="1">IFERROR(__xludf.DUMMYFUNCTION("""COMPUTED_VALUE"""),"Sophia Cain")</f>
        <v>Sophia Cain</v>
      </c>
      <c r="C1790" s="199">
        <f ca="1">IFERROR(__xludf.DUMMYFUNCTION("""COMPUTED_VALUE"""),11)</f>
        <v>11</v>
      </c>
      <c r="D1790" s="199" t="str">
        <f ca="1">IFERROR(__xludf.DUMMYFUNCTION("""COMPUTED_VALUE"""),"G")</f>
        <v>G</v>
      </c>
      <c r="E1790" s="202" t="str">
        <f ca="1">IFERROR(__xludf.DUMMYFUNCTION("""COMPUTED_VALUE"""),"J")</f>
        <v>J</v>
      </c>
      <c r="F1790" s="202" t="str">
        <f ca="1">IFERROR(__xludf.DUMMYFUNCTION("""COMPUTED_VALUE"""),"I")</f>
        <v>I</v>
      </c>
      <c r="G1790" s="202">
        <f ca="1">IFERROR(__xludf.DUMMYFUNCTION("""COMPUTED_VALUE"""),5)</f>
        <v>5</v>
      </c>
      <c r="H1790" s="208"/>
      <c r="I1790" s="208"/>
      <c r="J1790" s="208"/>
      <c r="K1790" s="208"/>
      <c r="L1790" s="208" t="str">
        <v/>
      </c>
      <c r="M1790" s="208" t="str">
        <v/>
      </c>
    </row>
    <row r="1791" spans="1:13" ht="14.4">
      <c r="A1791" s="199" t="str">
        <f ca="1">IFERROR(__xludf.DUMMYFUNCTION("""COMPUTED_VALUE"""),"RH")</f>
        <v>RH</v>
      </c>
      <c r="B1791" s="207" t="str">
        <f ca="1">IFERROR(__xludf.DUMMYFUNCTION("""COMPUTED_VALUE"""),"Sophia Newtson")</f>
        <v>Sophia Newtson</v>
      </c>
      <c r="C1791" s="199">
        <f ca="1">IFERROR(__xludf.DUMMYFUNCTION("""COMPUTED_VALUE"""),12)</f>
        <v>12</v>
      </c>
      <c r="D1791" s="199" t="str">
        <f ca="1">IFERROR(__xludf.DUMMYFUNCTION("""COMPUTED_VALUE"""),"G")</f>
        <v>G</v>
      </c>
      <c r="E1791" s="202" t="str">
        <f ca="1">IFERROR(__xludf.DUMMYFUNCTION("""COMPUTED_VALUE"""),"J")</f>
        <v>J</v>
      </c>
      <c r="F1791" s="202" t="str">
        <f ca="1">IFERROR(__xludf.DUMMYFUNCTION("""COMPUTED_VALUE"""),"I")</f>
        <v>I</v>
      </c>
      <c r="G1791" s="202">
        <f ca="1">IFERROR(__xludf.DUMMYFUNCTION("""COMPUTED_VALUE"""),5)</f>
        <v>5</v>
      </c>
      <c r="H1791" s="208">
        <v>68.349999999999994</v>
      </c>
      <c r="I1791" s="208"/>
      <c r="J1791" s="208" t="s">
        <v>121</v>
      </c>
      <c r="K1791" s="208"/>
      <c r="L1791" s="208" t="str">
        <v xml:space="preserve"> 68.35</v>
      </c>
      <c r="M1791" s="208" t="str">
        <v/>
      </c>
    </row>
    <row r="1792" spans="1:13" ht="14.4">
      <c r="A1792" s="199" t="str">
        <f ca="1">IFERROR(__xludf.DUMMYFUNCTION("""COMPUTED_VALUE"""),"RH")</f>
        <v>RH</v>
      </c>
      <c r="B1792" s="207" t="str">
        <f ca="1">IFERROR(__xludf.DUMMYFUNCTION("""COMPUTED_VALUE"""),"Jadon Butler")</f>
        <v>Jadon Butler</v>
      </c>
      <c r="C1792" s="199">
        <f ca="1">IFERROR(__xludf.DUMMYFUNCTION("""COMPUTED_VALUE"""),16)</f>
        <v>16</v>
      </c>
      <c r="D1792" s="199" t="str">
        <f ca="1">IFERROR(__xludf.DUMMYFUNCTION("""COMPUTED_VALUE"""),"B")</f>
        <v>B</v>
      </c>
      <c r="E1792" s="202" t="str">
        <f ca="1">IFERROR(__xludf.DUMMYFUNCTION("""COMPUTED_VALUE"""),"S")</f>
        <v>S</v>
      </c>
      <c r="F1792" s="202" t="str">
        <f ca="1">IFERROR(__xludf.DUMMYFUNCTION("""COMPUTED_VALUE"""),"S")</f>
        <v>S</v>
      </c>
      <c r="G1792" s="202">
        <f ca="1">IFERROR(__xludf.DUMMYFUNCTION("""COMPUTED_VALUE"""),5)</f>
        <v>5</v>
      </c>
      <c r="H1792" s="208"/>
      <c r="I1792" s="208">
        <v>214</v>
      </c>
      <c r="J1792" s="208"/>
      <c r="K1792" s="208" t="s">
        <v>121</v>
      </c>
      <c r="L1792" s="208" t="str">
        <v xml:space="preserve"> 214</v>
      </c>
      <c r="M1792" s="208" t="str">
        <v/>
      </c>
    </row>
    <row r="1793" spans="1:13" ht="14.4">
      <c r="A1793" s="199" t="str">
        <f ca="1">IFERROR(__xludf.DUMMYFUNCTION("""COMPUTED_VALUE"""),"RH")</f>
        <v>RH</v>
      </c>
      <c r="B1793" s="207" t="str">
        <f ca="1">IFERROR(__xludf.DUMMYFUNCTION("""COMPUTED_VALUE"""),"Kyleah Harbort")</f>
        <v>Kyleah Harbort</v>
      </c>
      <c r="C1793" s="199">
        <f ca="1">IFERROR(__xludf.DUMMYFUNCTION("""COMPUTED_VALUE"""),18)</f>
        <v>18</v>
      </c>
      <c r="D1793" s="199" t="str">
        <f ca="1">IFERROR(__xludf.DUMMYFUNCTION("""COMPUTED_VALUE"""),"G")</f>
        <v>G</v>
      </c>
      <c r="E1793" s="202" t="str">
        <f ca="1">IFERROR(__xludf.DUMMYFUNCTION("""COMPUTED_VALUE"""),"S")</f>
        <v>S</v>
      </c>
      <c r="F1793" s="202" t="str">
        <f ca="1">IFERROR(__xludf.DUMMYFUNCTION("""COMPUTED_VALUE"""),"S")</f>
        <v>S</v>
      </c>
      <c r="G1793" s="202">
        <f ca="1">IFERROR(__xludf.DUMMYFUNCTION("""COMPUTED_VALUE"""),5)</f>
        <v>5</v>
      </c>
      <c r="H1793" s="208">
        <v>176.8</v>
      </c>
      <c r="I1793" s="208"/>
      <c r="J1793" s="208" t="s">
        <v>121</v>
      </c>
      <c r="K1793" s="208"/>
      <c r="L1793" s="208" t="str">
        <v xml:space="preserve"> 176.8</v>
      </c>
      <c r="M1793" s="208" t="str">
        <v/>
      </c>
    </row>
    <row r="1794" spans="1:13" ht="14.4">
      <c r="A1794" s="199" t="str">
        <f ca="1">IFERROR(__xludf.DUMMYFUNCTION("""COMPUTED_VALUE"""),"RH")</f>
        <v>RH</v>
      </c>
      <c r="B1794" s="207" t="str">
        <f ca="1">IFERROR(__xludf.DUMMYFUNCTION("""COMPUTED_VALUE"""),"Mary Callahan")</f>
        <v>Mary Callahan</v>
      </c>
      <c r="C1794" s="199">
        <f ca="1">IFERROR(__xludf.DUMMYFUNCTION("""COMPUTED_VALUE"""),16)</f>
        <v>16</v>
      </c>
      <c r="D1794" s="199" t="str">
        <f ca="1">IFERROR(__xludf.DUMMYFUNCTION("""COMPUTED_VALUE"""),"G")</f>
        <v>G</v>
      </c>
      <c r="E1794" s="202" t="str">
        <f ca="1">IFERROR(__xludf.DUMMYFUNCTION("""COMPUTED_VALUE"""),"S")</f>
        <v>S</v>
      </c>
      <c r="F1794" s="202" t="str">
        <f ca="1">IFERROR(__xludf.DUMMYFUNCTION("""COMPUTED_VALUE"""),"S")</f>
        <v>S</v>
      </c>
      <c r="G1794" s="202">
        <f ca="1">IFERROR(__xludf.DUMMYFUNCTION("""COMPUTED_VALUE"""),5)</f>
        <v>5</v>
      </c>
      <c r="H1794" s="208">
        <v>124</v>
      </c>
      <c r="I1794" s="208"/>
      <c r="J1794" s="208" t="s">
        <v>121</v>
      </c>
      <c r="K1794" s="208"/>
      <c r="L1794" s="208" t="str">
        <v xml:space="preserve"> 124</v>
      </c>
      <c r="M1794" s="208" t="str">
        <v/>
      </c>
    </row>
    <row r="1795" spans="1:13" ht="14.4">
      <c r="A1795" s="199" t="str">
        <f ca="1">IFERROR(__xludf.DUMMYFUNCTION("""COMPUTED_VALUE"""),"RH")</f>
        <v>RH</v>
      </c>
      <c r="B1795" s="207" t="str">
        <f ca="1">IFERROR(__xludf.DUMMYFUNCTION("""COMPUTED_VALUE"""),"Nicole Perkins")</f>
        <v>Nicole Perkins</v>
      </c>
      <c r="C1795" s="199">
        <f ca="1">IFERROR(__xludf.DUMMYFUNCTION("""COMPUTED_VALUE"""),16)</f>
        <v>16</v>
      </c>
      <c r="D1795" s="199" t="str">
        <f ca="1">IFERROR(__xludf.DUMMYFUNCTION("""COMPUTED_VALUE"""),"G")</f>
        <v>G</v>
      </c>
      <c r="E1795" s="202" t="str">
        <f ca="1">IFERROR(__xludf.DUMMYFUNCTION("""COMPUTED_VALUE"""),"S")</f>
        <v>S</v>
      </c>
      <c r="F1795" s="202" t="str">
        <f ca="1">IFERROR(__xludf.DUMMYFUNCTION("""COMPUTED_VALUE"""),"S")</f>
        <v>S</v>
      </c>
      <c r="G1795" s="202">
        <f ca="1">IFERROR(__xludf.DUMMYFUNCTION("""COMPUTED_VALUE"""),5)</f>
        <v>5</v>
      </c>
      <c r="H1795" s="208">
        <v>133.80000000000001</v>
      </c>
      <c r="I1795" s="208"/>
      <c r="J1795" s="208" t="s">
        <v>121</v>
      </c>
      <c r="K1795" s="208"/>
      <c r="L1795" s="208" t="str">
        <v xml:space="preserve"> 133.8</v>
      </c>
      <c r="M1795" s="208" t="str">
        <v/>
      </c>
    </row>
    <row r="1796" spans="1:13" ht="14.4">
      <c r="A1796" s="199" t="str">
        <f ca="1">IFERROR(__xludf.DUMMYFUNCTION("""COMPUTED_VALUE"""),"S")</f>
        <v>S</v>
      </c>
      <c r="B1796" s="207" t="str">
        <f ca="1">IFERROR(__xludf.DUMMYFUNCTION("""COMPUTED_VALUE"""),"Benjamin Dane")</f>
        <v>Benjamin Dane</v>
      </c>
      <c r="C1796" s="199">
        <f ca="1">IFERROR(__xludf.DUMMYFUNCTION("""COMPUTED_VALUE"""),9)</f>
        <v>9</v>
      </c>
      <c r="D1796" s="199" t="str">
        <f ca="1">IFERROR(__xludf.DUMMYFUNCTION("""COMPUTED_VALUE"""),"B")</f>
        <v>B</v>
      </c>
      <c r="E1796" s="202" t="str">
        <f ca="1">IFERROR(__xludf.DUMMYFUNCTION("""COMPUTED_VALUE"""),"F")</f>
        <v>F</v>
      </c>
      <c r="F1796" s="202" t="str">
        <f ca="1">IFERROR(__xludf.DUMMYFUNCTION("""COMPUTED_VALUE"""),"J")</f>
        <v>J</v>
      </c>
      <c r="G1796" s="202">
        <f ca="1">IFERROR(__xludf.DUMMYFUNCTION("""COMPUTED_VALUE"""),8)</f>
        <v>8</v>
      </c>
      <c r="H1796" s="208"/>
      <c r="I1796" s="208">
        <v>30.95</v>
      </c>
      <c r="J1796" s="208"/>
      <c r="K1796" s="208" t="s">
        <v>121</v>
      </c>
      <c r="L1796" s="208" t="str">
        <v xml:space="preserve"> 30.95</v>
      </c>
      <c r="M1796" s="208" t="str">
        <v/>
      </c>
    </row>
    <row r="1797" spans="1:13" ht="14.4">
      <c r="A1797" s="199" t="str">
        <f ca="1">IFERROR(__xludf.DUMMYFUNCTION("""COMPUTED_VALUE"""),"S")</f>
        <v>S</v>
      </c>
      <c r="B1797" s="207" t="str">
        <f ca="1">IFERROR(__xludf.DUMMYFUNCTION("""COMPUTED_VALUE"""),"Brendan Castro")</f>
        <v>Brendan Castro</v>
      </c>
      <c r="C1797" s="199">
        <f ca="1">IFERROR(__xludf.DUMMYFUNCTION("""COMPUTED_VALUE"""),9)</f>
        <v>9</v>
      </c>
      <c r="D1797" s="199" t="str">
        <f ca="1">IFERROR(__xludf.DUMMYFUNCTION("""COMPUTED_VALUE"""),"B")</f>
        <v>B</v>
      </c>
      <c r="E1797" s="202" t="str">
        <f ca="1">IFERROR(__xludf.DUMMYFUNCTION("""COMPUTED_VALUE"""),"F")</f>
        <v>F</v>
      </c>
      <c r="F1797" s="202" t="str">
        <f ca="1">IFERROR(__xludf.DUMMYFUNCTION("""COMPUTED_VALUE"""),"J")</f>
        <v>J</v>
      </c>
      <c r="G1797" s="202">
        <f ca="1">IFERROR(__xludf.DUMMYFUNCTION("""COMPUTED_VALUE"""),8)</f>
        <v>8</v>
      </c>
      <c r="H1797" s="208"/>
      <c r="I1797" s="208">
        <v>62.35</v>
      </c>
      <c r="J1797" s="208"/>
      <c r="K1797" s="208" t="s">
        <v>121</v>
      </c>
      <c r="L1797" s="208" t="str">
        <v xml:space="preserve"> 62.35</v>
      </c>
      <c r="M1797" s="208" t="str">
        <v/>
      </c>
    </row>
    <row r="1798" spans="1:13" ht="14.4">
      <c r="A1798" s="199" t="str">
        <f ca="1">IFERROR(__xludf.DUMMYFUNCTION("""COMPUTED_VALUE"""),"S")</f>
        <v>S</v>
      </c>
      <c r="B1798" s="207" t="str">
        <f ca="1">IFERROR(__xludf.DUMMYFUNCTION("""COMPUTED_VALUE"""),"Caiden Calhoun")</f>
        <v>Caiden Calhoun</v>
      </c>
      <c r="C1798" s="199">
        <f ca="1">IFERROR(__xludf.DUMMYFUNCTION("""COMPUTED_VALUE"""),10)</f>
        <v>10</v>
      </c>
      <c r="D1798" s="199" t="str">
        <f ca="1">IFERROR(__xludf.DUMMYFUNCTION("""COMPUTED_VALUE"""),"B")</f>
        <v>B</v>
      </c>
      <c r="E1798" s="202" t="str">
        <f ca="1">IFERROR(__xludf.DUMMYFUNCTION("""COMPUTED_VALUE"""),"F")</f>
        <v>F</v>
      </c>
      <c r="F1798" s="202" t="str">
        <f ca="1">IFERROR(__xludf.DUMMYFUNCTION("""COMPUTED_VALUE"""),"J")</f>
        <v>J</v>
      </c>
      <c r="G1798" s="202">
        <f ca="1">IFERROR(__xludf.DUMMYFUNCTION("""COMPUTED_VALUE"""),8)</f>
        <v>8</v>
      </c>
      <c r="H1798" s="208"/>
      <c r="I1798" s="208">
        <v>63.55</v>
      </c>
      <c r="J1798" s="208"/>
      <c r="K1798" s="208" t="s">
        <v>121</v>
      </c>
      <c r="L1798" s="208" t="str">
        <v xml:space="preserve"> 63.55</v>
      </c>
      <c r="M1798" s="208" t="str">
        <v/>
      </c>
    </row>
    <row r="1799" spans="1:13" ht="14.4">
      <c r="A1799" s="199" t="str">
        <f ca="1">IFERROR(__xludf.DUMMYFUNCTION("""COMPUTED_VALUE"""),"S")</f>
        <v>S</v>
      </c>
      <c r="B1799" s="207" t="str">
        <f ca="1">IFERROR(__xludf.DUMMYFUNCTION("""COMPUTED_VALUE"""),"Caleb Orban")</f>
        <v>Caleb Orban</v>
      </c>
      <c r="C1799" s="199">
        <f ca="1">IFERROR(__xludf.DUMMYFUNCTION("""COMPUTED_VALUE"""),10)</f>
        <v>10</v>
      </c>
      <c r="D1799" s="199" t="str">
        <f ca="1">IFERROR(__xludf.DUMMYFUNCTION("""COMPUTED_VALUE"""),"B")</f>
        <v>B</v>
      </c>
      <c r="E1799" s="202" t="str">
        <f ca="1">IFERROR(__xludf.DUMMYFUNCTION("""COMPUTED_VALUE"""),"F")</f>
        <v>F</v>
      </c>
      <c r="F1799" s="202" t="str">
        <f ca="1">IFERROR(__xludf.DUMMYFUNCTION("""COMPUTED_VALUE"""),"J")</f>
        <v>J</v>
      </c>
      <c r="G1799" s="202">
        <f ca="1">IFERROR(__xludf.DUMMYFUNCTION("""COMPUTED_VALUE"""),8)</f>
        <v>8</v>
      </c>
      <c r="H1799" s="208"/>
      <c r="I1799" s="208">
        <v>75.400000000000006</v>
      </c>
      <c r="J1799" s="208"/>
      <c r="K1799" s="208" t="s">
        <v>123</v>
      </c>
      <c r="L1799" s="208" t="str">
        <v xml:space="preserve"> -75.4</v>
      </c>
      <c r="M1799" s="208" t="str">
        <v>^</v>
      </c>
    </row>
    <row r="1800" spans="1:13" ht="14.4">
      <c r="A1800" s="199" t="str">
        <f ca="1">IFERROR(__xludf.DUMMYFUNCTION("""COMPUTED_VALUE"""),"S")</f>
        <v>S</v>
      </c>
      <c r="B1800" s="207" t="str">
        <f ca="1">IFERROR(__xludf.DUMMYFUNCTION("""COMPUTED_VALUE"""),"Cristiano Garcia")</f>
        <v>Cristiano Garcia</v>
      </c>
      <c r="C1800" s="199">
        <f ca="1">IFERROR(__xludf.DUMMYFUNCTION("""COMPUTED_VALUE"""),10)</f>
        <v>10</v>
      </c>
      <c r="D1800" s="199" t="str">
        <f ca="1">IFERROR(__xludf.DUMMYFUNCTION("""COMPUTED_VALUE"""),"B")</f>
        <v>B</v>
      </c>
      <c r="E1800" s="202" t="str">
        <f ca="1">IFERROR(__xludf.DUMMYFUNCTION("""COMPUTED_VALUE"""),"F")</f>
        <v>F</v>
      </c>
      <c r="F1800" s="202" t="str">
        <f ca="1">IFERROR(__xludf.DUMMYFUNCTION("""COMPUTED_VALUE"""),"J")</f>
        <v>J</v>
      </c>
      <c r="G1800" s="202">
        <f ca="1">IFERROR(__xludf.DUMMYFUNCTION("""COMPUTED_VALUE"""),8)</f>
        <v>8</v>
      </c>
      <c r="H1800" s="208"/>
      <c r="I1800" s="208">
        <v>145.15</v>
      </c>
      <c r="J1800" s="208"/>
      <c r="K1800" s="208" t="s">
        <v>123</v>
      </c>
      <c r="L1800" s="208" t="str">
        <v xml:space="preserve"> -145.15</v>
      </c>
      <c r="M1800" s="208" t="str">
        <v>^</v>
      </c>
    </row>
    <row r="1801" spans="1:13" ht="14.4">
      <c r="A1801" s="199" t="str">
        <f ca="1">IFERROR(__xludf.DUMMYFUNCTION("""COMPUTED_VALUE"""),"S")</f>
        <v>S</v>
      </c>
      <c r="B1801" s="207" t="str">
        <f ca="1">IFERROR(__xludf.DUMMYFUNCTION("""COMPUTED_VALUE"""),"Felix Castro")</f>
        <v>Felix Castro</v>
      </c>
      <c r="C1801" s="199">
        <f ca="1">IFERROR(__xludf.DUMMYFUNCTION("""COMPUTED_VALUE"""),7)</f>
        <v>7</v>
      </c>
      <c r="D1801" s="199" t="str">
        <f ca="1">IFERROR(__xludf.DUMMYFUNCTION("""COMPUTED_VALUE"""),"B")</f>
        <v>B</v>
      </c>
      <c r="E1801" s="202" t="str">
        <f ca="1">IFERROR(__xludf.DUMMYFUNCTION("""COMPUTED_VALUE"""),"F")</f>
        <v>F</v>
      </c>
      <c r="F1801" s="202" t="str">
        <f ca="1">IFERROR(__xludf.DUMMYFUNCTION("""COMPUTED_VALUE"""),"J")</f>
        <v>J</v>
      </c>
      <c r="G1801" s="202">
        <f ca="1">IFERROR(__xludf.DUMMYFUNCTION("""COMPUTED_VALUE"""),8)</f>
        <v>8</v>
      </c>
      <c r="H1801" s="208"/>
      <c r="I1801" s="208"/>
      <c r="J1801" s="208"/>
      <c r="K1801" s="208"/>
      <c r="L1801" s="208" t="str">
        <v/>
      </c>
      <c r="M1801" s="208" t="str">
        <v/>
      </c>
    </row>
    <row r="1802" spans="1:13" ht="14.4">
      <c r="A1802" s="199" t="str">
        <f ca="1">IFERROR(__xludf.DUMMYFUNCTION("""COMPUTED_VALUE"""),"S")</f>
        <v>S</v>
      </c>
      <c r="B1802" s="207" t="str">
        <f ca="1">IFERROR(__xludf.DUMMYFUNCTION("""COMPUTED_VALUE"""),"Fionn Cahill")</f>
        <v>Fionn Cahill</v>
      </c>
      <c r="C1802" s="199">
        <f ca="1">IFERROR(__xludf.DUMMYFUNCTION("""COMPUTED_VALUE"""),6)</f>
        <v>6</v>
      </c>
      <c r="D1802" s="199" t="str">
        <f ca="1">IFERROR(__xludf.DUMMYFUNCTION("""COMPUTED_VALUE"""),"B")</f>
        <v>B</v>
      </c>
      <c r="E1802" s="202" t="str">
        <f ca="1">IFERROR(__xludf.DUMMYFUNCTION("""COMPUTED_VALUE"""),"F")</f>
        <v>F</v>
      </c>
      <c r="F1802" s="202" t="str">
        <f ca="1">IFERROR(__xludf.DUMMYFUNCTION("""COMPUTED_VALUE"""),"J")</f>
        <v>J</v>
      </c>
      <c r="G1802" s="202">
        <f ca="1">IFERROR(__xludf.DUMMYFUNCTION("""COMPUTED_VALUE"""),8)</f>
        <v>8</v>
      </c>
      <c r="H1802" s="208"/>
      <c r="I1802" s="208"/>
      <c r="J1802" s="208"/>
      <c r="K1802" s="208"/>
      <c r="L1802" s="208" t="str">
        <v/>
      </c>
      <c r="M1802" s="208" t="str">
        <v/>
      </c>
    </row>
    <row r="1803" spans="1:13" ht="14.4">
      <c r="A1803" s="199" t="str">
        <f ca="1">IFERROR(__xludf.DUMMYFUNCTION("""COMPUTED_VALUE"""),"S")</f>
        <v>S</v>
      </c>
      <c r="B1803" s="207" t="str">
        <f ca="1">IFERROR(__xludf.DUMMYFUNCTION("""COMPUTED_VALUE"""),"Henry Martin")</f>
        <v>Henry Martin</v>
      </c>
      <c r="C1803" s="199">
        <f ca="1">IFERROR(__xludf.DUMMYFUNCTION("""COMPUTED_VALUE"""),8)</f>
        <v>8</v>
      </c>
      <c r="D1803" s="199" t="str">
        <f ca="1">IFERROR(__xludf.DUMMYFUNCTION("""COMPUTED_VALUE"""),"B")</f>
        <v>B</v>
      </c>
      <c r="E1803" s="202" t="str">
        <f ca="1">IFERROR(__xludf.DUMMYFUNCTION("""COMPUTED_VALUE"""),"F")</f>
        <v>F</v>
      </c>
      <c r="F1803" s="202" t="str">
        <f ca="1">IFERROR(__xludf.DUMMYFUNCTION("""COMPUTED_VALUE"""),"J")</f>
        <v>J</v>
      </c>
      <c r="G1803" s="202">
        <f ca="1">IFERROR(__xludf.DUMMYFUNCTION("""COMPUTED_VALUE"""),8)</f>
        <v>8</v>
      </c>
      <c r="H1803" s="208"/>
      <c r="I1803" s="208"/>
      <c r="J1803" s="208"/>
      <c r="K1803" s="208"/>
      <c r="L1803" s="208" t="str">
        <v/>
      </c>
      <c r="M1803" s="208" t="str">
        <v/>
      </c>
    </row>
    <row r="1804" spans="1:13" ht="14.4">
      <c r="A1804" s="199" t="str">
        <f ca="1">IFERROR(__xludf.DUMMYFUNCTION("""COMPUTED_VALUE"""),"S")</f>
        <v>S</v>
      </c>
      <c r="B1804" s="207" t="str">
        <f ca="1">IFERROR(__xludf.DUMMYFUNCTION("""COMPUTED_VALUE"""),"Matthew Rempe")</f>
        <v>Matthew Rempe</v>
      </c>
      <c r="C1804" s="199">
        <f ca="1">IFERROR(__xludf.DUMMYFUNCTION("""COMPUTED_VALUE"""),7)</f>
        <v>7</v>
      </c>
      <c r="D1804" s="199" t="str">
        <f ca="1">IFERROR(__xludf.DUMMYFUNCTION("""COMPUTED_VALUE"""),"B")</f>
        <v>B</v>
      </c>
      <c r="E1804" s="202" t="str">
        <f ca="1">IFERROR(__xludf.DUMMYFUNCTION("""COMPUTED_VALUE"""),"F")</f>
        <v>F</v>
      </c>
      <c r="F1804" s="202" t="str">
        <f ca="1">IFERROR(__xludf.DUMMYFUNCTION("""COMPUTED_VALUE"""),"J")</f>
        <v>J</v>
      </c>
      <c r="G1804" s="202">
        <f ca="1">IFERROR(__xludf.DUMMYFUNCTION("""COMPUTED_VALUE"""),8)</f>
        <v>8</v>
      </c>
      <c r="H1804" s="208"/>
      <c r="I1804" s="208">
        <v>48.85</v>
      </c>
      <c r="J1804" s="208"/>
      <c r="K1804" s="208" t="s">
        <v>121</v>
      </c>
      <c r="L1804" s="208" t="str">
        <v xml:space="preserve"> 48.85</v>
      </c>
      <c r="M1804" s="208" t="str">
        <v/>
      </c>
    </row>
    <row r="1805" spans="1:13" ht="14.4">
      <c r="A1805" s="199" t="str">
        <f ca="1">IFERROR(__xludf.DUMMYFUNCTION("""COMPUTED_VALUE"""),"S")</f>
        <v>S</v>
      </c>
      <c r="B1805" s="207" t="str">
        <f ca="1">IFERROR(__xludf.DUMMYFUNCTION("""COMPUTED_VALUE"""),"Ali Dane")</f>
        <v>Ali Dane</v>
      </c>
      <c r="C1805" s="199">
        <f ca="1">IFERROR(__xludf.DUMMYFUNCTION("""COMPUTED_VALUE"""),8)</f>
        <v>8</v>
      </c>
      <c r="D1805" s="199" t="str">
        <f ca="1">IFERROR(__xludf.DUMMYFUNCTION("""COMPUTED_VALUE"""),"G")</f>
        <v>G</v>
      </c>
      <c r="E1805" s="202" t="str">
        <f ca="1">IFERROR(__xludf.DUMMYFUNCTION("""COMPUTED_VALUE"""),"F")</f>
        <v>F</v>
      </c>
      <c r="F1805" s="202" t="str">
        <f ca="1">IFERROR(__xludf.DUMMYFUNCTION("""COMPUTED_VALUE"""),"J")</f>
        <v>J</v>
      </c>
      <c r="G1805" s="202">
        <f ca="1">IFERROR(__xludf.DUMMYFUNCTION("""COMPUTED_VALUE"""),8)</f>
        <v>8</v>
      </c>
      <c r="H1805" s="208"/>
      <c r="I1805" s="208"/>
      <c r="J1805" s="208"/>
      <c r="K1805" s="208"/>
      <c r="L1805" s="208" t="str">
        <v/>
      </c>
      <c r="M1805" s="208" t="str">
        <v/>
      </c>
    </row>
    <row r="1806" spans="1:13" ht="14.4">
      <c r="A1806" s="199" t="str">
        <f ca="1">IFERROR(__xludf.DUMMYFUNCTION("""COMPUTED_VALUE"""),"S")</f>
        <v>S</v>
      </c>
      <c r="B1806" s="207" t="str">
        <f ca="1">IFERROR(__xludf.DUMMYFUNCTION("""COMPUTED_VALUE"""),"Anna Silver")</f>
        <v>Anna Silver</v>
      </c>
      <c r="C1806" s="199">
        <f ca="1">IFERROR(__xludf.DUMMYFUNCTION("""COMPUTED_VALUE"""),7)</f>
        <v>7</v>
      </c>
      <c r="D1806" s="199" t="str">
        <f ca="1">IFERROR(__xludf.DUMMYFUNCTION("""COMPUTED_VALUE"""),"G")</f>
        <v>G</v>
      </c>
      <c r="E1806" s="202" t="str">
        <f ca="1">IFERROR(__xludf.DUMMYFUNCTION("""COMPUTED_VALUE"""),"F")</f>
        <v>F</v>
      </c>
      <c r="F1806" s="202" t="str">
        <f ca="1">IFERROR(__xludf.DUMMYFUNCTION("""COMPUTED_VALUE"""),"J")</f>
        <v>J</v>
      </c>
      <c r="G1806" s="202">
        <f ca="1">IFERROR(__xludf.DUMMYFUNCTION("""COMPUTED_VALUE"""),8)</f>
        <v>8</v>
      </c>
      <c r="H1806" s="208"/>
      <c r="I1806" s="208"/>
      <c r="J1806" s="208"/>
      <c r="K1806" s="208"/>
      <c r="L1806" s="208" t="str">
        <v/>
      </c>
      <c r="M1806" s="208" t="str">
        <v/>
      </c>
    </row>
    <row r="1807" spans="1:13" ht="14.4">
      <c r="A1807" s="199" t="str">
        <f ca="1">IFERROR(__xludf.DUMMYFUNCTION("""COMPUTED_VALUE"""),"S")</f>
        <v>S</v>
      </c>
      <c r="B1807" s="207" t="str">
        <f ca="1">IFERROR(__xludf.DUMMYFUNCTION("""COMPUTED_VALUE"""),"Avery Berg")</f>
        <v>Avery Berg</v>
      </c>
      <c r="C1807" s="199">
        <f ca="1">IFERROR(__xludf.DUMMYFUNCTION("""COMPUTED_VALUE"""),10)</f>
        <v>10</v>
      </c>
      <c r="D1807" s="199" t="str">
        <f ca="1">IFERROR(__xludf.DUMMYFUNCTION("""COMPUTED_VALUE"""),"G")</f>
        <v>G</v>
      </c>
      <c r="E1807" s="202" t="str">
        <f ca="1">IFERROR(__xludf.DUMMYFUNCTION("""COMPUTED_VALUE"""),"F")</f>
        <v>F</v>
      </c>
      <c r="F1807" s="202" t="str">
        <f ca="1">IFERROR(__xludf.DUMMYFUNCTION("""COMPUTED_VALUE"""),"J")</f>
        <v>J</v>
      </c>
      <c r="G1807" s="202">
        <f ca="1">IFERROR(__xludf.DUMMYFUNCTION("""COMPUTED_VALUE"""),8)</f>
        <v>8</v>
      </c>
      <c r="H1807" s="208">
        <v>20.75</v>
      </c>
      <c r="I1807" s="208"/>
      <c r="J1807" s="208" t="s">
        <v>121</v>
      </c>
      <c r="K1807" s="208"/>
      <c r="L1807" s="208" t="str">
        <v xml:space="preserve"> 20.75</v>
      </c>
      <c r="M1807" s="208" t="str">
        <v/>
      </c>
    </row>
    <row r="1808" spans="1:13" ht="14.4">
      <c r="A1808" s="199" t="str">
        <f ca="1">IFERROR(__xludf.DUMMYFUNCTION("""COMPUTED_VALUE"""),"S")</f>
        <v>S</v>
      </c>
      <c r="B1808" s="207" t="str">
        <f ca="1">IFERROR(__xludf.DUMMYFUNCTION("""COMPUTED_VALUE"""),"Brigid Cahill")</f>
        <v>Brigid Cahill</v>
      </c>
      <c r="C1808" s="199">
        <f ca="1">IFERROR(__xludf.DUMMYFUNCTION("""COMPUTED_VALUE"""),8)</f>
        <v>8</v>
      </c>
      <c r="D1808" s="199" t="str">
        <f ca="1">IFERROR(__xludf.DUMMYFUNCTION("""COMPUTED_VALUE"""),"G")</f>
        <v>G</v>
      </c>
      <c r="E1808" s="202" t="str">
        <f ca="1">IFERROR(__xludf.DUMMYFUNCTION("""COMPUTED_VALUE"""),"F")</f>
        <v>F</v>
      </c>
      <c r="F1808" s="202" t="str">
        <f ca="1">IFERROR(__xludf.DUMMYFUNCTION("""COMPUTED_VALUE"""),"J")</f>
        <v>J</v>
      </c>
      <c r="G1808" s="202">
        <f ca="1">IFERROR(__xludf.DUMMYFUNCTION("""COMPUTED_VALUE"""),8)</f>
        <v>8</v>
      </c>
      <c r="H1808" s="208">
        <v>44.6</v>
      </c>
      <c r="I1808" s="208"/>
      <c r="J1808" s="208" t="s">
        <v>121</v>
      </c>
      <c r="K1808" s="208"/>
      <c r="L1808" s="208" t="str">
        <v xml:space="preserve"> 44.6</v>
      </c>
      <c r="M1808" s="208" t="str">
        <v/>
      </c>
    </row>
    <row r="1809" spans="1:13" ht="14.4">
      <c r="A1809" s="199" t="str">
        <f ca="1">IFERROR(__xludf.DUMMYFUNCTION("""COMPUTED_VALUE"""),"S")</f>
        <v>S</v>
      </c>
      <c r="B1809" s="207" t="str">
        <f ca="1">IFERROR(__xludf.DUMMYFUNCTION("""COMPUTED_VALUE"""),"Isabella Darter")</f>
        <v>Isabella Darter</v>
      </c>
      <c r="C1809" s="199">
        <f ca="1">IFERROR(__xludf.DUMMYFUNCTION("""COMPUTED_VALUE"""),9)</f>
        <v>9</v>
      </c>
      <c r="D1809" s="199" t="str">
        <f ca="1">IFERROR(__xludf.DUMMYFUNCTION("""COMPUTED_VALUE"""),"G")</f>
        <v>G</v>
      </c>
      <c r="E1809" s="202" t="str">
        <f ca="1">IFERROR(__xludf.DUMMYFUNCTION("""COMPUTED_VALUE"""),"F")</f>
        <v>F</v>
      </c>
      <c r="F1809" s="202" t="str">
        <f ca="1">IFERROR(__xludf.DUMMYFUNCTION("""COMPUTED_VALUE"""),"J")</f>
        <v>J</v>
      </c>
      <c r="G1809" s="202">
        <f ca="1">IFERROR(__xludf.DUMMYFUNCTION("""COMPUTED_VALUE"""),8)</f>
        <v>8</v>
      </c>
      <c r="H1809" s="208">
        <v>40.4</v>
      </c>
      <c r="I1809" s="208"/>
      <c r="J1809" s="208" t="s">
        <v>121</v>
      </c>
      <c r="K1809" s="208"/>
      <c r="L1809" s="208" t="str">
        <v xml:space="preserve"> 40.4</v>
      </c>
      <c r="M1809" s="208" t="str">
        <v/>
      </c>
    </row>
    <row r="1810" spans="1:13" ht="14.4">
      <c r="A1810" s="199" t="str">
        <f ca="1">IFERROR(__xludf.DUMMYFUNCTION("""COMPUTED_VALUE"""),"S")</f>
        <v>S</v>
      </c>
      <c r="B1810" s="207" t="str">
        <f ca="1">IFERROR(__xludf.DUMMYFUNCTION("""COMPUTED_VALUE"""),"Maeve Cahill")</f>
        <v>Maeve Cahill</v>
      </c>
      <c r="C1810" s="199">
        <f ca="1">IFERROR(__xludf.DUMMYFUNCTION("""COMPUTED_VALUE"""),6)</f>
        <v>6</v>
      </c>
      <c r="D1810" s="199" t="str">
        <f ca="1">IFERROR(__xludf.DUMMYFUNCTION("""COMPUTED_VALUE"""),"G")</f>
        <v>G</v>
      </c>
      <c r="E1810" s="202" t="str">
        <f ca="1">IFERROR(__xludf.DUMMYFUNCTION("""COMPUTED_VALUE"""),"F")</f>
        <v>F</v>
      </c>
      <c r="F1810" s="202" t="str">
        <f ca="1">IFERROR(__xludf.DUMMYFUNCTION("""COMPUTED_VALUE"""),"J")</f>
        <v>J</v>
      </c>
      <c r="G1810" s="202">
        <f ca="1">IFERROR(__xludf.DUMMYFUNCTION("""COMPUTED_VALUE"""),8)</f>
        <v>8</v>
      </c>
      <c r="H1810" s="208"/>
      <c r="I1810" s="208"/>
      <c r="J1810" s="208"/>
      <c r="K1810" s="208"/>
      <c r="L1810" s="208" t="str">
        <v/>
      </c>
      <c r="M1810" s="208" t="str">
        <v/>
      </c>
    </row>
    <row r="1811" spans="1:13" ht="14.4">
      <c r="A1811" s="199" t="str">
        <f ca="1">IFERROR(__xludf.DUMMYFUNCTION("""COMPUTED_VALUE"""),"S")</f>
        <v>S</v>
      </c>
      <c r="B1811" s="207" t="str">
        <f ca="1">IFERROR(__xludf.DUMMYFUNCTION("""COMPUTED_VALUE"""),"Viviana Del Campo")</f>
        <v>Viviana Del Campo</v>
      </c>
      <c r="C1811" s="199">
        <f ca="1">IFERROR(__xludf.DUMMYFUNCTION("""COMPUTED_VALUE"""),6)</f>
        <v>6</v>
      </c>
      <c r="D1811" s="199" t="str">
        <f ca="1">IFERROR(__xludf.DUMMYFUNCTION("""COMPUTED_VALUE"""),"G")</f>
        <v>G</v>
      </c>
      <c r="E1811" s="202" t="str">
        <f ca="1">IFERROR(__xludf.DUMMYFUNCTION("""COMPUTED_VALUE"""),"F")</f>
        <v>F</v>
      </c>
      <c r="F1811" s="202" t="str">
        <f ca="1">IFERROR(__xludf.DUMMYFUNCTION("""COMPUTED_VALUE"""),"J")</f>
        <v>J</v>
      </c>
      <c r="G1811" s="202">
        <f ca="1">IFERROR(__xludf.DUMMYFUNCTION("""COMPUTED_VALUE"""),8)</f>
        <v>8</v>
      </c>
      <c r="H1811" s="208">
        <v>23.75</v>
      </c>
      <c r="I1811" s="208"/>
      <c r="J1811" s="208" t="s">
        <v>121</v>
      </c>
      <c r="K1811" s="208"/>
      <c r="L1811" s="208" t="str">
        <v xml:space="preserve"> 23.75</v>
      </c>
      <c r="M1811" s="208" t="str">
        <v/>
      </c>
    </row>
    <row r="1812" spans="1:13" ht="14.4">
      <c r="A1812" s="199" t="str">
        <f ca="1">IFERROR(__xludf.DUMMYFUNCTION("""COMPUTED_VALUE"""),"S")</f>
        <v>S</v>
      </c>
      <c r="B1812" s="207" t="str">
        <f ca="1">IFERROR(__xludf.DUMMYFUNCTION("""COMPUTED_VALUE"""),"Zoe Hudson")</f>
        <v>Zoe Hudson</v>
      </c>
      <c r="C1812" s="199">
        <f ca="1">IFERROR(__xludf.DUMMYFUNCTION("""COMPUTED_VALUE"""),8)</f>
        <v>8</v>
      </c>
      <c r="D1812" s="199" t="str">
        <f ca="1">IFERROR(__xludf.DUMMYFUNCTION("""COMPUTED_VALUE"""),"G")</f>
        <v>G</v>
      </c>
      <c r="E1812" s="202" t="str">
        <f ca="1">IFERROR(__xludf.DUMMYFUNCTION("""COMPUTED_VALUE"""),"F")</f>
        <v>F</v>
      </c>
      <c r="F1812" s="202" t="str">
        <f ca="1">IFERROR(__xludf.DUMMYFUNCTION("""COMPUTED_VALUE"""),"J")</f>
        <v>J</v>
      </c>
      <c r="G1812" s="202">
        <f ca="1">IFERROR(__xludf.DUMMYFUNCTION("""COMPUTED_VALUE"""),8)</f>
        <v>8</v>
      </c>
      <c r="H1812" s="208"/>
      <c r="I1812" s="208"/>
      <c r="J1812" s="208"/>
      <c r="K1812" s="208"/>
      <c r="L1812" s="208" t="str">
        <v/>
      </c>
      <c r="M1812" s="208" t="str">
        <v/>
      </c>
    </row>
    <row r="1813" spans="1:13" ht="14.4">
      <c r="A1813" s="199" t="str">
        <f ca="1">IFERROR(__xludf.DUMMYFUNCTION("""COMPUTED_VALUE"""),"S")</f>
        <v>S</v>
      </c>
      <c r="B1813" s="207" t="str">
        <f ca="1">IFERROR(__xludf.DUMMYFUNCTION("""COMPUTED_VALUE"""),"Nat O'Brien")</f>
        <v>Nat O'Brien</v>
      </c>
      <c r="C1813" s="199">
        <f ca="1">IFERROR(__xludf.DUMMYFUNCTION("""COMPUTED_VALUE"""),12)</f>
        <v>12</v>
      </c>
      <c r="D1813" s="199" t="str">
        <f ca="1">IFERROR(__xludf.DUMMYFUNCTION("""COMPUTED_VALUE"""),"B")</f>
        <v>B</v>
      </c>
      <c r="E1813" s="202" t="str">
        <f ca="1">IFERROR(__xludf.DUMMYFUNCTION("""COMPUTED_VALUE"""),"J")</f>
        <v>J</v>
      </c>
      <c r="F1813" s="202" t="str">
        <f ca="1">IFERROR(__xludf.DUMMYFUNCTION("""COMPUTED_VALUE"""),"I")</f>
        <v>I</v>
      </c>
      <c r="G1813" s="202">
        <f ca="1">IFERROR(__xludf.DUMMYFUNCTION("""COMPUTED_VALUE"""),8)</f>
        <v>8</v>
      </c>
      <c r="H1813" s="208"/>
      <c r="I1813" s="208">
        <v>90.3</v>
      </c>
      <c r="J1813" s="208"/>
      <c r="K1813" s="208" t="s">
        <v>123</v>
      </c>
      <c r="L1813" s="208" t="str">
        <v xml:space="preserve"> -90.3</v>
      </c>
      <c r="M1813" s="208" t="str">
        <v>^</v>
      </c>
    </row>
    <row r="1814" spans="1:13" ht="14.4">
      <c r="A1814" s="199" t="str">
        <f ca="1">IFERROR(__xludf.DUMMYFUNCTION("""COMPUTED_VALUE"""),"S")</f>
        <v>S</v>
      </c>
      <c r="B1814" s="207" t="str">
        <f ca="1">IFERROR(__xludf.DUMMYFUNCTION("""COMPUTED_VALUE"""),"Grace Rempe")</f>
        <v>Grace Rempe</v>
      </c>
      <c r="C1814" s="199">
        <f ca="1">IFERROR(__xludf.DUMMYFUNCTION("""COMPUTED_VALUE"""),11)</f>
        <v>11</v>
      </c>
      <c r="D1814" s="199" t="str">
        <f ca="1">IFERROR(__xludf.DUMMYFUNCTION("""COMPUTED_VALUE"""),"G")</f>
        <v>G</v>
      </c>
      <c r="E1814" s="202" t="str">
        <f ca="1">IFERROR(__xludf.DUMMYFUNCTION("""COMPUTED_VALUE"""),"J")</f>
        <v>J</v>
      </c>
      <c r="F1814" s="202" t="str">
        <f ca="1">IFERROR(__xludf.DUMMYFUNCTION("""COMPUTED_VALUE"""),"I")</f>
        <v>I</v>
      </c>
      <c r="G1814" s="202">
        <f ca="1">IFERROR(__xludf.DUMMYFUNCTION("""COMPUTED_VALUE"""),8)</f>
        <v>8</v>
      </c>
      <c r="H1814" s="208">
        <v>68.5</v>
      </c>
      <c r="I1814" s="208"/>
      <c r="J1814" s="208" t="s">
        <v>121</v>
      </c>
      <c r="K1814" s="208"/>
      <c r="L1814" s="208" t="str">
        <v xml:space="preserve"> 68.5</v>
      </c>
      <c r="M1814" s="208" t="str">
        <v/>
      </c>
    </row>
    <row r="1815" spans="1:13" ht="14.4">
      <c r="A1815" s="199" t="str">
        <f ca="1">IFERROR(__xludf.DUMMYFUNCTION("""COMPUTED_VALUE"""),"S")</f>
        <v>S</v>
      </c>
      <c r="B1815" s="207" t="str">
        <f ca="1">IFERROR(__xludf.DUMMYFUNCTION("""COMPUTED_VALUE"""),"Kaia Clark")</f>
        <v>Kaia Clark</v>
      </c>
      <c r="C1815" s="199">
        <f ca="1">IFERROR(__xludf.DUMMYFUNCTION("""COMPUTED_VALUE"""),12)</f>
        <v>12</v>
      </c>
      <c r="D1815" s="199" t="str">
        <f ca="1">IFERROR(__xludf.DUMMYFUNCTION("""COMPUTED_VALUE"""),"G")</f>
        <v>G</v>
      </c>
      <c r="E1815" s="202" t="str">
        <f ca="1">IFERROR(__xludf.DUMMYFUNCTION("""COMPUTED_VALUE"""),"J")</f>
        <v>J</v>
      </c>
      <c r="F1815" s="202" t="str">
        <f ca="1">IFERROR(__xludf.DUMMYFUNCTION("""COMPUTED_VALUE"""),"I")</f>
        <v>I</v>
      </c>
      <c r="G1815" s="202">
        <f ca="1">IFERROR(__xludf.DUMMYFUNCTION("""COMPUTED_VALUE"""),8)</f>
        <v>8</v>
      </c>
      <c r="H1815" s="208">
        <v>78.099999999999994</v>
      </c>
      <c r="I1815" s="208"/>
      <c r="J1815" s="208" t="s">
        <v>121</v>
      </c>
      <c r="K1815" s="208"/>
      <c r="L1815" s="208" t="str">
        <v xml:space="preserve"> 78.1</v>
      </c>
      <c r="M1815" s="208" t="str">
        <v/>
      </c>
    </row>
    <row r="1816" spans="1:13" ht="14.4">
      <c r="A1816" s="199" t="str">
        <f ca="1">IFERROR(__xludf.DUMMYFUNCTION("""COMPUTED_VALUE"""),"S")</f>
        <v>S</v>
      </c>
      <c r="B1816" s="207" t="str">
        <f ca="1">IFERROR(__xludf.DUMMYFUNCTION("""COMPUTED_VALUE"""),"Ari Snow")</f>
        <v>Ari Snow</v>
      </c>
      <c r="C1816" s="199">
        <f ca="1">IFERROR(__xludf.DUMMYFUNCTION("""COMPUTED_VALUE"""),18)</f>
        <v>18</v>
      </c>
      <c r="D1816" s="199" t="str">
        <f ca="1">IFERROR(__xludf.DUMMYFUNCTION("""COMPUTED_VALUE"""),"B")</f>
        <v>B</v>
      </c>
      <c r="E1816" s="202" t="str">
        <f ca="1">IFERROR(__xludf.DUMMYFUNCTION("""COMPUTED_VALUE"""),"S")</f>
        <v>S</v>
      </c>
      <c r="F1816" s="202" t="str">
        <f ca="1">IFERROR(__xludf.DUMMYFUNCTION("""COMPUTED_VALUE"""),"S")</f>
        <v>S</v>
      </c>
      <c r="G1816" s="202">
        <f ca="1">IFERROR(__xludf.DUMMYFUNCTION("""COMPUTED_VALUE"""),8)</f>
        <v>8</v>
      </c>
      <c r="H1816" s="208"/>
      <c r="I1816" s="208">
        <v>254.8</v>
      </c>
      <c r="J1816" s="208"/>
      <c r="K1816" s="208" t="s">
        <v>121</v>
      </c>
      <c r="L1816" s="208" t="str">
        <v xml:space="preserve"> 254.8</v>
      </c>
      <c r="M1816" s="208" t="str">
        <v/>
      </c>
    </row>
    <row r="1817" spans="1:13" ht="14.4">
      <c r="A1817" s="199" t="str">
        <f ca="1">IFERROR(__xludf.DUMMYFUNCTION("""COMPUTED_VALUE"""),"S")</f>
        <v>S</v>
      </c>
      <c r="B1817" s="207" t="str">
        <f ca="1">IFERROR(__xludf.DUMMYFUNCTION("""COMPUTED_VALUE"""),"Tim Isenberg")</f>
        <v>Tim Isenberg</v>
      </c>
      <c r="C1817" s="199">
        <f ca="1">IFERROR(__xludf.DUMMYFUNCTION("""COMPUTED_VALUE"""),17)</f>
        <v>17</v>
      </c>
      <c r="D1817" s="199" t="str">
        <f ca="1">IFERROR(__xludf.DUMMYFUNCTION("""COMPUTED_VALUE"""),"B")</f>
        <v>B</v>
      </c>
      <c r="E1817" s="202" t="str">
        <f ca="1">IFERROR(__xludf.DUMMYFUNCTION("""COMPUTED_VALUE"""),"S")</f>
        <v>S</v>
      </c>
      <c r="F1817" s="202" t="str">
        <f ca="1">IFERROR(__xludf.DUMMYFUNCTION("""COMPUTED_VALUE"""),"S")</f>
        <v>S</v>
      </c>
      <c r="G1817" s="202">
        <f ca="1">IFERROR(__xludf.DUMMYFUNCTION("""COMPUTED_VALUE"""),8)</f>
        <v>8</v>
      </c>
      <c r="H1817" s="208"/>
      <c r="I1817" s="208">
        <v>129.19999999999999</v>
      </c>
      <c r="J1817" s="208"/>
      <c r="K1817" s="208" t="s">
        <v>121</v>
      </c>
      <c r="L1817" s="208" t="str">
        <v xml:space="preserve"> 129.2</v>
      </c>
      <c r="M1817" s="208" t="str">
        <v/>
      </c>
    </row>
    <row r="1818" spans="1:13" ht="14.4">
      <c r="A1818" s="199" t="str">
        <f ca="1">IFERROR(__xludf.DUMMYFUNCTION("""COMPUTED_VALUE"""),"S")</f>
        <v>S</v>
      </c>
      <c r="B1818" s="207" t="str">
        <f ca="1">IFERROR(__xludf.DUMMYFUNCTION("""COMPUTED_VALUE"""),"Abby Bangs")</f>
        <v>Abby Bangs</v>
      </c>
      <c r="C1818" s="199">
        <f ca="1">IFERROR(__xludf.DUMMYFUNCTION("""COMPUTED_VALUE"""),17)</f>
        <v>17</v>
      </c>
      <c r="D1818" s="199" t="str">
        <f ca="1">IFERROR(__xludf.DUMMYFUNCTION("""COMPUTED_VALUE"""),"G")</f>
        <v>G</v>
      </c>
      <c r="E1818" s="202" t="str">
        <f ca="1">IFERROR(__xludf.DUMMYFUNCTION("""COMPUTED_VALUE"""),"S")</f>
        <v>S</v>
      </c>
      <c r="F1818" s="202" t="str">
        <f ca="1">IFERROR(__xludf.DUMMYFUNCTION("""COMPUTED_VALUE"""),"S")</f>
        <v>S</v>
      </c>
      <c r="G1818" s="202">
        <f ca="1">IFERROR(__xludf.DUMMYFUNCTION("""COMPUTED_VALUE"""),8)</f>
        <v>8</v>
      </c>
      <c r="H1818" s="208">
        <v>186</v>
      </c>
      <c r="I1818" s="208"/>
      <c r="J1818" s="208" t="s">
        <v>121</v>
      </c>
      <c r="K1818" s="208"/>
      <c r="L1818" s="208" t="str">
        <v xml:space="preserve"> 186</v>
      </c>
      <c r="M1818" s="208" t="str">
        <v/>
      </c>
    </row>
    <row r="1819" spans="1:13" ht="14.4">
      <c r="A1819" s="199" t="str">
        <f ca="1">IFERROR(__xludf.DUMMYFUNCTION("""COMPUTED_VALUE"""),"S")</f>
        <v>S</v>
      </c>
      <c r="B1819" s="207" t="str">
        <f ca="1">IFERROR(__xludf.DUMMYFUNCTION("""COMPUTED_VALUE"""),"Grace Partain")</f>
        <v>Grace Partain</v>
      </c>
      <c r="C1819" s="199">
        <f ca="1">IFERROR(__xludf.DUMMYFUNCTION("""COMPUTED_VALUE"""),15)</f>
        <v>15</v>
      </c>
      <c r="D1819" s="199" t="str">
        <f ca="1">IFERROR(__xludf.DUMMYFUNCTION("""COMPUTED_VALUE"""),"G")</f>
        <v>G</v>
      </c>
      <c r="E1819" s="202" t="str">
        <f ca="1">IFERROR(__xludf.DUMMYFUNCTION("""COMPUTED_VALUE"""),"S")</f>
        <v>S</v>
      </c>
      <c r="F1819" s="202" t="str">
        <f ca="1">IFERROR(__xludf.DUMMYFUNCTION("""COMPUTED_VALUE"""),"S")</f>
        <v>S</v>
      </c>
      <c r="G1819" s="202">
        <f ca="1">IFERROR(__xludf.DUMMYFUNCTION("""COMPUTED_VALUE"""),8)</f>
        <v>8</v>
      </c>
      <c r="H1819" s="208">
        <v>150.85</v>
      </c>
      <c r="I1819" s="208"/>
      <c r="J1819" s="208" t="s">
        <v>121</v>
      </c>
      <c r="K1819" s="208"/>
      <c r="L1819" s="208" t="str">
        <v xml:space="preserve"> 150.85</v>
      </c>
      <c r="M1819" s="208" t="str">
        <v/>
      </c>
    </row>
    <row r="1820" spans="1:13" ht="14.4">
      <c r="A1820" s="199" t="str">
        <f ca="1">IFERROR(__xludf.DUMMYFUNCTION("""COMPUTED_VALUE"""),"SB")</f>
        <v>SB</v>
      </c>
      <c r="B1820" s="207" t="str">
        <f ca="1">IFERROR(__xludf.DUMMYFUNCTION("""COMPUTED_VALUE"""),"Aiden Sutherland")</f>
        <v>Aiden Sutherland</v>
      </c>
      <c r="C1820" s="199">
        <f ca="1">IFERROR(__xludf.DUMMYFUNCTION("""COMPUTED_VALUE"""),8)</f>
        <v>8</v>
      </c>
      <c r="D1820" s="199" t="str">
        <f ca="1">IFERROR(__xludf.DUMMYFUNCTION("""COMPUTED_VALUE"""),"B")</f>
        <v>B</v>
      </c>
      <c r="E1820" s="202" t="str">
        <f ca="1">IFERROR(__xludf.DUMMYFUNCTION("""COMPUTED_VALUE"""),"F")</f>
        <v>F</v>
      </c>
      <c r="F1820" s="202" t="str">
        <f ca="1">IFERROR(__xludf.DUMMYFUNCTION("""COMPUTED_VALUE"""),"J")</f>
        <v>J</v>
      </c>
      <c r="G1820" s="202">
        <f ca="1">IFERROR(__xludf.DUMMYFUNCTION("""COMPUTED_VALUE"""),7)</f>
        <v>7</v>
      </c>
      <c r="H1820" s="208"/>
      <c r="I1820" s="208">
        <v>36.700000000000003</v>
      </c>
      <c r="J1820" s="208"/>
      <c r="K1820" s="208" t="s">
        <v>121</v>
      </c>
      <c r="L1820" s="208" t="str">
        <v xml:space="preserve"> 36.7</v>
      </c>
      <c r="M1820" s="208" t="str">
        <v/>
      </c>
    </row>
    <row r="1821" spans="1:13" ht="14.4">
      <c r="A1821" s="199" t="str">
        <f ca="1">IFERROR(__xludf.DUMMYFUNCTION("""COMPUTED_VALUE"""),"SB")</f>
        <v>SB</v>
      </c>
      <c r="B1821" s="207" t="str">
        <f ca="1">IFERROR(__xludf.DUMMYFUNCTION("""COMPUTED_VALUE"""),"Jack Wahler")</f>
        <v>Jack Wahler</v>
      </c>
      <c r="C1821" s="199">
        <f ca="1">IFERROR(__xludf.DUMMYFUNCTION("""COMPUTED_VALUE"""),7)</f>
        <v>7</v>
      </c>
      <c r="D1821" s="199" t="str">
        <f ca="1">IFERROR(__xludf.DUMMYFUNCTION("""COMPUTED_VALUE"""),"B")</f>
        <v>B</v>
      </c>
      <c r="E1821" s="202" t="str">
        <f ca="1">IFERROR(__xludf.DUMMYFUNCTION("""COMPUTED_VALUE"""),"F")</f>
        <v>F</v>
      </c>
      <c r="F1821" s="202" t="str">
        <f ca="1">IFERROR(__xludf.DUMMYFUNCTION("""COMPUTED_VALUE"""),"J")</f>
        <v>J</v>
      </c>
      <c r="G1821" s="202">
        <f ca="1">IFERROR(__xludf.DUMMYFUNCTION("""COMPUTED_VALUE"""),7)</f>
        <v>7</v>
      </c>
      <c r="H1821" s="208"/>
      <c r="I1821" s="208"/>
      <c r="J1821" s="208"/>
      <c r="K1821" s="208"/>
      <c r="L1821" s="208" t="str">
        <v/>
      </c>
      <c r="M1821" s="208" t="str">
        <v/>
      </c>
    </row>
    <row r="1822" spans="1:13" ht="14.4">
      <c r="A1822" s="199" t="str">
        <f ca="1">IFERROR(__xludf.DUMMYFUNCTION("""COMPUTED_VALUE"""),"SB")</f>
        <v>SB</v>
      </c>
      <c r="B1822" s="207" t="str">
        <f ca="1">IFERROR(__xludf.DUMMYFUNCTION("""COMPUTED_VALUE"""),"Ronan Fuller")</f>
        <v>Ronan Fuller</v>
      </c>
      <c r="C1822" s="199">
        <f ca="1">IFERROR(__xludf.DUMMYFUNCTION("""COMPUTED_VALUE"""),10)</f>
        <v>10</v>
      </c>
      <c r="D1822" s="199" t="str">
        <f ca="1">IFERROR(__xludf.DUMMYFUNCTION("""COMPUTED_VALUE"""),"B")</f>
        <v>B</v>
      </c>
      <c r="E1822" s="202" t="str">
        <f ca="1">IFERROR(__xludf.DUMMYFUNCTION("""COMPUTED_VALUE"""),"F")</f>
        <v>F</v>
      </c>
      <c r="F1822" s="202" t="str">
        <f ca="1">IFERROR(__xludf.DUMMYFUNCTION("""COMPUTED_VALUE"""),"J")</f>
        <v>J</v>
      </c>
      <c r="G1822" s="202">
        <f ca="1">IFERROR(__xludf.DUMMYFUNCTION("""COMPUTED_VALUE"""),7)</f>
        <v>7</v>
      </c>
      <c r="H1822" s="208"/>
      <c r="I1822" s="208"/>
      <c r="J1822" s="208"/>
      <c r="K1822" s="208"/>
      <c r="L1822" s="208" t="str">
        <v/>
      </c>
      <c r="M1822" s="208" t="str">
        <v/>
      </c>
    </row>
    <row r="1823" spans="1:13" ht="14.4">
      <c r="A1823" s="199" t="str">
        <f ca="1">IFERROR(__xludf.DUMMYFUNCTION("""COMPUTED_VALUE"""),"SB")</f>
        <v>SB</v>
      </c>
      <c r="B1823" s="207" t="str">
        <f ca="1">IFERROR(__xludf.DUMMYFUNCTION("""COMPUTED_VALUE"""),"Sean McNamee")</f>
        <v>Sean McNamee</v>
      </c>
      <c r="C1823" s="199">
        <f ca="1">IFERROR(__xludf.DUMMYFUNCTION("""COMPUTED_VALUE"""),7)</f>
        <v>7</v>
      </c>
      <c r="D1823" s="199" t="str">
        <f ca="1">IFERROR(__xludf.DUMMYFUNCTION("""COMPUTED_VALUE"""),"B")</f>
        <v>B</v>
      </c>
      <c r="E1823" s="202" t="str">
        <f ca="1">IFERROR(__xludf.DUMMYFUNCTION("""COMPUTED_VALUE"""),"F")</f>
        <v>F</v>
      </c>
      <c r="F1823" s="202" t="str">
        <f ca="1">IFERROR(__xludf.DUMMYFUNCTION("""COMPUTED_VALUE"""),"J")</f>
        <v>J</v>
      </c>
      <c r="G1823" s="202">
        <f ca="1">IFERROR(__xludf.DUMMYFUNCTION("""COMPUTED_VALUE"""),7)</f>
        <v>7</v>
      </c>
      <c r="H1823" s="208"/>
      <c r="I1823" s="208"/>
      <c r="J1823" s="208"/>
      <c r="K1823" s="208"/>
      <c r="L1823" s="208" t="str">
        <v/>
      </c>
      <c r="M1823" s="208" t="str">
        <v/>
      </c>
    </row>
    <row r="1824" spans="1:13" ht="14.4">
      <c r="A1824" s="199" t="str">
        <f ca="1">IFERROR(__xludf.DUMMYFUNCTION("""COMPUTED_VALUE"""),"SB")</f>
        <v>SB</v>
      </c>
      <c r="B1824" s="207" t="str">
        <f ca="1">IFERROR(__xludf.DUMMYFUNCTION("""COMPUTED_VALUE"""),"Addison McNamee")</f>
        <v>Addison McNamee</v>
      </c>
      <c r="C1824" s="199">
        <f ca="1">IFERROR(__xludf.DUMMYFUNCTION("""COMPUTED_VALUE"""),9)</f>
        <v>9</v>
      </c>
      <c r="D1824" s="199" t="str">
        <f ca="1">IFERROR(__xludf.DUMMYFUNCTION("""COMPUTED_VALUE"""),"G")</f>
        <v>G</v>
      </c>
      <c r="E1824" s="202" t="str">
        <f ca="1">IFERROR(__xludf.DUMMYFUNCTION("""COMPUTED_VALUE"""),"F")</f>
        <v>F</v>
      </c>
      <c r="F1824" s="202" t="str">
        <f ca="1">IFERROR(__xludf.DUMMYFUNCTION("""COMPUTED_VALUE"""),"J")</f>
        <v>J</v>
      </c>
      <c r="G1824" s="202">
        <f ca="1">IFERROR(__xludf.DUMMYFUNCTION("""COMPUTED_VALUE"""),7)</f>
        <v>7</v>
      </c>
      <c r="H1824" s="208"/>
      <c r="I1824" s="208"/>
      <c r="J1824" s="208"/>
      <c r="K1824" s="208"/>
      <c r="L1824" s="208" t="str">
        <v/>
      </c>
      <c r="M1824" s="208" t="str">
        <v/>
      </c>
    </row>
    <row r="1825" spans="1:13" ht="14.4">
      <c r="A1825" s="199" t="str">
        <f ca="1">IFERROR(__xludf.DUMMYFUNCTION("""COMPUTED_VALUE"""),"SB")</f>
        <v>SB</v>
      </c>
      <c r="B1825" s="207" t="str">
        <f ca="1">IFERROR(__xludf.DUMMYFUNCTION("""COMPUTED_VALUE"""),"Anna Berriman")</f>
        <v>Anna Berriman</v>
      </c>
      <c r="C1825" s="199">
        <f ca="1">IFERROR(__xludf.DUMMYFUNCTION("""COMPUTED_VALUE"""),6)</f>
        <v>6</v>
      </c>
      <c r="D1825" s="199" t="str">
        <f ca="1">IFERROR(__xludf.DUMMYFUNCTION("""COMPUTED_VALUE"""),"G")</f>
        <v>G</v>
      </c>
      <c r="E1825" s="202" t="str">
        <f ca="1">IFERROR(__xludf.DUMMYFUNCTION("""COMPUTED_VALUE"""),"F")</f>
        <v>F</v>
      </c>
      <c r="F1825" s="202" t="str">
        <f ca="1">IFERROR(__xludf.DUMMYFUNCTION("""COMPUTED_VALUE"""),"J")</f>
        <v>J</v>
      </c>
      <c r="G1825" s="202">
        <f ca="1">IFERROR(__xludf.DUMMYFUNCTION("""COMPUTED_VALUE"""),7)</f>
        <v>7</v>
      </c>
      <c r="H1825" s="208"/>
      <c r="I1825" s="208"/>
      <c r="J1825" s="208"/>
      <c r="K1825" s="208"/>
      <c r="L1825" s="208" t="str">
        <v/>
      </c>
      <c r="M1825" s="208" t="str">
        <v/>
      </c>
    </row>
    <row r="1826" spans="1:13" ht="14.4">
      <c r="A1826" s="199" t="str">
        <f ca="1">IFERROR(__xludf.DUMMYFUNCTION("""COMPUTED_VALUE"""),"SB")</f>
        <v>SB</v>
      </c>
      <c r="B1826" s="207" t="str">
        <f ca="1">IFERROR(__xludf.DUMMYFUNCTION("""COMPUTED_VALUE"""),"Annabelle Van Pool")</f>
        <v>Annabelle Van Pool</v>
      </c>
      <c r="C1826" s="199">
        <f ca="1">IFERROR(__xludf.DUMMYFUNCTION("""COMPUTED_VALUE"""),8)</f>
        <v>8</v>
      </c>
      <c r="D1826" s="199" t="str">
        <f ca="1">IFERROR(__xludf.DUMMYFUNCTION("""COMPUTED_VALUE"""),"G")</f>
        <v>G</v>
      </c>
      <c r="E1826" s="202" t="str">
        <f ca="1">IFERROR(__xludf.DUMMYFUNCTION("""COMPUTED_VALUE"""),"F")</f>
        <v>F</v>
      </c>
      <c r="F1826" s="202" t="str">
        <f ca="1">IFERROR(__xludf.DUMMYFUNCTION("""COMPUTED_VALUE"""),"J")</f>
        <v>J</v>
      </c>
      <c r="G1826" s="202">
        <f ca="1">IFERROR(__xludf.DUMMYFUNCTION("""COMPUTED_VALUE"""),7)</f>
        <v>7</v>
      </c>
      <c r="H1826" s="208"/>
      <c r="I1826" s="208"/>
      <c r="J1826" s="208"/>
      <c r="K1826" s="208"/>
      <c r="L1826" s="208" t="str">
        <v/>
      </c>
      <c r="M1826" s="208" t="str">
        <v/>
      </c>
    </row>
    <row r="1827" spans="1:13" ht="14.4">
      <c r="A1827" s="199" t="str">
        <f ca="1">IFERROR(__xludf.DUMMYFUNCTION("""COMPUTED_VALUE"""),"SB")</f>
        <v>SB</v>
      </c>
      <c r="B1827" s="207" t="str">
        <f ca="1">IFERROR(__xludf.DUMMYFUNCTION("""COMPUTED_VALUE"""),"Bree Doss")</f>
        <v>Bree Doss</v>
      </c>
      <c r="C1827" s="199">
        <f ca="1">IFERROR(__xludf.DUMMYFUNCTION("""COMPUTED_VALUE"""),7)</f>
        <v>7</v>
      </c>
      <c r="D1827" s="199" t="str">
        <f ca="1">IFERROR(__xludf.DUMMYFUNCTION("""COMPUTED_VALUE"""),"G")</f>
        <v>G</v>
      </c>
      <c r="E1827" s="202" t="str">
        <f ca="1">IFERROR(__xludf.DUMMYFUNCTION("""COMPUTED_VALUE"""),"F")</f>
        <v>F</v>
      </c>
      <c r="F1827" s="202" t="str">
        <f ca="1">IFERROR(__xludf.DUMMYFUNCTION("""COMPUTED_VALUE"""),"J")</f>
        <v>J</v>
      </c>
      <c r="G1827" s="202">
        <f ca="1">IFERROR(__xludf.DUMMYFUNCTION("""COMPUTED_VALUE"""),7)</f>
        <v>7</v>
      </c>
      <c r="H1827" s="208"/>
      <c r="I1827" s="208"/>
      <c r="J1827" s="208"/>
      <c r="K1827" s="208"/>
      <c r="L1827" s="208" t="str">
        <v/>
      </c>
      <c r="M1827" s="208" t="str">
        <v/>
      </c>
    </row>
    <row r="1828" spans="1:13" ht="14.4">
      <c r="A1828" s="199" t="str">
        <f ca="1">IFERROR(__xludf.DUMMYFUNCTION("""COMPUTED_VALUE"""),"SB")</f>
        <v>SB</v>
      </c>
      <c r="B1828" s="207" t="str">
        <f ca="1">IFERROR(__xludf.DUMMYFUNCTION("""COMPUTED_VALUE"""),"Casey Lee")</f>
        <v>Casey Lee</v>
      </c>
      <c r="C1828" s="199">
        <f ca="1">IFERROR(__xludf.DUMMYFUNCTION("""COMPUTED_VALUE"""),8)</f>
        <v>8</v>
      </c>
      <c r="D1828" s="199" t="str">
        <f ca="1">IFERROR(__xludf.DUMMYFUNCTION("""COMPUTED_VALUE"""),"G")</f>
        <v>G</v>
      </c>
      <c r="E1828" s="202" t="str">
        <f ca="1">IFERROR(__xludf.DUMMYFUNCTION("""COMPUTED_VALUE"""),"F")</f>
        <v>F</v>
      </c>
      <c r="F1828" s="202" t="str">
        <f ca="1">IFERROR(__xludf.DUMMYFUNCTION("""COMPUTED_VALUE"""),"J")</f>
        <v>J</v>
      </c>
      <c r="G1828" s="202">
        <f ca="1">IFERROR(__xludf.DUMMYFUNCTION("""COMPUTED_VALUE"""),7)</f>
        <v>7</v>
      </c>
      <c r="H1828" s="208"/>
      <c r="I1828" s="208"/>
      <c r="J1828" s="208"/>
      <c r="K1828" s="208"/>
      <c r="L1828" s="208" t="str">
        <v/>
      </c>
      <c r="M1828" s="208" t="str">
        <v/>
      </c>
    </row>
    <row r="1829" spans="1:13" ht="14.4">
      <c r="A1829" s="199" t="str">
        <f ca="1">IFERROR(__xludf.DUMMYFUNCTION("""COMPUTED_VALUE"""),"SB")</f>
        <v>SB</v>
      </c>
      <c r="B1829" s="207" t="str">
        <f ca="1">IFERROR(__xludf.DUMMYFUNCTION("""COMPUTED_VALUE"""),"Jem Wahler")</f>
        <v>Jem Wahler</v>
      </c>
      <c r="C1829" s="199">
        <f ca="1">IFERROR(__xludf.DUMMYFUNCTION("""COMPUTED_VALUE"""),9)</f>
        <v>9</v>
      </c>
      <c r="D1829" s="199" t="str">
        <f ca="1">IFERROR(__xludf.DUMMYFUNCTION("""COMPUTED_VALUE"""),"G")</f>
        <v>G</v>
      </c>
      <c r="E1829" s="202" t="str">
        <f ca="1">IFERROR(__xludf.DUMMYFUNCTION("""COMPUTED_VALUE"""),"F")</f>
        <v>F</v>
      </c>
      <c r="F1829" s="202" t="str">
        <f ca="1">IFERROR(__xludf.DUMMYFUNCTION("""COMPUTED_VALUE"""),"J")</f>
        <v>J</v>
      </c>
      <c r="G1829" s="202">
        <f ca="1">IFERROR(__xludf.DUMMYFUNCTION("""COMPUTED_VALUE"""),7)</f>
        <v>7</v>
      </c>
      <c r="H1829" s="208">
        <v>30</v>
      </c>
      <c r="I1829" s="208"/>
      <c r="J1829" s="208" t="s">
        <v>121</v>
      </c>
      <c r="K1829" s="208"/>
      <c r="L1829" s="208" t="str">
        <v xml:space="preserve"> 30</v>
      </c>
      <c r="M1829" s="208" t="str">
        <v/>
      </c>
    </row>
    <row r="1830" spans="1:13" ht="14.4">
      <c r="A1830" s="199" t="str">
        <f ca="1">IFERROR(__xludf.DUMMYFUNCTION("""COMPUTED_VALUE"""),"SB")</f>
        <v>SB</v>
      </c>
      <c r="B1830" s="207" t="str">
        <f ca="1">IFERROR(__xludf.DUMMYFUNCTION("""COMPUTED_VALUE"""),"Erik Cobb")</f>
        <v>Erik Cobb</v>
      </c>
      <c r="C1830" s="199">
        <f ca="1">IFERROR(__xludf.DUMMYFUNCTION("""COMPUTED_VALUE"""),14)</f>
        <v>14</v>
      </c>
      <c r="D1830" s="199" t="str">
        <f ca="1">IFERROR(__xludf.DUMMYFUNCTION("""COMPUTED_VALUE"""),"B")</f>
        <v>B</v>
      </c>
      <c r="E1830" s="202" t="str">
        <f ca="1">IFERROR(__xludf.DUMMYFUNCTION("""COMPUTED_VALUE"""),"I")</f>
        <v>I</v>
      </c>
      <c r="F1830" s="202" t="str">
        <f ca="1">IFERROR(__xludf.DUMMYFUNCTION("""COMPUTED_VALUE"""),"S")</f>
        <v>S</v>
      </c>
      <c r="G1830" s="202">
        <f ca="1">IFERROR(__xludf.DUMMYFUNCTION("""COMPUTED_VALUE"""),7)</f>
        <v>7</v>
      </c>
      <c r="H1830" s="208"/>
      <c r="I1830" s="208"/>
      <c r="J1830" s="208"/>
      <c r="K1830" s="208"/>
      <c r="L1830" s="208" t="str">
        <v/>
      </c>
      <c r="M1830" s="208" t="str">
        <v/>
      </c>
    </row>
    <row r="1831" spans="1:13" ht="14.4">
      <c r="A1831" s="199" t="str">
        <f ca="1">IFERROR(__xludf.DUMMYFUNCTION("""COMPUTED_VALUE"""),"SB")</f>
        <v>SB</v>
      </c>
      <c r="B1831" s="207" t="str">
        <f ca="1">IFERROR(__xludf.DUMMYFUNCTION("""COMPUTED_VALUE"""),"Grant McNamee")</f>
        <v>Grant McNamee</v>
      </c>
      <c r="C1831" s="199">
        <f ca="1">IFERROR(__xludf.DUMMYFUNCTION("""COMPUTED_VALUE"""),13)</f>
        <v>13</v>
      </c>
      <c r="D1831" s="199" t="str">
        <f ca="1">IFERROR(__xludf.DUMMYFUNCTION("""COMPUTED_VALUE"""),"B")</f>
        <v>B</v>
      </c>
      <c r="E1831" s="202" t="str">
        <f ca="1">IFERROR(__xludf.DUMMYFUNCTION("""COMPUTED_VALUE"""),"I")</f>
        <v>I</v>
      </c>
      <c r="F1831" s="202" t="str">
        <f ca="1">IFERROR(__xludf.DUMMYFUNCTION("""COMPUTED_VALUE"""),"S")</f>
        <v>S</v>
      </c>
      <c r="G1831" s="202">
        <f ca="1">IFERROR(__xludf.DUMMYFUNCTION("""COMPUTED_VALUE"""),7)</f>
        <v>7</v>
      </c>
      <c r="H1831" s="208"/>
      <c r="I1831" s="208"/>
      <c r="J1831" s="208"/>
      <c r="K1831" s="208"/>
      <c r="L1831" s="208" t="str">
        <v/>
      </c>
      <c r="M1831" s="208" t="str">
        <v/>
      </c>
    </row>
    <row r="1832" spans="1:13" ht="14.4">
      <c r="A1832" s="199" t="str">
        <f ca="1">IFERROR(__xludf.DUMMYFUNCTION("""COMPUTED_VALUE"""),"SB")</f>
        <v>SB</v>
      </c>
      <c r="B1832" s="207" t="str">
        <f ca="1">IFERROR(__xludf.DUMMYFUNCTION("""COMPUTED_VALUE"""),"Aubrie Burress")</f>
        <v>Aubrie Burress</v>
      </c>
      <c r="C1832" s="199">
        <f ca="1">IFERROR(__xludf.DUMMYFUNCTION("""COMPUTED_VALUE"""),13)</f>
        <v>13</v>
      </c>
      <c r="D1832" s="199" t="str">
        <f ca="1">IFERROR(__xludf.DUMMYFUNCTION("""COMPUTED_VALUE"""),"G")</f>
        <v>G</v>
      </c>
      <c r="E1832" s="202" t="str">
        <f ca="1">IFERROR(__xludf.DUMMYFUNCTION("""COMPUTED_VALUE"""),"I")</f>
        <v>I</v>
      </c>
      <c r="F1832" s="202" t="str">
        <f ca="1">IFERROR(__xludf.DUMMYFUNCTION("""COMPUTED_VALUE"""),"S")</f>
        <v>S</v>
      </c>
      <c r="G1832" s="202">
        <f ca="1">IFERROR(__xludf.DUMMYFUNCTION("""COMPUTED_VALUE"""),7)</f>
        <v>7</v>
      </c>
      <c r="H1832" s="208">
        <v>77.55</v>
      </c>
      <c r="I1832" s="208"/>
      <c r="J1832" s="208" t="s">
        <v>121</v>
      </c>
      <c r="K1832" s="208"/>
      <c r="L1832" s="208" t="str">
        <v xml:space="preserve"> 77.55</v>
      </c>
      <c r="M1832" s="208" t="str">
        <v/>
      </c>
    </row>
    <row r="1833" spans="1:13" ht="14.4">
      <c r="A1833" s="199" t="str">
        <f ca="1">IFERROR(__xludf.DUMMYFUNCTION("""COMPUTED_VALUE"""),"SB")</f>
        <v>SB</v>
      </c>
      <c r="B1833" s="207" t="str">
        <f ca="1">IFERROR(__xludf.DUMMYFUNCTION("""COMPUTED_VALUE"""),"Jade Carey")</f>
        <v>Jade Carey</v>
      </c>
      <c r="C1833" s="199">
        <f ca="1">IFERROR(__xludf.DUMMYFUNCTION("""COMPUTED_VALUE"""),14)</f>
        <v>14</v>
      </c>
      <c r="D1833" s="199" t="str">
        <f ca="1">IFERROR(__xludf.DUMMYFUNCTION("""COMPUTED_VALUE"""),"G")</f>
        <v>G</v>
      </c>
      <c r="E1833" s="202" t="str">
        <f ca="1">IFERROR(__xludf.DUMMYFUNCTION("""COMPUTED_VALUE"""),"I")</f>
        <v>I</v>
      </c>
      <c r="F1833" s="202" t="str">
        <f ca="1">IFERROR(__xludf.DUMMYFUNCTION("""COMPUTED_VALUE"""),"S")</f>
        <v>S</v>
      </c>
      <c r="G1833" s="202">
        <f ca="1">IFERROR(__xludf.DUMMYFUNCTION("""COMPUTED_VALUE"""),7)</f>
        <v>7</v>
      </c>
      <c r="H1833" s="208">
        <v>51.35</v>
      </c>
      <c r="I1833" s="208"/>
      <c r="J1833" s="208" t="s">
        <v>121</v>
      </c>
      <c r="K1833" s="208"/>
      <c r="L1833" s="208" t="str">
        <v xml:space="preserve"> 51.35</v>
      </c>
      <c r="M1833" s="208" t="str">
        <v/>
      </c>
    </row>
    <row r="1834" spans="1:13" ht="14.4">
      <c r="A1834" s="199" t="str">
        <f ca="1">IFERROR(__xludf.DUMMYFUNCTION("""COMPUTED_VALUE"""),"SB")</f>
        <v>SB</v>
      </c>
      <c r="B1834" s="207" t="str">
        <f ca="1">IFERROR(__xludf.DUMMYFUNCTION("""COMPUTED_VALUE"""),"Ash Burress")</f>
        <v>Ash Burress</v>
      </c>
      <c r="C1834" s="199">
        <f ca="1">IFERROR(__xludf.DUMMYFUNCTION("""COMPUTED_VALUE"""),11)</f>
        <v>11</v>
      </c>
      <c r="D1834" s="199" t="str">
        <f ca="1">IFERROR(__xludf.DUMMYFUNCTION("""COMPUTED_VALUE"""),"B")</f>
        <v>B</v>
      </c>
      <c r="E1834" s="202" t="str">
        <f ca="1">IFERROR(__xludf.DUMMYFUNCTION("""COMPUTED_VALUE"""),"J")</f>
        <v>J</v>
      </c>
      <c r="F1834" s="202" t="str">
        <f ca="1">IFERROR(__xludf.DUMMYFUNCTION("""COMPUTED_VALUE"""),"I")</f>
        <v>I</v>
      </c>
      <c r="G1834" s="202">
        <f ca="1">IFERROR(__xludf.DUMMYFUNCTION("""COMPUTED_VALUE"""),7)</f>
        <v>7</v>
      </c>
      <c r="H1834" s="208"/>
      <c r="I1834" s="208">
        <v>46.6</v>
      </c>
      <c r="J1834" s="208"/>
      <c r="K1834" s="208" t="s">
        <v>121</v>
      </c>
      <c r="L1834" s="208" t="str">
        <v xml:space="preserve"> 46.6</v>
      </c>
      <c r="M1834" s="208" t="str">
        <v/>
      </c>
    </row>
    <row r="1835" spans="1:13" ht="14.4">
      <c r="A1835" s="199" t="str">
        <f ca="1">IFERROR(__xludf.DUMMYFUNCTION("""COMPUTED_VALUE"""),"SB")</f>
        <v>SB</v>
      </c>
      <c r="B1835" s="207" t="str">
        <f ca="1">IFERROR(__xludf.DUMMYFUNCTION("""COMPUTED_VALUE"""),"T'iyler Rothstein")</f>
        <v>T'iyler Rothstein</v>
      </c>
      <c r="C1835" s="199">
        <f ca="1">IFERROR(__xludf.DUMMYFUNCTION("""COMPUTED_VALUE"""),12)</f>
        <v>12</v>
      </c>
      <c r="D1835" s="199" t="str">
        <f ca="1">IFERROR(__xludf.DUMMYFUNCTION("""COMPUTED_VALUE"""),"B")</f>
        <v>B</v>
      </c>
      <c r="E1835" s="202" t="str">
        <f ca="1">IFERROR(__xludf.DUMMYFUNCTION("""COMPUTED_VALUE"""),"J")</f>
        <v>J</v>
      </c>
      <c r="F1835" s="202" t="str">
        <f ca="1">IFERROR(__xludf.DUMMYFUNCTION("""COMPUTED_VALUE"""),"I")</f>
        <v>I</v>
      </c>
      <c r="G1835" s="202">
        <f ca="1">IFERROR(__xludf.DUMMYFUNCTION("""COMPUTED_VALUE"""),7)</f>
        <v>7</v>
      </c>
      <c r="H1835" s="208"/>
      <c r="I1835" s="208">
        <v>53.45</v>
      </c>
      <c r="J1835" s="208"/>
      <c r="K1835" s="208" t="s">
        <v>121</v>
      </c>
      <c r="L1835" s="208" t="str">
        <v xml:space="preserve"> 53.45</v>
      </c>
      <c r="M1835" s="208" t="str">
        <v/>
      </c>
    </row>
    <row r="1836" spans="1:13" ht="14.4">
      <c r="A1836" s="199" t="str">
        <f ca="1">IFERROR(__xludf.DUMMYFUNCTION("""COMPUTED_VALUE"""),"SB")</f>
        <v>SB</v>
      </c>
      <c r="B1836" s="207" t="str">
        <f ca="1">IFERROR(__xludf.DUMMYFUNCTION("""COMPUTED_VALUE"""),"Eliza Hunt")</f>
        <v>Eliza Hunt</v>
      </c>
      <c r="C1836" s="199">
        <f ca="1">IFERROR(__xludf.DUMMYFUNCTION("""COMPUTED_VALUE"""),12)</f>
        <v>12</v>
      </c>
      <c r="D1836" s="199" t="str">
        <f ca="1">IFERROR(__xludf.DUMMYFUNCTION("""COMPUTED_VALUE"""),"G")</f>
        <v>G</v>
      </c>
      <c r="E1836" s="202" t="str">
        <f ca="1">IFERROR(__xludf.DUMMYFUNCTION("""COMPUTED_VALUE"""),"J")</f>
        <v>J</v>
      </c>
      <c r="F1836" s="202" t="str">
        <f ca="1">IFERROR(__xludf.DUMMYFUNCTION("""COMPUTED_VALUE"""),"I")</f>
        <v>I</v>
      </c>
      <c r="G1836" s="202">
        <f ca="1">IFERROR(__xludf.DUMMYFUNCTION("""COMPUTED_VALUE"""),7)</f>
        <v>7</v>
      </c>
      <c r="H1836" s="208">
        <v>44.75</v>
      </c>
      <c r="I1836" s="208"/>
      <c r="J1836" s="208" t="s">
        <v>121</v>
      </c>
      <c r="K1836" s="208"/>
      <c r="L1836" s="208" t="str">
        <v xml:space="preserve"> 44.75</v>
      </c>
      <c r="M1836" s="208" t="str">
        <v/>
      </c>
    </row>
    <row r="1837" spans="1:13" ht="14.4">
      <c r="A1837" s="199" t="str">
        <f ca="1">IFERROR(__xludf.DUMMYFUNCTION("""COMPUTED_VALUE"""),"SB")</f>
        <v>SB</v>
      </c>
      <c r="B1837" s="207" t="str">
        <f ca="1">IFERROR(__xludf.DUMMYFUNCTION("""COMPUTED_VALUE"""),"Hannah Wilson")</f>
        <v>Hannah Wilson</v>
      </c>
      <c r="C1837" s="199">
        <f ca="1">IFERROR(__xludf.DUMMYFUNCTION("""COMPUTED_VALUE"""),11)</f>
        <v>11</v>
      </c>
      <c r="D1837" s="199" t="str">
        <f ca="1">IFERROR(__xludf.DUMMYFUNCTION("""COMPUTED_VALUE"""),"G")</f>
        <v>G</v>
      </c>
      <c r="E1837" s="202" t="str">
        <f ca="1">IFERROR(__xludf.DUMMYFUNCTION("""COMPUTED_VALUE"""),"J")</f>
        <v>J</v>
      </c>
      <c r="F1837" s="202" t="str">
        <f ca="1">IFERROR(__xludf.DUMMYFUNCTION("""COMPUTED_VALUE"""),"I")</f>
        <v>I</v>
      </c>
      <c r="G1837" s="202">
        <f ca="1">IFERROR(__xludf.DUMMYFUNCTION("""COMPUTED_VALUE"""),7)</f>
        <v>7</v>
      </c>
      <c r="H1837" s="208"/>
      <c r="I1837" s="208"/>
      <c r="J1837" s="208"/>
      <c r="K1837" s="208"/>
      <c r="L1837" s="208" t="str">
        <v/>
      </c>
      <c r="M1837" s="208" t="str">
        <v/>
      </c>
    </row>
    <row r="1838" spans="1:13" ht="14.4">
      <c r="A1838" s="199" t="str">
        <f ca="1">IFERROR(__xludf.DUMMYFUNCTION("""COMPUTED_VALUE"""),"SB")</f>
        <v>SB</v>
      </c>
      <c r="B1838" s="207" t="str">
        <f ca="1">IFERROR(__xludf.DUMMYFUNCTION("""COMPUTED_VALUE"""),"Brendan Waterval")</f>
        <v>Brendan Waterval</v>
      </c>
      <c r="C1838" s="199">
        <f ca="1">IFERROR(__xludf.DUMMYFUNCTION("""COMPUTED_VALUE"""),17)</f>
        <v>17</v>
      </c>
      <c r="D1838" s="199" t="str">
        <f ca="1">IFERROR(__xludf.DUMMYFUNCTION("""COMPUTED_VALUE"""),"B")</f>
        <v>B</v>
      </c>
      <c r="E1838" s="202" t="str">
        <f ca="1">IFERROR(__xludf.DUMMYFUNCTION("""COMPUTED_VALUE"""),"S")</f>
        <v>S</v>
      </c>
      <c r="F1838" s="202" t="str">
        <f ca="1">IFERROR(__xludf.DUMMYFUNCTION("""COMPUTED_VALUE"""),"S")</f>
        <v>S</v>
      </c>
      <c r="G1838" s="202">
        <f ca="1">IFERROR(__xludf.DUMMYFUNCTION("""COMPUTED_VALUE"""),7)</f>
        <v>7</v>
      </c>
      <c r="H1838" s="208"/>
      <c r="I1838" s="208">
        <v>96.3</v>
      </c>
      <c r="J1838" s="208"/>
      <c r="K1838" s="208" t="s">
        <v>121</v>
      </c>
      <c r="L1838" s="208" t="str">
        <v xml:space="preserve"> 96.3</v>
      </c>
      <c r="M1838" s="208" t="str">
        <v/>
      </c>
    </row>
    <row r="1839" spans="1:13" ht="14.4">
      <c r="A1839" s="199" t="str">
        <f ca="1">IFERROR(__xludf.DUMMYFUNCTION("""COMPUTED_VALUE"""),"SB")</f>
        <v>SB</v>
      </c>
      <c r="B1839" s="207" t="str">
        <f ca="1">IFERROR(__xludf.DUMMYFUNCTION("""COMPUTED_VALUE"""),"Makenna Aphrodite")</f>
        <v>Makenna Aphrodite</v>
      </c>
      <c r="C1839" s="199">
        <f ca="1">IFERROR(__xludf.DUMMYFUNCTION("""COMPUTED_VALUE"""),15)</f>
        <v>15</v>
      </c>
      <c r="D1839" s="199" t="str">
        <f ca="1">IFERROR(__xludf.DUMMYFUNCTION("""COMPUTED_VALUE"""),"G")</f>
        <v>G</v>
      </c>
      <c r="E1839" s="202" t="str">
        <f ca="1">IFERROR(__xludf.DUMMYFUNCTION("""COMPUTED_VALUE"""),"S")</f>
        <v>S</v>
      </c>
      <c r="F1839" s="202" t="str">
        <f ca="1">IFERROR(__xludf.DUMMYFUNCTION("""COMPUTED_VALUE"""),"S")</f>
        <v>S</v>
      </c>
      <c r="G1839" s="202">
        <f ca="1">IFERROR(__xludf.DUMMYFUNCTION("""COMPUTED_VALUE"""),7)</f>
        <v>7</v>
      </c>
      <c r="H1839" s="208">
        <v>51.45</v>
      </c>
      <c r="I1839" s="208"/>
      <c r="J1839" s="208" t="s">
        <v>121</v>
      </c>
      <c r="K1839" s="208"/>
      <c r="L1839" s="208" t="str">
        <v xml:space="preserve"> 51.45</v>
      </c>
      <c r="M1839" s="208" t="str">
        <v/>
      </c>
    </row>
    <row r="1840" spans="1:13" ht="14.4">
      <c r="A1840" s="199" t="str">
        <f ca="1">IFERROR(__xludf.DUMMYFUNCTION("""COMPUTED_VALUE"""),"SB")</f>
        <v>SB</v>
      </c>
      <c r="B1840" s="207" t="str">
        <f ca="1">IFERROR(__xludf.DUMMYFUNCTION("""COMPUTED_VALUE"""),"Megan Cobb")</f>
        <v>Megan Cobb</v>
      </c>
      <c r="C1840" s="199">
        <f ca="1">IFERROR(__xludf.DUMMYFUNCTION("""COMPUTED_VALUE"""),16)</f>
        <v>16</v>
      </c>
      <c r="D1840" s="199" t="str">
        <f ca="1">IFERROR(__xludf.DUMMYFUNCTION("""COMPUTED_VALUE"""),"G")</f>
        <v>G</v>
      </c>
      <c r="E1840" s="202" t="str">
        <f ca="1">IFERROR(__xludf.DUMMYFUNCTION("""COMPUTED_VALUE"""),"S")</f>
        <v>S</v>
      </c>
      <c r="F1840" s="202" t="str">
        <f ca="1">IFERROR(__xludf.DUMMYFUNCTION("""COMPUTED_VALUE"""),"S")</f>
        <v>S</v>
      </c>
      <c r="G1840" s="202">
        <f ca="1">IFERROR(__xludf.DUMMYFUNCTION("""COMPUTED_VALUE"""),7)</f>
        <v>7</v>
      </c>
      <c r="H1840" s="208"/>
      <c r="I1840" s="208"/>
      <c r="J1840" s="208"/>
      <c r="K1840" s="208"/>
      <c r="L1840" s="208" t="str">
        <v/>
      </c>
      <c r="M1840" s="208" t="str">
        <v/>
      </c>
    </row>
    <row r="1841" spans="1:13" ht="14.4">
      <c r="A1841" s="199" t="str">
        <f ca="1">IFERROR(__xludf.DUMMYFUNCTION("""COMPUTED_VALUE"""),"SHB")</f>
        <v>SHB</v>
      </c>
      <c r="B1841" s="207" t="str">
        <f ca="1">IFERROR(__xludf.DUMMYFUNCTION("""COMPUTED_VALUE"""),"Asher Arnic")</f>
        <v>Asher Arnic</v>
      </c>
      <c r="C1841" s="199">
        <f ca="1">IFERROR(__xludf.DUMMYFUNCTION("""COMPUTED_VALUE"""),6)</f>
        <v>6</v>
      </c>
      <c r="D1841" s="199" t="str">
        <f ca="1">IFERROR(__xludf.DUMMYFUNCTION("""COMPUTED_VALUE"""),"B")</f>
        <v>B</v>
      </c>
      <c r="E1841" s="202" t="str">
        <f ca="1">IFERROR(__xludf.DUMMYFUNCTION("""COMPUTED_VALUE"""),"F")</f>
        <v>F</v>
      </c>
      <c r="F1841" s="202" t="str">
        <f ca="1">IFERROR(__xludf.DUMMYFUNCTION("""COMPUTED_VALUE"""),"J")</f>
        <v>J</v>
      </c>
      <c r="G1841" s="202">
        <f ca="1">IFERROR(__xludf.DUMMYFUNCTION("""COMPUTED_VALUE"""),5)</f>
        <v>5</v>
      </c>
      <c r="H1841" s="208"/>
      <c r="I1841" s="208"/>
      <c r="J1841" s="208"/>
      <c r="K1841" s="208"/>
      <c r="L1841" s="208" t="str">
        <v/>
      </c>
      <c r="M1841" s="208" t="str">
        <v/>
      </c>
    </row>
    <row r="1842" spans="1:13" ht="14.4">
      <c r="A1842" s="199" t="str">
        <f ca="1">IFERROR(__xludf.DUMMYFUNCTION("""COMPUTED_VALUE"""),"SHB")</f>
        <v>SHB</v>
      </c>
      <c r="B1842" s="207" t="str">
        <f ca="1">IFERROR(__xludf.DUMMYFUNCTION("""COMPUTED_VALUE"""),"Brody Kennedy")</f>
        <v>Brody Kennedy</v>
      </c>
      <c r="C1842" s="199">
        <f ca="1">IFERROR(__xludf.DUMMYFUNCTION("""COMPUTED_VALUE"""),7)</f>
        <v>7</v>
      </c>
      <c r="D1842" s="199" t="str">
        <f ca="1">IFERROR(__xludf.DUMMYFUNCTION("""COMPUTED_VALUE"""),"B")</f>
        <v>B</v>
      </c>
      <c r="E1842" s="202" t="str">
        <f ca="1">IFERROR(__xludf.DUMMYFUNCTION("""COMPUTED_VALUE"""),"F")</f>
        <v>F</v>
      </c>
      <c r="F1842" s="202" t="str">
        <f ca="1">IFERROR(__xludf.DUMMYFUNCTION("""COMPUTED_VALUE"""),"J")</f>
        <v>J</v>
      </c>
      <c r="G1842" s="202">
        <f ca="1">IFERROR(__xludf.DUMMYFUNCTION("""COMPUTED_VALUE"""),5)</f>
        <v>5</v>
      </c>
      <c r="H1842" s="208"/>
      <c r="I1842" s="208"/>
      <c r="J1842" s="208"/>
      <c r="K1842" s="208"/>
      <c r="L1842" s="208" t="str">
        <v/>
      </c>
      <c r="M1842" s="208" t="str">
        <v/>
      </c>
    </row>
    <row r="1843" spans="1:13" ht="14.4">
      <c r="A1843" s="199" t="str">
        <f ca="1">IFERROR(__xludf.DUMMYFUNCTION("""COMPUTED_VALUE"""),"SHB")</f>
        <v>SHB</v>
      </c>
      <c r="B1843" s="207" t="str">
        <f ca="1">IFERROR(__xludf.DUMMYFUNCTION("""COMPUTED_VALUE"""),"Connor Vorndran")</f>
        <v>Connor Vorndran</v>
      </c>
      <c r="C1843" s="199">
        <f ca="1">IFERROR(__xludf.DUMMYFUNCTION("""COMPUTED_VALUE"""),6)</f>
        <v>6</v>
      </c>
      <c r="D1843" s="199" t="str">
        <f ca="1">IFERROR(__xludf.DUMMYFUNCTION("""COMPUTED_VALUE"""),"B")</f>
        <v>B</v>
      </c>
      <c r="E1843" s="202" t="str">
        <f ca="1">IFERROR(__xludf.DUMMYFUNCTION("""COMPUTED_VALUE"""),"F")</f>
        <v>F</v>
      </c>
      <c r="F1843" s="202" t="str">
        <f ca="1">IFERROR(__xludf.DUMMYFUNCTION("""COMPUTED_VALUE"""),"J")</f>
        <v>J</v>
      </c>
      <c r="G1843" s="202">
        <f ca="1">IFERROR(__xludf.DUMMYFUNCTION("""COMPUTED_VALUE"""),5)</f>
        <v>5</v>
      </c>
      <c r="H1843" s="208"/>
      <c r="I1843" s="208"/>
      <c r="J1843" s="208"/>
      <c r="K1843" s="208"/>
      <c r="L1843" s="208" t="str">
        <v/>
      </c>
      <c r="M1843" s="208" t="str">
        <v/>
      </c>
    </row>
    <row r="1844" spans="1:13" ht="14.4">
      <c r="A1844" s="199" t="str">
        <f ca="1">IFERROR(__xludf.DUMMYFUNCTION("""COMPUTED_VALUE"""),"SHB")</f>
        <v>SHB</v>
      </c>
      <c r="B1844" s="207" t="str">
        <f ca="1">IFERROR(__xludf.DUMMYFUNCTION("""COMPUTED_VALUE"""),"Ethan Wence")</f>
        <v>Ethan Wence</v>
      </c>
      <c r="C1844" s="199">
        <f ca="1">IFERROR(__xludf.DUMMYFUNCTION("""COMPUTED_VALUE"""),8)</f>
        <v>8</v>
      </c>
      <c r="D1844" s="199" t="str">
        <f ca="1">IFERROR(__xludf.DUMMYFUNCTION("""COMPUTED_VALUE"""),"B")</f>
        <v>B</v>
      </c>
      <c r="E1844" s="202" t="str">
        <f ca="1">IFERROR(__xludf.DUMMYFUNCTION("""COMPUTED_VALUE"""),"F")</f>
        <v>F</v>
      </c>
      <c r="F1844" s="202" t="str">
        <f ca="1">IFERROR(__xludf.DUMMYFUNCTION("""COMPUTED_VALUE"""),"J")</f>
        <v>J</v>
      </c>
      <c r="G1844" s="202">
        <f ca="1">IFERROR(__xludf.DUMMYFUNCTION("""COMPUTED_VALUE"""),5)</f>
        <v>5</v>
      </c>
      <c r="H1844" s="208"/>
      <c r="I1844" s="208"/>
      <c r="J1844" s="208"/>
      <c r="K1844" s="208"/>
      <c r="L1844" s="208" t="str">
        <v/>
      </c>
      <c r="M1844" s="208" t="str">
        <v/>
      </c>
    </row>
    <row r="1845" spans="1:13" ht="14.4">
      <c r="A1845" s="199" t="str">
        <f ca="1">IFERROR(__xludf.DUMMYFUNCTION("""COMPUTED_VALUE"""),"SHB")</f>
        <v>SHB</v>
      </c>
      <c r="B1845" s="207" t="str">
        <f ca="1">IFERROR(__xludf.DUMMYFUNCTION("""COMPUTED_VALUE"""),"Han Lim")</f>
        <v>Han Lim</v>
      </c>
      <c r="C1845" s="199">
        <f ca="1">IFERROR(__xludf.DUMMYFUNCTION("""COMPUTED_VALUE"""),9)</f>
        <v>9</v>
      </c>
      <c r="D1845" s="199" t="str">
        <f ca="1">IFERROR(__xludf.DUMMYFUNCTION("""COMPUTED_VALUE"""),"B")</f>
        <v>B</v>
      </c>
      <c r="E1845" s="202" t="str">
        <f ca="1">IFERROR(__xludf.DUMMYFUNCTION("""COMPUTED_VALUE"""),"F")</f>
        <v>F</v>
      </c>
      <c r="F1845" s="202" t="str">
        <f ca="1">IFERROR(__xludf.DUMMYFUNCTION("""COMPUTED_VALUE"""),"J")</f>
        <v>J</v>
      </c>
      <c r="G1845" s="202">
        <f ca="1">IFERROR(__xludf.DUMMYFUNCTION("""COMPUTED_VALUE"""),5)</f>
        <v>5</v>
      </c>
      <c r="H1845" s="208"/>
      <c r="I1845" s="208"/>
      <c r="J1845" s="208"/>
      <c r="K1845" s="208"/>
      <c r="L1845" s="208" t="str">
        <v/>
      </c>
      <c r="M1845" s="208" t="str">
        <v/>
      </c>
    </row>
    <row r="1846" spans="1:13" ht="14.4">
      <c r="A1846" s="199" t="str">
        <f ca="1">IFERROR(__xludf.DUMMYFUNCTION("""COMPUTED_VALUE"""),"SHB")</f>
        <v>SHB</v>
      </c>
      <c r="B1846" s="207" t="str">
        <f ca="1">IFERROR(__xludf.DUMMYFUNCTION("""COMPUTED_VALUE"""),"Jack Devereux")</f>
        <v>Jack Devereux</v>
      </c>
      <c r="C1846" s="199">
        <f ca="1">IFERROR(__xludf.DUMMYFUNCTION("""COMPUTED_VALUE"""),8)</f>
        <v>8</v>
      </c>
      <c r="D1846" s="199" t="str">
        <f ca="1">IFERROR(__xludf.DUMMYFUNCTION("""COMPUTED_VALUE"""),"B")</f>
        <v>B</v>
      </c>
      <c r="E1846" s="202" t="str">
        <f ca="1">IFERROR(__xludf.DUMMYFUNCTION("""COMPUTED_VALUE"""),"F")</f>
        <v>F</v>
      </c>
      <c r="F1846" s="202" t="str">
        <f ca="1">IFERROR(__xludf.DUMMYFUNCTION("""COMPUTED_VALUE"""),"J")</f>
        <v>J</v>
      </c>
      <c r="G1846" s="202">
        <f ca="1">IFERROR(__xludf.DUMMYFUNCTION("""COMPUTED_VALUE"""),5)</f>
        <v>5</v>
      </c>
      <c r="H1846" s="208"/>
      <c r="I1846" s="208"/>
      <c r="J1846" s="208"/>
      <c r="K1846" s="208"/>
      <c r="L1846" s="208" t="str">
        <v/>
      </c>
      <c r="M1846" s="208" t="str">
        <v/>
      </c>
    </row>
    <row r="1847" spans="1:13" ht="14.4">
      <c r="A1847" s="199" t="str">
        <f ca="1">IFERROR(__xludf.DUMMYFUNCTION("""COMPUTED_VALUE"""),"SHB")</f>
        <v>SHB</v>
      </c>
      <c r="B1847" s="207" t="str">
        <f ca="1">IFERROR(__xludf.DUMMYFUNCTION("""COMPUTED_VALUE"""),"Jackson Braun")</f>
        <v>Jackson Braun</v>
      </c>
      <c r="C1847" s="199">
        <f ca="1">IFERROR(__xludf.DUMMYFUNCTION("""COMPUTED_VALUE"""),9)</f>
        <v>9</v>
      </c>
      <c r="D1847" s="199" t="str">
        <f ca="1">IFERROR(__xludf.DUMMYFUNCTION("""COMPUTED_VALUE"""),"B")</f>
        <v>B</v>
      </c>
      <c r="E1847" s="202" t="str">
        <f ca="1">IFERROR(__xludf.DUMMYFUNCTION("""COMPUTED_VALUE"""),"F")</f>
        <v>F</v>
      </c>
      <c r="F1847" s="202" t="str">
        <f ca="1">IFERROR(__xludf.DUMMYFUNCTION("""COMPUTED_VALUE"""),"J")</f>
        <v>J</v>
      </c>
      <c r="G1847" s="202">
        <f ca="1">IFERROR(__xludf.DUMMYFUNCTION("""COMPUTED_VALUE"""),5)</f>
        <v>5</v>
      </c>
      <c r="H1847" s="208"/>
      <c r="I1847" s="208"/>
      <c r="J1847" s="208"/>
      <c r="K1847" s="208"/>
      <c r="L1847" s="208" t="str">
        <v/>
      </c>
      <c r="M1847" s="208" t="str">
        <v/>
      </c>
    </row>
    <row r="1848" spans="1:13" ht="14.4">
      <c r="A1848" s="199" t="str">
        <f ca="1">IFERROR(__xludf.DUMMYFUNCTION("""COMPUTED_VALUE"""),"SHB")</f>
        <v>SHB</v>
      </c>
      <c r="B1848" s="207" t="str">
        <f ca="1">IFERROR(__xludf.DUMMYFUNCTION("""COMPUTED_VALUE"""),"Kyle Schutt")</f>
        <v>Kyle Schutt</v>
      </c>
      <c r="C1848" s="199">
        <f ca="1">IFERROR(__xludf.DUMMYFUNCTION("""COMPUTED_VALUE"""),9)</f>
        <v>9</v>
      </c>
      <c r="D1848" s="199" t="str">
        <f ca="1">IFERROR(__xludf.DUMMYFUNCTION("""COMPUTED_VALUE"""),"B")</f>
        <v>B</v>
      </c>
      <c r="E1848" s="202" t="str">
        <f ca="1">IFERROR(__xludf.DUMMYFUNCTION("""COMPUTED_VALUE"""),"F")</f>
        <v>F</v>
      </c>
      <c r="F1848" s="202" t="str">
        <f ca="1">IFERROR(__xludf.DUMMYFUNCTION("""COMPUTED_VALUE"""),"J")</f>
        <v>J</v>
      </c>
      <c r="G1848" s="202">
        <f ca="1">IFERROR(__xludf.DUMMYFUNCTION("""COMPUTED_VALUE"""),5)</f>
        <v>5</v>
      </c>
      <c r="H1848" s="208"/>
      <c r="I1848" s="208">
        <v>50.6</v>
      </c>
      <c r="J1848" s="208"/>
      <c r="K1848" s="208" t="s">
        <v>121</v>
      </c>
      <c r="L1848" s="208" t="str">
        <v xml:space="preserve"> 50.6</v>
      </c>
      <c r="M1848" s="208" t="str">
        <v/>
      </c>
    </row>
    <row r="1849" spans="1:13" ht="14.4">
      <c r="A1849" s="199" t="str">
        <f ca="1">IFERROR(__xludf.DUMMYFUNCTION("""COMPUTED_VALUE"""),"SHB")</f>
        <v>SHB</v>
      </c>
      <c r="B1849" s="207" t="str">
        <f ca="1">IFERROR(__xludf.DUMMYFUNCTION("""COMPUTED_VALUE"""),"Luke Taggart")</f>
        <v>Luke Taggart</v>
      </c>
      <c r="C1849" s="199">
        <f ca="1">IFERROR(__xludf.DUMMYFUNCTION("""COMPUTED_VALUE"""),6)</f>
        <v>6</v>
      </c>
      <c r="D1849" s="199" t="str">
        <f ca="1">IFERROR(__xludf.DUMMYFUNCTION("""COMPUTED_VALUE"""),"B")</f>
        <v>B</v>
      </c>
      <c r="E1849" s="202" t="str">
        <f ca="1">IFERROR(__xludf.DUMMYFUNCTION("""COMPUTED_VALUE"""),"F")</f>
        <v>F</v>
      </c>
      <c r="F1849" s="202" t="str">
        <f ca="1">IFERROR(__xludf.DUMMYFUNCTION("""COMPUTED_VALUE"""),"J")</f>
        <v>J</v>
      </c>
      <c r="G1849" s="202">
        <f ca="1">IFERROR(__xludf.DUMMYFUNCTION("""COMPUTED_VALUE"""),5)</f>
        <v>5</v>
      </c>
      <c r="H1849" s="208"/>
      <c r="I1849" s="208"/>
      <c r="J1849" s="208"/>
      <c r="K1849" s="208"/>
      <c r="L1849" s="208" t="str">
        <v/>
      </c>
      <c r="M1849" s="208" t="str">
        <v/>
      </c>
    </row>
    <row r="1850" spans="1:13" ht="14.4">
      <c r="A1850" s="199" t="str">
        <f ca="1">IFERROR(__xludf.DUMMYFUNCTION("""COMPUTED_VALUE"""),"SHB")</f>
        <v>SHB</v>
      </c>
      <c r="B1850" s="207" t="str">
        <f ca="1">IFERROR(__xludf.DUMMYFUNCTION("""COMPUTED_VALUE"""),"Mason Chang")</f>
        <v>Mason Chang</v>
      </c>
      <c r="C1850" s="199">
        <f ca="1">IFERROR(__xludf.DUMMYFUNCTION("""COMPUTED_VALUE"""),8)</f>
        <v>8</v>
      </c>
      <c r="D1850" s="199" t="str">
        <f ca="1">IFERROR(__xludf.DUMMYFUNCTION("""COMPUTED_VALUE"""),"B")</f>
        <v>B</v>
      </c>
      <c r="E1850" s="202" t="str">
        <f ca="1">IFERROR(__xludf.DUMMYFUNCTION("""COMPUTED_VALUE"""),"F")</f>
        <v>F</v>
      </c>
      <c r="F1850" s="202" t="str">
        <f ca="1">IFERROR(__xludf.DUMMYFUNCTION("""COMPUTED_VALUE"""),"J")</f>
        <v>J</v>
      </c>
      <c r="G1850" s="202">
        <f ca="1">IFERROR(__xludf.DUMMYFUNCTION("""COMPUTED_VALUE"""),5)</f>
        <v>5</v>
      </c>
      <c r="H1850" s="208"/>
      <c r="I1850" s="208"/>
      <c r="J1850" s="208"/>
      <c r="K1850" s="208"/>
      <c r="L1850" s="208" t="str">
        <v/>
      </c>
      <c r="M1850" s="208" t="str">
        <v/>
      </c>
    </row>
    <row r="1851" spans="1:13" ht="14.4">
      <c r="A1851" s="199" t="str">
        <f ca="1">IFERROR(__xludf.DUMMYFUNCTION("""COMPUTED_VALUE"""),"SHB")</f>
        <v>SHB</v>
      </c>
      <c r="B1851" s="207" t="str">
        <f ca="1">IFERROR(__xludf.DUMMYFUNCTION("""COMPUTED_VALUE"""),"PD Lips")</f>
        <v>PD Lips</v>
      </c>
      <c r="C1851" s="199">
        <f ca="1">IFERROR(__xludf.DUMMYFUNCTION("""COMPUTED_VALUE"""),6)</f>
        <v>6</v>
      </c>
      <c r="D1851" s="199" t="str">
        <f ca="1">IFERROR(__xludf.DUMMYFUNCTION("""COMPUTED_VALUE"""),"B")</f>
        <v>B</v>
      </c>
      <c r="E1851" s="202" t="str">
        <f ca="1">IFERROR(__xludf.DUMMYFUNCTION("""COMPUTED_VALUE"""),"F")</f>
        <v>F</v>
      </c>
      <c r="F1851" s="202" t="str">
        <f ca="1">IFERROR(__xludf.DUMMYFUNCTION("""COMPUTED_VALUE"""),"J")</f>
        <v>J</v>
      </c>
      <c r="G1851" s="202">
        <f ca="1">IFERROR(__xludf.DUMMYFUNCTION("""COMPUTED_VALUE"""),5)</f>
        <v>5</v>
      </c>
      <c r="H1851" s="208"/>
      <c r="I1851" s="208"/>
      <c r="J1851" s="208"/>
      <c r="K1851" s="208"/>
      <c r="L1851" s="208" t="str">
        <v/>
      </c>
      <c r="M1851" s="208" t="str">
        <v/>
      </c>
    </row>
    <row r="1852" spans="1:13" ht="14.4">
      <c r="A1852" s="199" t="str">
        <f ca="1">IFERROR(__xludf.DUMMYFUNCTION("""COMPUTED_VALUE"""),"SHB")</f>
        <v>SHB</v>
      </c>
      <c r="B1852" s="207" t="str">
        <f ca="1">IFERROR(__xludf.DUMMYFUNCTION("""COMPUTED_VALUE"""),"Travis Sisson")</f>
        <v>Travis Sisson</v>
      </c>
      <c r="C1852" s="199">
        <f ca="1">IFERROR(__xludf.DUMMYFUNCTION("""COMPUTED_VALUE"""),9)</f>
        <v>9</v>
      </c>
      <c r="D1852" s="199" t="str">
        <f ca="1">IFERROR(__xludf.DUMMYFUNCTION("""COMPUTED_VALUE"""),"B")</f>
        <v>B</v>
      </c>
      <c r="E1852" s="202" t="str">
        <f ca="1">IFERROR(__xludf.DUMMYFUNCTION("""COMPUTED_VALUE"""),"F")</f>
        <v>F</v>
      </c>
      <c r="F1852" s="202" t="str">
        <f ca="1">IFERROR(__xludf.DUMMYFUNCTION("""COMPUTED_VALUE"""),"J")</f>
        <v>J</v>
      </c>
      <c r="G1852" s="202">
        <f ca="1">IFERROR(__xludf.DUMMYFUNCTION("""COMPUTED_VALUE"""),5)</f>
        <v>5</v>
      </c>
      <c r="H1852" s="208"/>
      <c r="I1852" s="208"/>
      <c r="J1852" s="208"/>
      <c r="K1852" s="208"/>
      <c r="L1852" s="208" t="str">
        <v/>
      </c>
      <c r="M1852" s="208" t="str">
        <v/>
      </c>
    </row>
    <row r="1853" spans="1:13" ht="14.4">
      <c r="A1853" s="199" t="str">
        <f ca="1">IFERROR(__xludf.DUMMYFUNCTION("""COMPUTED_VALUE"""),"SHB")</f>
        <v>SHB</v>
      </c>
      <c r="B1853" s="207" t="str">
        <f ca="1">IFERROR(__xludf.DUMMYFUNCTION("""COMPUTED_VALUE"""),"Abigail Sisson")</f>
        <v>Abigail Sisson</v>
      </c>
      <c r="C1853" s="199">
        <f ca="1">IFERROR(__xludf.DUMMYFUNCTION("""COMPUTED_VALUE"""),10)</f>
        <v>10</v>
      </c>
      <c r="D1853" s="199" t="str">
        <f ca="1">IFERROR(__xludf.DUMMYFUNCTION("""COMPUTED_VALUE"""),"G")</f>
        <v>G</v>
      </c>
      <c r="E1853" s="202" t="str">
        <f ca="1">IFERROR(__xludf.DUMMYFUNCTION("""COMPUTED_VALUE"""),"F")</f>
        <v>F</v>
      </c>
      <c r="F1853" s="202" t="str">
        <f ca="1">IFERROR(__xludf.DUMMYFUNCTION("""COMPUTED_VALUE"""),"J")</f>
        <v>J</v>
      </c>
      <c r="G1853" s="202">
        <f ca="1">IFERROR(__xludf.DUMMYFUNCTION("""COMPUTED_VALUE"""),5)</f>
        <v>5</v>
      </c>
      <c r="H1853" s="208"/>
      <c r="I1853" s="208"/>
      <c r="J1853" s="208"/>
      <c r="K1853" s="208"/>
      <c r="L1853" s="208" t="str">
        <v/>
      </c>
      <c r="M1853" s="208" t="str">
        <v/>
      </c>
    </row>
    <row r="1854" spans="1:13" ht="14.4">
      <c r="A1854" s="199" t="str">
        <f ca="1">IFERROR(__xludf.DUMMYFUNCTION("""COMPUTED_VALUE"""),"SHB")</f>
        <v>SHB</v>
      </c>
      <c r="B1854" s="207" t="str">
        <f ca="1">IFERROR(__xludf.DUMMYFUNCTION("""COMPUTED_VALUE"""),"Angelina katsas")</f>
        <v>Angelina katsas</v>
      </c>
      <c r="C1854" s="199">
        <f ca="1">IFERROR(__xludf.DUMMYFUNCTION("""COMPUTED_VALUE"""),8)</f>
        <v>8</v>
      </c>
      <c r="D1854" s="199" t="str">
        <f ca="1">IFERROR(__xludf.DUMMYFUNCTION("""COMPUTED_VALUE"""),"G")</f>
        <v>G</v>
      </c>
      <c r="E1854" s="202" t="str">
        <f ca="1">IFERROR(__xludf.DUMMYFUNCTION("""COMPUTED_VALUE"""),"F")</f>
        <v>F</v>
      </c>
      <c r="F1854" s="202" t="str">
        <f ca="1">IFERROR(__xludf.DUMMYFUNCTION("""COMPUTED_VALUE"""),"J")</f>
        <v>J</v>
      </c>
      <c r="G1854" s="202">
        <f ca="1">IFERROR(__xludf.DUMMYFUNCTION("""COMPUTED_VALUE"""),5)</f>
        <v>5</v>
      </c>
      <c r="H1854" s="208">
        <v>26.1</v>
      </c>
      <c r="I1854" s="208"/>
      <c r="J1854" s="208" t="s">
        <v>121</v>
      </c>
      <c r="K1854" s="208"/>
      <c r="L1854" s="208" t="str">
        <v xml:space="preserve"> 26.1</v>
      </c>
      <c r="M1854" s="208" t="str">
        <v/>
      </c>
    </row>
    <row r="1855" spans="1:13" ht="14.4">
      <c r="A1855" s="199" t="str">
        <f ca="1">IFERROR(__xludf.DUMMYFUNCTION("""COMPUTED_VALUE"""),"SHB")</f>
        <v>SHB</v>
      </c>
      <c r="B1855" s="207" t="str">
        <f ca="1">IFERROR(__xludf.DUMMYFUNCTION("""COMPUTED_VALUE"""),"Avery Vorndran")</f>
        <v>Avery Vorndran</v>
      </c>
      <c r="C1855" s="199">
        <f ca="1">IFERROR(__xludf.DUMMYFUNCTION("""COMPUTED_VALUE"""),9)</f>
        <v>9</v>
      </c>
      <c r="D1855" s="199" t="str">
        <f ca="1">IFERROR(__xludf.DUMMYFUNCTION("""COMPUTED_VALUE"""),"G")</f>
        <v>G</v>
      </c>
      <c r="E1855" s="202" t="str">
        <f ca="1">IFERROR(__xludf.DUMMYFUNCTION("""COMPUTED_VALUE"""),"F")</f>
        <v>F</v>
      </c>
      <c r="F1855" s="202" t="str">
        <f ca="1">IFERROR(__xludf.DUMMYFUNCTION("""COMPUTED_VALUE"""),"J")</f>
        <v>J</v>
      </c>
      <c r="G1855" s="202">
        <f ca="1">IFERROR(__xludf.DUMMYFUNCTION("""COMPUTED_VALUE"""),5)</f>
        <v>5</v>
      </c>
      <c r="H1855" s="208"/>
      <c r="I1855" s="208"/>
      <c r="J1855" s="208"/>
      <c r="K1855" s="208"/>
      <c r="L1855" s="208" t="str">
        <v/>
      </c>
      <c r="M1855" s="208" t="str">
        <v/>
      </c>
    </row>
    <row r="1856" spans="1:13" ht="14.4">
      <c r="A1856" s="199" t="str">
        <f ca="1">IFERROR(__xludf.DUMMYFUNCTION("""COMPUTED_VALUE"""),"SHB")</f>
        <v>SHB</v>
      </c>
      <c r="B1856" s="207" t="str">
        <f ca="1">IFERROR(__xludf.DUMMYFUNCTION("""COMPUTED_VALUE"""),"Azeria ""ZZ"" Arnic")</f>
        <v>Azeria "ZZ" Arnic</v>
      </c>
      <c r="C1856" s="199">
        <f ca="1">IFERROR(__xludf.DUMMYFUNCTION("""COMPUTED_VALUE"""),8)</f>
        <v>8</v>
      </c>
      <c r="D1856" s="199" t="str">
        <f ca="1">IFERROR(__xludf.DUMMYFUNCTION("""COMPUTED_VALUE"""),"G")</f>
        <v>G</v>
      </c>
      <c r="E1856" s="202" t="str">
        <f ca="1">IFERROR(__xludf.DUMMYFUNCTION("""COMPUTED_VALUE"""),"F")</f>
        <v>F</v>
      </c>
      <c r="F1856" s="202" t="str">
        <f ca="1">IFERROR(__xludf.DUMMYFUNCTION("""COMPUTED_VALUE"""),"J")</f>
        <v>J</v>
      </c>
      <c r="G1856" s="202">
        <f ca="1">IFERROR(__xludf.DUMMYFUNCTION("""COMPUTED_VALUE"""),5)</f>
        <v>5</v>
      </c>
      <c r="H1856" s="208">
        <v>69.900000000000006</v>
      </c>
      <c r="I1856" s="208"/>
      <c r="J1856" s="208" t="s">
        <v>121</v>
      </c>
      <c r="K1856" s="208"/>
      <c r="L1856" s="208" t="str">
        <v xml:space="preserve"> 69.9</v>
      </c>
      <c r="M1856" s="208" t="str">
        <v/>
      </c>
    </row>
    <row r="1857" spans="1:13" ht="14.4">
      <c r="A1857" s="199" t="str">
        <f ca="1">IFERROR(__xludf.DUMMYFUNCTION("""COMPUTED_VALUE"""),"SHB")</f>
        <v>SHB</v>
      </c>
      <c r="B1857" s="207" t="str">
        <f ca="1">IFERROR(__xludf.DUMMYFUNCTION("""COMPUTED_VALUE"""),"Elise Akpati")</f>
        <v>Elise Akpati</v>
      </c>
      <c r="C1857" s="199">
        <f ca="1">IFERROR(__xludf.DUMMYFUNCTION("""COMPUTED_VALUE"""),5)</f>
        <v>5</v>
      </c>
      <c r="D1857" s="199" t="str">
        <f ca="1">IFERROR(__xludf.DUMMYFUNCTION("""COMPUTED_VALUE"""),"G")</f>
        <v>G</v>
      </c>
      <c r="E1857" s="202" t="str">
        <f ca="1">IFERROR(__xludf.DUMMYFUNCTION("""COMPUTED_VALUE"""),"F")</f>
        <v>F</v>
      </c>
      <c r="F1857" s="202" t="str">
        <f ca="1">IFERROR(__xludf.DUMMYFUNCTION("""COMPUTED_VALUE"""),"J")</f>
        <v>J</v>
      </c>
      <c r="G1857" s="202">
        <f ca="1">IFERROR(__xludf.DUMMYFUNCTION("""COMPUTED_VALUE"""),5)</f>
        <v>5</v>
      </c>
      <c r="H1857" s="208"/>
      <c r="I1857" s="208"/>
      <c r="J1857" s="208"/>
      <c r="K1857" s="208"/>
      <c r="L1857" s="208" t="str">
        <v/>
      </c>
      <c r="M1857" s="208" t="str">
        <v/>
      </c>
    </row>
    <row r="1858" spans="1:13" ht="14.4">
      <c r="A1858" s="199" t="str">
        <f ca="1">IFERROR(__xludf.DUMMYFUNCTION("""COMPUTED_VALUE"""),"SHB")</f>
        <v>SHB</v>
      </c>
      <c r="B1858" s="207" t="str">
        <f ca="1">IFERROR(__xludf.DUMMYFUNCTION("""COMPUTED_VALUE"""),"Emerson Cayetano")</f>
        <v>Emerson Cayetano</v>
      </c>
      <c r="C1858" s="199">
        <f ca="1">IFERROR(__xludf.DUMMYFUNCTION("""COMPUTED_VALUE"""),6)</f>
        <v>6</v>
      </c>
      <c r="D1858" s="199" t="str">
        <f ca="1">IFERROR(__xludf.DUMMYFUNCTION("""COMPUTED_VALUE"""),"G")</f>
        <v>G</v>
      </c>
      <c r="E1858" s="202" t="str">
        <f ca="1">IFERROR(__xludf.DUMMYFUNCTION("""COMPUTED_VALUE"""),"F")</f>
        <v>F</v>
      </c>
      <c r="F1858" s="202" t="str">
        <f ca="1">IFERROR(__xludf.DUMMYFUNCTION("""COMPUTED_VALUE"""),"J")</f>
        <v>J</v>
      </c>
      <c r="G1858" s="202">
        <f ca="1">IFERROR(__xludf.DUMMYFUNCTION("""COMPUTED_VALUE"""),5)</f>
        <v>5</v>
      </c>
      <c r="H1858" s="208"/>
      <c r="I1858" s="208"/>
      <c r="J1858" s="208"/>
      <c r="K1858" s="208"/>
      <c r="L1858" s="208" t="str">
        <v/>
      </c>
      <c r="M1858" s="208" t="str">
        <v/>
      </c>
    </row>
    <row r="1859" spans="1:13" ht="14.4">
      <c r="A1859" s="199" t="str">
        <f ca="1">IFERROR(__xludf.DUMMYFUNCTION("""COMPUTED_VALUE"""),"SHB")</f>
        <v>SHB</v>
      </c>
      <c r="B1859" s="207" t="str">
        <f ca="1">IFERROR(__xludf.DUMMYFUNCTION("""COMPUTED_VALUE"""),"Emma Radich")</f>
        <v>Emma Radich</v>
      </c>
      <c r="C1859" s="199">
        <f ca="1">IFERROR(__xludf.DUMMYFUNCTION("""COMPUTED_VALUE"""),7)</f>
        <v>7</v>
      </c>
      <c r="D1859" s="199" t="str">
        <f ca="1">IFERROR(__xludf.DUMMYFUNCTION("""COMPUTED_VALUE"""),"G")</f>
        <v>G</v>
      </c>
      <c r="E1859" s="202" t="str">
        <f ca="1">IFERROR(__xludf.DUMMYFUNCTION("""COMPUTED_VALUE"""),"F")</f>
        <v>F</v>
      </c>
      <c r="F1859" s="202" t="str">
        <f ca="1">IFERROR(__xludf.DUMMYFUNCTION("""COMPUTED_VALUE"""),"J")</f>
        <v>J</v>
      </c>
      <c r="G1859" s="202">
        <f ca="1">IFERROR(__xludf.DUMMYFUNCTION("""COMPUTED_VALUE"""),5)</f>
        <v>5</v>
      </c>
      <c r="H1859" s="208"/>
      <c r="I1859" s="208"/>
      <c r="J1859" s="208"/>
      <c r="K1859" s="208"/>
      <c r="L1859" s="208" t="str">
        <v/>
      </c>
      <c r="M1859" s="208" t="str">
        <v/>
      </c>
    </row>
    <row r="1860" spans="1:13" ht="14.4">
      <c r="A1860" s="199" t="str">
        <f ca="1">IFERROR(__xludf.DUMMYFUNCTION("""COMPUTED_VALUE"""),"SHB")</f>
        <v>SHB</v>
      </c>
      <c r="B1860" s="207" t="str">
        <f ca="1">IFERROR(__xludf.DUMMYFUNCTION("""COMPUTED_VALUE"""),"Evelyn Akpati")</f>
        <v>Evelyn Akpati</v>
      </c>
      <c r="C1860" s="199">
        <f ca="1">IFERROR(__xludf.DUMMYFUNCTION("""COMPUTED_VALUE"""),7)</f>
        <v>7</v>
      </c>
      <c r="D1860" s="199" t="str">
        <f ca="1">IFERROR(__xludf.DUMMYFUNCTION("""COMPUTED_VALUE"""),"G")</f>
        <v>G</v>
      </c>
      <c r="E1860" s="202" t="str">
        <f ca="1">IFERROR(__xludf.DUMMYFUNCTION("""COMPUTED_VALUE"""),"F")</f>
        <v>F</v>
      </c>
      <c r="F1860" s="202" t="str">
        <f ca="1">IFERROR(__xludf.DUMMYFUNCTION("""COMPUTED_VALUE"""),"J")</f>
        <v>J</v>
      </c>
      <c r="G1860" s="202">
        <f ca="1">IFERROR(__xludf.DUMMYFUNCTION("""COMPUTED_VALUE"""),5)</f>
        <v>5</v>
      </c>
      <c r="H1860" s="208"/>
      <c r="I1860" s="208"/>
      <c r="J1860" s="208"/>
      <c r="K1860" s="208"/>
      <c r="L1860" s="208" t="str">
        <v/>
      </c>
      <c r="M1860" s="208" t="str">
        <v/>
      </c>
    </row>
    <row r="1861" spans="1:13" ht="14.4">
      <c r="A1861" s="199" t="str">
        <f ca="1">IFERROR(__xludf.DUMMYFUNCTION("""COMPUTED_VALUE"""),"SHB")</f>
        <v>SHB</v>
      </c>
      <c r="B1861" s="207" t="str">
        <f ca="1">IFERROR(__xludf.DUMMYFUNCTION("""COMPUTED_VALUE"""),"Hadley Chang")</f>
        <v>Hadley Chang</v>
      </c>
      <c r="C1861" s="199">
        <f ca="1">IFERROR(__xludf.DUMMYFUNCTION("""COMPUTED_VALUE"""),10)</f>
        <v>10</v>
      </c>
      <c r="D1861" s="199" t="str">
        <f ca="1">IFERROR(__xludf.DUMMYFUNCTION("""COMPUTED_VALUE"""),"G")</f>
        <v>G</v>
      </c>
      <c r="E1861" s="202" t="str">
        <f ca="1">IFERROR(__xludf.DUMMYFUNCTION("""COMPUTED_VALUE"""),"F")</f>
        <v>F</v>
      </c>
      <c r="F1861" s="202" t="str">
        <f ca="1">IFERROR(__xludf.DUMMYFUNCTION("""COMPUTED_VALUE"""),"J")</f>
        <v>J</v>
      </c>
      <c r="G1861" s="202">
        <f ca="1">IFERROR(__xludf.DUMMYFUNCTION("""COMPUTED_VALUE"""),5)</f>
        <v>5</v>
      </c>
      <c r="H1861" s="208"/>
      <c r="I1861" s="208"/>
      <c r="J1861" s="208"/>
      <c r="K1861" s="208"/>
      <c r="L1861" s="208" t="str">
        <v/>
      </c>
      <c r="M1861" s="208" t="str">
        <v/>
      </c>
    </row>
    <row r="1862" spans="1:13" ht="14.4">
      <c r="A1862" s="199" t="str">
        <f ca="1">IFERROR(__xludf.DUMMYFUNCTION("""COMPUTED_VALUE"""),"SHB")</f>
        <v>SHB</v>
      </c>
      <c r="B1862" s="207" t="str">
        <f ca="1">IFERROR(__xludf.DUMMYFUNCTION("""COMPUTED_VALUE"""),"Hannah Taggart")</f>
        <v>Hannah Taggart</v>
      </c>
      <c r="C1862" s="199">
        <f ca="1">IFERROR(__xludf.DUMMYFUNCTION("""COMPUTED_VALUE"""),8)</f>
        <v>8</v>
      </c>
      <c r="D1862" s="199" t="str">
        <f ca="1">IFERROR(__xludf.DUMMYFUNCTION("""COMPUTED_VALUE"""),"G")</f>
        <v>G</v>
      </c>
      <c r="E1862" s="202" t="str">
        <f ca="1">IFERROR(__xludf.DUMMYFUNCTION("""COMPUTED_VALUE"""),"F")</f>
        <v>F</v>
      </c>
      <c r="F1862" s="202" t="str">
        <f ca="1">IFERROR(__xludf.DUMMYFUNCTION("""COMPUTED_VALUE"""),"J")</f>
        <v>J</v>
      </c>
      <c r="G1862" s="202">
        <f ca="1">IFERROR(__xludf.DUMMYFUNCTION("""COMPUTED_VALUE"""),5)</f>
        <v>5</v>
      </c>
      <c r="H1862" s="208"/>
      <c r="I1862" s="208"/>
      <c r="J1862" s="208"/>
      <c r="K1862" s="208"/>
      <c r="L1862" s="208" t="str">
        <v/>
      </c>
      <c r="M1862" s="208" t="str">
        <v/>
      </c>
    </row>
    <row r="1863" spans="1:13" ht="14.4">
      <c r="A1863" s="199" t="str">
        <f ca="1">IFERROR(__xludf.DUMMYFUNCTION("""COMPUTED_VALUE"""),"SHB")</f>
        <v>SHB</v>
      </c>
      <c r="B1863" s="207" t="str">
        <f ca="1">IFERROR(__xludf.DUMMYFUNCTION("""COMPUTED_VALUE"""),"Harper Pham")</f>
        <v>Harper Pham</v>
      </c>
      <c r="C1863" s="199">
        <f ca="1">IFERROR(__xludf.DUMMYFUNCTION("""COMPUTED_VALUE"""),8)</f>
        <v>8</v>
      </c>
      <c r="D1863" s="199" t="str">
        <f ca="1">IFERROR(__xludf.DUMMYFUNCTION("""COMPUTED_VALUE"""),"G")</f>
        <v>G</v>
      </c>
      <c r="E1863" s="202" t="str">
        <f ca="1">IFERROR(__xludf.DUMMYFUNCTION("""COMPUTED_VALUE"""),"F")</f>
        <v>F</v>
      </c>
      <c r="F1863" s="202" t="str">
        <f ca="1">IFERROR(__xludf.DUMMYFUNCTION("""COMPUTED_VALUE"""),"J")</f>
        <v>J</v>
      </c>
      <c r="G1863" s="202">
        <f ca="1">IFERROR(__xludf.DUMMYFUNCTION("""COMPUTED_VALUE"""),5)</f>
        <v>5</v>
      </c>
      <c r="H1863" s="208"/>
      <c r="I1863" s="208"/>
      <c r="J1863" s="208"/>
      <c r="K1863" s="208"/>
      <c r="L1863" s="208" t="str">
        <v/>
      </c>
      <c r="M1863" s="208" t="str">
        <v/>
      </c>
    </row>
    <row r="1864" spans="1:13" ht="14.4">
      <c r="A1864" s="199" t="str">
        <f ca="1">IFERROR(__xludf.DUMMYFUNCTION("""COMPUTED_VALUE"""),"SHB")</f>
        <v>SHB</v>
      </c>
      <c r="B1864" s="207" t="str">
        <f ca="1">IFERROR(__xludf.DUMMYFUNCTION("""COMPUTED_VALUE"""),"Hillary Mitchell")</f>
        <v>Hillary Mitchell</v>
      </c>
      <c r="C1864" s="199">
        <f ca="1">IFERROR(__xludf.DUMMYFUNCTION("""COMPUTED_VALUE"""),9)</f>
        <v>9</v>
      </c>
      <c r="D1864" s="199" t="str">
        <f ca="1">IFERROR(__xludf.DUMMYFUNCTION("""COMPUTED_VALUE"""),"G")</f>
        <v>G</v>
      </c>
      <c r="E1864" s="202" t="str">
        <f ca="1">IFERROR(__xludf.DUMMYFUNCTION("""COMPUTED_VALUE"""),"F")</f>
        <v>F</v>
      </c>
      <c r="F1864" s="202" t="str">
        <f ca="1">IFERROR(__xludf.DUMMYFUNCTION("""COMPUTED_VALUE"""),"J")</f>
        <v>J</v>
      </c>
      <c r="G1864" s="202">
        <f ca="1">IFERROR(__xludf.DUMMYFUNCTION("""COMPUTED_VALUE"""),5)</f>
        <v>5</v>
      </c>
      <c r="H1864" s="208"/>
      <c r="I1864" s="208"/>
      <c r="J1864" s="208"/>
      <c r="K1864" s="208"/>
      <c r="L1864" s="208" t="str">
        <v/>
      </c>
      <c r="M1864" s="208" t="str">
        <v/>
      </c>
    </row>
    <row r="1865" spans="1:13" ht="14.4">
      <c r="A1865" s="199" t="str">
        <f ca="1">IFERROR(__xludf.DUMMYFUNCTION("""COMPUTED_VALUE"""),"SHB")</f>
        <v>SHB</v>
      </c>
      <c r="B1865" s="207" t="str">
        <f ca="1">IFERROR(__xludf.DUMMYFUNCTION("""COMPUTED_VALUE"""),"Isabel Compher")</f>
        <v>Isabel Compher</v>
      </c>
      <c r="C1865" s="199">
        <f ca="1">IFERROR(__xludf.DUMMYFUNCTION("""COMPUTED_VALUE"""),9)</f>
        <v>9</v>
      </c>
      <c r="D1865" s="199" t="str">
        <f ca="1">IFERROR(__xludf.DUMMYFUNCTION("""COMPUTED_VALUE"""),"G")</f>
        <v>G</v>
      </c>
      <c r="E1865" s="202" t="str">
        <f ca="1">IFERROR(__xludf.DUMMYFUNCTION("""COMPUTED_VALUE"""),"F")</f>
        <v>F</v>
      </c>
      <c r="F1865" s="202" t="str">
        <f ca="1">IFERROR(__xludf.DUMMYFUNCTION("""COMPUTED_VALUE"""),"J")</f>
        <v>J</v>
      </c>
      <c r="G1865" s="202">
        <f ca="1">IFERROR(__xludf.DUMMYFUNCTION("""COMPUTED_VALUE"""),5)</f>
        <v>5</v>
      </c>
      <c r="H1865" s="208"/>
      <c r="I1865" s="208"/>
      <c r="J1865" s="208"/>
      <c r="K1865" s="208"/>
      <c r="L1865" s="208" t="str">
        <v/>
      </c>
      <c r="M1865" s="208" t="str">
        <v/>
      </c>
    </row>
    <row r="1866" spans="1:13" ht="14.4">
      <c r="A1866" s="199" t="str">
        <f ca="1">IFERROR(__xludf.DUMMYFUNCTION("""COMPUTED_VALUE"""),"SHB")</f>
        <v>SHB</v>
      </c>
      <c r="B1866" s="207" t="str">
        <f ca="1">IFERROR(__xludf.DUMMYFUNCTION("""COMPUTED_VALUE"""),"Julie Rosenbaum")</f>
        <v>Julie Rosenbaum</v>
      </c>
      <c r="C1866" s="199">
        <f ca="1">IFERROR(__xludf.DUMMYFUNCTION("""COMPUTED_VALUE"""),7)</f>
        <v>7</v>
      </c>
      <c r="D1866" s="199" t="str">
        <f ca="1">IFERROR(__xludf.DUMMYFUNCTION("""COMPUTED_VALUE"""),"G")</f>
        <v>G</v>
      </c>
      <c r="E1866" s="202" t="str">
        <f ca="1">IFERROR(__xludf.DUMMYFUNCTION("""COMPUTED_VALUE"""),"F")</f>
        <v>F</v>
      </c>
      <c r="F1866" s="202" t="str">
        <f ca="1">IFERROR(__xludf.DUMMYFUNCTION("""COMPUTED_VALUE"""),"J")</f>
        <v>J</v>
      </c>
      <c r="G1866" s="202">
        <f ca="1">IFERROR(__xludf.DUMMYFUNCTION("""COMPUTED_VALUE"""),5)</f>
        <v>5</v>
      </c>
      <c r="H1866" s="208"/>
      <c r="I1866" s="208"/>
      <c r="J1866" s="208"/>
      <c r="K1866" s="208"/>
      <c r="L1866" s="208" t="str">
        <v/>
      </c>
      <c r="M1866" s="208" t="str">
        <v/>
      </c>
    </row>
    <row r="1867" spans="1:13" ht="14.4">
      <c r="A1867" s="199" t="str">
        <f ca="1">IFERROR(__xludf.DUMMYFUNCTION("""COMPUTED_VALUE"""),"SHB")</f>
        <v>SHB</v>
      </c>
      <c r="B1867" s="207" t="str">
        <f ca="1">IFERROR(__xludf.DUMMYFUNCTION("""COMPUTED_VALUE"""),"Maya Orlova")</f>
        <v>Maya Orlova</v>
      </c>
      <c r="C1867" s="199">
        <f ca="1">IFERROR(__xludf.DUMMYFUNCTION("""COMPUTED_VALUE"""),9)</f>
        <v>9</v>
      </c>
      <c r="D1867" s="199" t="str">
        <f ca="1">IFERROR(__xludf.DUMMYFUNCTION("""COMPUTED_VALUE"""),"G")</f>
        <v>G</v>
      </c>
      <c r="E1867" s="202" t="str">
        <f ca="1">IFERROR(__xludf.DUMMYFUNCTION("""COMPUTED_VALUE"""),"F")</f>
        <v>F</v>
      </c>
      <c r="F1867" s="202" t="str">
        <f ca="1">IFERROR(__xludf.DUMMYFUNCTION("""COMPUTED_VALUE"""),"J")</f>
        <v>J</v>
      </c>
      <c r="G1867" s="202">
        <f ca="1">IFERROR(__xludf.DUMMYFUNCTION("""COMPUTED_VALUE"""),5)</f>
        <v>5</v>
      </c>
      <c r="H1867" s="208">
        <v>46.1</v>
      </c>
      <c r="I1867" s="208"/>
      <c r="J1867" s="208" t="s">
        <v>121</v>
      </c>
      <c r="K1867" s="208"/>
      <c r="L1867" s="208" t="str">
        <v xml:space="preserve"> 46.1</v>
      </c>
      <c r="M1867" s="208" t="str">
        <v/>
      </c>
    </row>
    <row r="1868" spans="1:13" ht="14.4">
      <c r="A1868" s="199" t="str">
        <f ca="1">IFERROR(__xludf.DUMMYFUNCTION("""COMPUTED_VALUE"""),"SHB")</f>
        <v>SHB</v>
      </c>
      <c r="B1868" s="207" t="str">
        <f ca="1">IFERROR(__xludf.DUMMYFUNCTION("""COMPUTED_VALUE"""),"Riley Cayetano")</f>
        <v>Riley Cayetano</v>
      </c>
      <c r="C1868" s="199">
        <f ca="1">IFERROR(__xludf.DUMMYFUNCTION("""COMPUTED_VALUE"""),6)</f>
        <v>6</v>
      </c>
      <c r="D1868" s="199" t="str">
        <f ca="1">IFERROR(__xludf.DUMMYFUNCTION("""COMPUTED_VALUE"""),"G")</f>
        <v>G</v>
      </c>
      <c r="E1868" s="202" t="str">
        <f ca="1">IFERROR(__xludf.DUMMYFUNCTION("""COMPUTED_VALUE"""),"F")</f>
        <v>F</v>
      </c>
      <c r="F1868" s="202" t="str">
        <f ca="1">IFERROR(__xludf.DUMMYFUNCTION("""COMPUTED_VALUE"""),"J")</f>
        <v>J</v>
      </c>
      <c r="G1868" s="202">
        <f ca="1">IFERROR(__xludf.DUMMYFUNCTION("""COMPUTED_VALUE"""),5)</f>
        <v>5</v>
      </c>
      <c r="H1868" s="208"/>
      <c r="I1868" s="208"/>
      <c r="J1868" s="208"/>
      <c r="K1868" s="208"/>
      <c r="L1868" s="208" t="str">
        <v/>
      </c>
      <c r="M1868" s="208" t="str">
        <v/>
      </c>
    </row>
    <row r="1869" spans="1:13" ht="14.4">
      <c r="A1869" s="199" t="str">
        <f ca="1">IFERROR(__xludf.DUMMYFUNCTION("""COMPUTED_VALUE"""),"SHB")</f>
        <v>SHB</v>
      </c>
      <c r="B1869" s="207" t="str">
        <f ca="1">IFERROR(__xludf.DUMMYFUNCTION("""COMPUTED_VALUE"""),"Sarah Chodos")</f>
        <v>Sarah Chodos</v>
      </c>
      <c r="C1869" s="199">
        <f ca="1">IFERROR(__xludf.DUMMYFUNCTION("""COMPUTED_VALUE"""),10)</f>
        <v>10</v>
      </c>
      <c r="D1869" s="199" t="str">
        <f ca="1">IFERROR(__xludf.DUMMYFUNCTION("""COMPUTED_VALUE"""),"G")</f>
        <v>G</v>
      </c>
      <c r="E1869" s="202" t="str">
        <f ca="1">IFERROR(__xludf.DUMMYFUNCTION("""COMPUTED_VALUE"""),"F")</f>
        <v>F</v>
      </c>
      <c r="F1869" s="202" t="str">
        <f ca="1">IFERROR(__xludf.DUMMYFUNCTION("""COMPUTED_VALUE"""),"J")</f>
        <v>J</v>
      </c>
      <c r="G1869" s="202">
        <f ca="1">IFERROR(__xludf.DUMMYFUNCTION("""COMPUTED_VALUE"""),5)</f>
        <v>5</v>
      </c>
      <c r="H1869" s="208">
        <v>43.35</v>
      </c>
      <c r="I1869" s="208"/>
      <c r="J1869" s="208" t="s">
        <v>121</v>
      </c>
      <c r="K1869" s="208"/>
      <c r="L1869" s="208" t="str">
        <v xml:space="preserve"> 43.35</v>
      </c>
      <c r="M1869" s="208" t="str">
        <v/>
      </c>
    </row>
    <row r="1870" spans="1:13" ht="14.4">
      <c r="A1870" s="199" t="str">
        <f ca="1">IFERROR(__xludf.DUMMYFUNCTION("""COMPUTED_VALUE"""),"SHB")</f>
        <v>SHB</v>
      </c>
      <c r="B1870" s="207" t="str">
        <f ca="1">IFERROR(__xludf.DUMMYFUNCTION("""COMPUTED_VALUE"""),"David Caudillo")</f>
        <v>David Caudillo</v>
      </c>
      <c r="C1870" s="199">
        <f ca="1">IFERROR(__xludf.DUMMYFUNCTION("""COMPUTED_VALUE"""),13)</f>
        <v>13</v>
      </c>
      <c r="D1870" s="199" t="str">
        <f ca="1">IFERROR(__xludf.DUMMYFUNCTION("""COMPUTED_VALUE"""),"B")</f>
        <v>B</v>
      </c>
      <c r="E1870" s="202" t="str">
        <f ca="1">IFERROR(__xludf.DUMMYFUNCTION("""COMPUTED_VALUE"""),"I")</f>
        <v>I</v>
      </c>
      <c r="F1870" s="202" t="str">
        <f ca="1">IFERROR(__xludf.DUMMYFUNCTION("""COMPUTED_VALUE"""),"S")</f>
        <v>S</v>
      </c>
      <c r="G1870" s="202">
        <f ca="1">IFERROR(__xludf.DUMMYFUNCTION("""COMPUTED_VALUE"""),5)</f>
        <v>5</v>
      </c>
      <c r="H1870" s="208"/>
      <c r="I1870" s="208">
        <v>67.3</v>
      </c>
      <c r="J1870" s="208"/>
      <c r="K1870" s="208" t="s">
        <v>121</v>
      </c>
      <c r="L1870" s="208" t="str">
        <v xml:space="preserve"> 67.3</v>
      </c>
      <c r="M1870" s="208" t="str">
        <v/>
      </c>
    </row>
    <row r="1871" spans="1:13" ht="14.4">
      <c r="A1871" s="199" t="str">
        <f ca="1">IFERROR(__xludf.DUMMYFUNCTION("""COMPUTED_VALUE"""),"SHB")</f>
        <v>SHB</v>
      </c>
      <c r="B1871" s="207" t="str">
        <f ca="1">IFERROR(__xludf.DUMMYFUNCTION("""COMPUTED_VALUE"""),"Donovan Lanoue-Chapman")</f>
        <v>Donovan Lanoue-Chapman</v>
      </c>
      <c r="C1871" s="199">
        <f ca="1">IFERROR(__xludf.DUMMYFUNCTION("""COMPUTED_VALUE"""),13)</f>
        <v>13</v>
      </c>
      <c r="D1871" s="199" t="str">
        <f ca="1">IFERROR(__xludf.DUMMYFUNCTION("""COMPUTED_VALUE"""),"B")</f>
        <v>B</v>
      </c>
      <c r="E1871" s="202" t="str">
        <f ca="1">IFERROR(__xludf.DUMMYFUNCTION("""COMPUTED_VALUE"""),"I")</f>
        <v>I</v>
      </c>
      <c r="F1871" s="202" t="str">
        <f ca="1">IFERROR(__xludf.DUMMYFUNCTION("""COMPUTED_VALUE"""),"S")</f>
        <v>S</v>
      </c>
      <c r="G1871" s="202">
        <f ca="1">IFERROR(__xludf.DUMMYFUNCTION("""COMPUTED_VALUE"""),5)</f>
        <v>5</v>
      </c>
      <c r="H1871" s="208"/>
      <c r="I1871" s="208"/>
      <c r="J1871" s="208"/>
      <c r="K1871" s="208"/>
      <c r="L1871" s="208" t="str">
        <v/>
      </c>
      <c r="M1871" s="208" t="str">
        <v/>
      </c>
    </row>
    <row r="1872" spans="1:13" ht="14.4">
      <c r="A1872" s="199" t="str">
        <f ca="1">IFERROR(__xludf.DUMMYFUNCTION("""COMPUTED_VALUE"""),"SHB")</f>
        <v>SHB</v>
      </c>
      <c r="B1872" s="207" t="str">
        <f ca="1">IFERROR(__xludf.DUMMYFUNCTION("""COMPUTED_VALUE"""),"Ethan Heim")</f>
        <v>Ethan Heim</v>
      </c>
      <c r="C1872" s="199">
        <f ca="1">IFERROR(__xludf.DUMMYFUNCTION("""COMPUTED_VALUE"""),14)</f>
        <v>14</v>
      </c>
      <c r="D1872" s="199" t="str">
        <f ca="1">IFERROR(__xludf.DUMMYFUNCTION("""COMPUTED_VALUE"""),"B")</f>
        <v>B</v>
      </c>
      <c r="E1872" s="202" t="str">
        <f ca="1">IFERROR(__xludf.DUMMYFUNCTION("""COMPUTED_VALUE"""),"I")</f>
        <v>I</v>
      </c>
      <c r="F1872" s="202" t="str">
        <f ca="1">IFERROR(__xludf.DUMMYFUNCTION("""COMPUTED_VALUE"""),"S")</f>
        <v>S</v>
      </c>
      <c r="G1872" s="202">
        <f ca="1">IFERROR(__xludf.DUMMYFUNCTION("""COMPUTED_VALUE"""),5)</f>
        <v>5</v>
      </c>
      <c r="H1872" s="208"/>
      <c r="I1872" s="208">
        <v>97.75</v>
      </c>
      <c r="J1872" s="208"/>
      <c r="K1872" s="208" t="s">
        <v>121</v>
      </c>
      <c r="L1872" s="208" t="str">
        <v xml:space="preserve"> 97.75</v>
      </c>
      <c r="M1872" s="208" t="str">
        <v/>
      </c>
    </row>
    <row r="1873" spans="1:13" ht="14.4">
      <c r="A1873" s="199" t="str">
        <f ca="1">IFERROR(__xludf.DUMMYFUNCTION("""COMPUTED_VALUE"""),"SHB")</f>
        <v>SHB</v>
      </c>
      <c r="B1873" s="207" t="str">
        <f ca="1">IFERROR(__xludf.DUMMYFUNCTION("""COMPUTED_VALUE"""),"Gavin Goldstein")</f>
        <v>Gavin Goldstein</v>
      </c>
      <c r="C1873" s="199">
        <f ca="1">IFERROR(__xludf.DUMMYFUNCTION("""COMPUTED_VALUE"""),13)</f>
        <v>13</v>
      </c>
      <c r="D1873" s="199" t="str">
        <f ca="1">IFERROR(__xludf.DUMMYFUNCTION("""COMPUTED_VALUE"""),"B")</f>
        <v>B</v>
      </c>
      <c r="E1873" s="202" t="str">
        <f ca="1">IFERROR(__xludf.DUMMYFUNCTION("""COMPUTED_VALUE"""),"I")</f>
        <v>I</v>
      </c>
      <c r="F1873" s="202" t="str">
        <f ca="1">IFERROR(__xludf.DUMMYFUNCTION("""COMPUTED_VALUE"""),"S")</f>
        <v>S</v>
      </c>
      <c r="G1873" s="202">
        <f ca="1">IFERROR(__xludf.DUMMYFUNCTION("""COMPUTED_VALUE"""),5)</f>
        <v>5</v>
      </c>
      <c r="H1873" s="208"/>
      <c r="I1873" s="208"/>
      <c r="J1873" s="208"/>
      <c r="K1873" s="208"/>
      <c r="L1873" s="208" t="str">
        <v/>
      </c>
      <c r="M1873" s="208" t="str">
        <v/>
      </c>
    </row>
    <row r="1874" spans="1:13" ht="14.4">
      <c r="A1874" s="199" t="str">
        <f ca="1">IFERROR(__xludf.DUMMYFUNCTION("""COMPUTED_VALUE"""),"SHB")</f>
        <v>SHB</v>
      </c>
      <c r="B1874" s="207" t="str">
        <f ca="1">IFERROR(__xludf.DUMMYFUNCTION("""COMPUTED_VALUE"""),"Addie Bates")</f>
        <v>Addie Bates</v>
      </c>
      <c r="C1874" s="199">
        <f ca="1">IFERROR(__xludf.DUMMYFUNCTION("""COMPUTED_VALUE"""),13)</f>
        <v>13</v>
      </c>
      <c r="D1874" s="199" t="str">
        <f ca="1">IFERROR(__xludf.DUMMYFUNCTION("""COMPUTED_VALUE"""),"G")</f>
        <v>G</v>
      </c>
      <c r="E1874" s="202" t="str">
        <f ca="1">IFERROR(__xludf.DUMMYFUNCTION("""COMPUTED_VALUE"""),"I")</f>
        <v>I</v>
      </c>
      <c r="F1874" s="202" t="str">
        <f ca="1">IFERROR(__xludf.DUMMYFUNCTION("""COMPUTED_VALUE"""),"S")</f>
        <v>S</v>
      </c>
      <c r="G1874" s="202">
        <f ca="1">IFERROR(__xludf.DUMMYFUNCTION("""COMPUTED_VALUE"""),5)</f>
        <v>5</v>
      </c>
      <c r="H1874" s="208">
        <v>105</v>
      </c>
      <c r="I1874" s="208"/>
      <c r="J1874" s="208" t="s">
        <v>121</v>
      </c>
      <c r="K1874" s="208"/>
      <c r="L1874" s="208" t="str">
        <v xml:space="preserve"> 105</v>
      </c>
      <c r="M1874" s="208" t="str">
        <v/>
      </c>
    </row>
    <row r="1875" spans="1:13" ht="14.4">
      <c r="A1875" s="199" t="str">
        <f ca="1">IFERROR(__xludf.DUMMYFUNCTION("""COMPUTED_VALUE"""),"SHB")</f>
        <v>SHB</v>
      </c>
      <c r="B1875" s="207" t="str">
        <f ca="1">IFERROR(__xludf.DUMMYFUNCTION("""COMPUTED_VALUE"""),"Breanne Graham")</f>
        <v>Breanne Graham</v>
      </c>
      <c r="C1875" s="199">
        <f ca="1">IFERROR(__xludf.DUMMYFUNCTION("""COMPUTED_VALUE"""),13)</f>
        <v>13</v>
      </c>
      <c r="D1875" s="199" t="str">
        <f ca="1">IFERROR(__xludf.DUMMYFUNCTION("""COMPUTED_VALUE"""),"G")</f>
        <v>G</v>
      </c>
      <c r="E1875" s="202" t="str">
        <f ca="1">IFERROR(__xludf.DUMMYFUNCTION("""COMPUTED_VALUE"""),"I")</f>
        <v>I</v>
      </c>
      <c r="F1875" s="202" t="str">
        <f ca="1">IFERROR(__xludf.DUMMYFUNCTION("""COMPUTED_VALUE"""),"S")</f>
        <v>S</v>
      </c>
      <c r="G1875" s="202">
        <f ca="1">IFERROR(__xludf.DUMMYFUNCTION("""COMPUTED_VALUE"""),5)</f>
        <v>5</v>
      </c>
      <c r="H1875" s="208"/>
      <c r="I1875" s="208"/>
      <c r="J1875" s="208"/>
      <c r="K1875" s="208"/>
      <c r="L1875" s="208" t="str">
        <v/>
      </c>
      <c r="M1875" s="208" t="str">
        <v/>
      </c>
    </row>
    <row r="1876" spans="1:13" ht="14.4">
      <c r="A1876" s="199" t="str">
        <f ca="1">IFERROR(__xludf.DUMMYFUNCTION("""COMPUTED_VALUE"""),"SHB")</f>
        <v>SHB</v>
      </c>
      <c r="B1876" s="207" t="str">
        <f ca="1">IFERROR(__xludf.DUMMYFUNCTION("""COMPUTED_VALUE"""),"Camryn Caughlin")</f>
        <v>Camryn Caughlin</v>
      </c>
      <c r="C1876" s="199">
        <f ca="1">IFERROR(__xludf.DUMMYFUNCTION("""COMPUTED_VALUE"""),13)</f>
        <v>13</v>
      </c>
      <c r="D1876" s="199" t="str">
        <f ca="1">IFERROR(__xludf.DUMMYFUNCTION("""COMPUTED_VALUE"""),"G")</f>
        <v>G</v>
      </c>
      <c r="E1876" s="202" t="str">
        <f ca="1">IFERROR(__xludf.DUMMYFUNCTION("""COMPUTED_VALUE"""),"I")</f>
        <v>I</v>
      </c>
      <c r="F1876" s="202" t="str">
        <f ca="1">IFERROR(__xludf.DUMMYFUNCTION("""COMPUTED_VALUE"""),"S")</f>
        <v>S</v>
      </c>
      <c r="G1876" s="202">
        <f ca="1">IFERROR(__xludf.DUMMYFUNCTION("""COMPUTED_VALUE"""),5)</f>
        <v>5</v>
      </c>
      <c r="H1876" s="208">
        <v>87.3</v>
      </c>
      <c r="I1876" s="208"/>
      <c r="J1876" s="208" t="s">
        <v>121</v>
      </c>
      <c r="K1876" s="208"/>
      <c r="L1876" s="208" t="str">
        <v xml:space="preserve"> 87.3</v>
      </c>
      <c r="M1876" s="208" t="str">
        <v/>
      </c>
    </row>
    <row r="1877" spans="1:13" ht="14.4">
      <c r="A1877" s="199" t="str">
        <f ca="1">IFERROR(__xludf.DUMMYFUNCTION("""COMPUTED_VALUE"""),"SHB")</f>
        <v>SHB</v>
      </c>
      <c r="B1877" s="207" t="str">
        <f ca="1">IFERROR(__xludf.DUMMYFUNCTION("""COMPUTED_VALUE"""),"Olivia Sherman")</f>
        <v>Olivia Sherman</v>
      </c>
      <c r="C1877" s="199">
        <f ca="1">IFERROR(__xludf.DUMMYFUNCTION("""COMPUTED_VALUE"""),13)</f>
        <v>13</v>
      </c>
      <c r="D1877" s="199" t="str">
        <f ca="1">IFERROR(__xludf.DUMMYFUNCTION("""COMPUTED_VALUE"""),"G")</f>
        <v>G</v>
      </c>
      <c r="E1877" s="202" t="str">
        <f ca="1">IFERROR(__xludf.DUMMYFUNCTION("""COMPUTED_VALUE"""),"I")</f>
        <v>I</v>
      </c>
      <c r="F1877" s="202" t="str">
        <f ca="1">IFERROR(__xludf.DUMMYFUNCTION("""COMPUTED_VALUE"""),"S")</f>
        <v>S</v>
      </c>
      <c r="G1877" s="202">
        <f ca="1">IFERROR(__xludf.DUMMYFUNCTION("""COMPUTED_VALUE"""),5)</f>
        <v>5</v>
      </c>
      <c r="H1877" s="208"/>
      <c r="I1877" s="208"/>
      <c r="J1877" s="208"/>
      <c r="K1877" s="208"/>
      <c r="L1877" s="208" t="str">
        <v/>
      </c>
      <c r="M1877" s="208" t="str">
        <v/>
      </c>
    </row>
    <row r="1878" spans="1:13" ht="14.4">
      <c r="A1878" s="199" t="str">
        <f ca="1">IFERROR(__xludf.DUMMYFUNCTION("""COMPUTED_VALUE"""),"SHB")</f>
        <v>SHB</v>
      </c>
      <c r="B1878" s="207" t="str">
        <f ca="1">IFERROR(__xludf.DUMMYFUNCTION("""COMPUTED_VALUE"""),"Paisley Wilkins")</f>
        <v>Paisley Wilkins</v>
      </c>
      <c r="C1878" s="199">
        <f ca="1">IFERROR(__xludf.DUMMYFUNCTION("""COMPUTED_VALUE"""),14)</f>
        <v>14</v>
      </c>
      <c r="D1878" s="199" t="str">
        <f ca="1">IFERROR(__xludf.DUMMYFUNCTION("""COMPUTED_VALUE"""),"G")</f>
        <v>G</v>
      </c>
      <c r="E1878" s="202" t="str">
        <f ca="1">IFERROR(__xludf.DUMMYFUNCTION("""COMPUTED_VALUE"""),"I")</f>
        <v>I</v>
      </c>
      <c r="F1878" s="202" t="str">
        <f ca="1">IFERROR(__xludf.DUMMYFUNCTION("""COMPUTED_VALUE"""),"S")</f>
        <v>S</v>
      </c>
      <c r="G1878" s="202">
        <f ca="1">IFERROR(__xludf.DUMMYFUNCTION("""COMPUTED_VALUE"""),5)</f>
        <v>5</v>
      </c>
      <c r="H1878" s="208">
        <v>108.4</v>
      </c>
      <c r="I1878" s="208"/>
      <c r="J1878" s="208" t="s">
        <v>121</v>
      </c>
      <c r="K1878" s="208"/>
      <c r="L1878" s="208" t="str">
        <v xml:space="preserve"> 108.4</v>
      </c>
      <c r="M1878" s="208" t="str">
        <v/>
      </c>
    </row>
    <row r="1879" spans="1:13" ht="14.4">
      <c r="A1879" s="199" t="str">
        <f ca="1">IFERROR(__xludf.DUMMYFUNCTION("""COMPUTED_VALUE"""),"SHB")</f>
        <v>SHB</v>
      </c>
      <c r="B1879" s="207" t="str">
        <f ca="1">IFERROR(__xludf.DUMMYFUNCTION("""COMPUTED_VALUE"""),"Samantha Shumaker")</f>
        <v>Samantha Shumaker</v>
      </c>
      <c r="C1879" s="199">
        <f ca="1">IFERROR(__xludf.DUMMYFUNCTION("""COMPUTED_VALUE"""),13)</f>
        <v>13</v>
      </c>
      <c r="D1879" s="199" t="str">
        <f ca="1">IFERROR(__xludf.DUMMYFUNCTION("""COMPUTED_VALUE"""),"G")</f>
        <v>G</v>
      </c>
      <c r="E1879" s="202" t="str">
        <f ca="1">IFERROR(__xludf.DUMMYFUNCTION("""COMPUTED_VALUE"""),"I")</f>
        <v>I</v>
      </c>
      <c r="F1879" s="202" t="str">
        <f ca="1">IFERROR(__xludf.DUMMYFUNCTION("""COMPUTED_VALUE"""),"S")</f>
        <v>S</v>
      </c>
      <c r="G1879" s="202">
        <f ca="1">IFERROR(__xludf.DUMMYFUNCTION("""COMPUTED_VALUE"""),5)</f>
        <v>5</v>
      </c>
      <c r="H1879" s="208"/>
      <c r="I1879" s="208"/>
      <c r="J1879" s="208"/>
      <c r="K1879" s="208"/>
      <c r="L1879" s="208" t="str">
        <v/>
      </c>
      <c r="M1879" s="208" t="str">
        <v/>
      </c>
    </row>
    <row r="1880" spans="1:13" ht="14.4">
      <c r="A1880" s="199" t="str">
        <f ca="1">IFERROR(__xludf.DUMMYFUNCTION("""COMPUTED_VALUE"""),"SHB")</f>
        <v>SHB</v>
      </c>
      <c r="B1880" s="207" t="str">
        <f ca="1">IFERROR(__xludf.DUMMYFUNCTION("""COMPUTED_VALUE"""),"Griffin Lanoue-Chapman")</f>
        <v>Griffin Lanoue-Chapman</v>
      </c>
      <c r="C1880" s="199">
        <f ca="1">IFERROR(__xludf.DUMMYFUNCTION("""COMPUTED_VALUE"""),12)</f>
        <v>12</v>
      </c>
      <c r="D1880" s="199" t="str">
        <f ca="1">IFERROR(__xludf.DUMMYFUNCTION("""COMPUTED_VALUE"""),"B")</f>
        <v>B</v>
      </c>
      <c r="E1880" s="202" t="str">
        <f ca="1">IFERROR(__xludf.DUMMYFUNCTION("""COMPUTED_VALUE"""),"J")</f>
        <v>J</v>
      </c>
      <c r="F1880" s="202" t="str">
        <f ca="1">IFERROR(__xludf.DUMMYFUNCTION("""COMPUTED_VALUE"""),"I")</f>
        <v>I</v>
      </c>
      <c r="G1880" s="202">
        <f ca="1">IFERROR(__xludf.DUMMYFUNCTION("""COMPUTED_VALUE"""),5)</f>
        <v>5</v>
      </c>
      <c r="H1880" s="208"/>
      <c r="I1880" s="208"/>
      <c r="J1880" s="208"/>
      <c r="K1880" s="208"/>
      <c r="L1880" s="208" t="str">
        <v/>
      </c>
      <c r="M1880" s="208" t="str">
        <v/>
      </c>
    </row>
    <row r="1881" spans="1:13" ht="14.4">
      <c r="A1881" s="199" t="str">
        <f ca="1">IFERROR(__xludf.DUMMYFUNCTION("""COMPUTED_VALUE"""),"SHB")</f>
        <v>SHB</v>
      </c>
      <c r="B1881" s="207" t="str">
        <f ca="1">IFERROR(__xludf.DUMMYFUNCTION("""COMPUTED_VALUE"""),"Jake Shumaker")</f>
        <v>Jake Shumaker</v>
      </c>
      <c r="C1881" s="199">
        <f ca="1">IFERROR(__xludf.DUMMYFUNCTION("""COMPUTED_VALUE"""),11)</f>
        <v>11</v>
      </c>
      <c r="D1881" s="199" t="str">
        <f ca="1">IFERROR(__xludf.DUMMYFUNCTION("""COMPUTED_VALUE"""),"B")</f>
        <v>B</v>
      </c>
      <c r="E1881" s="202" t="str">
        <f ca="1">IFERROR(__xludf.DUMMYFUNCTION("""COMPUTED_VALUE"""),"J")</f>
        <v>J</v>
      </c>
      <c r="F1881" s="202" t="str">
        <f ca="1">IFERROR(__xludf.DUMMYFUNCTION("""COMPUTED_VALUE"""),"I")</f>
        <v>I</v>
      </c>
      <c r="G1881" s="202">
        <f ca="1">IFERROR(__xludf.DUMMYFUNCTION("""COMPUTED_VALUE"""),5)</f>
        <v>5</v>
      </c>
      <c r="H1881" s="208"/>
      <c r="I1881" s="208"/>
      <c r="J1881" s="208"/>
      <c r="K1881" s="208"/>
      <c r="L1881" s="208" t="str">
        <v/>
      </c>
      <c r="M1881" s="208" t="str">
        <v/>
      </c>
    </row>
    <row r="1882" spans="1:13" ht="14.4">
      <c r="A1882" s="199" t="str">
        <f ca="1">IFERROR(__xludf.DUMMYFUNCTION("""COMPUTED_VALUE"""),"SHB")</f>
        <v>SHB</v>
      </c>
      <c r="B1882" s="207" t="str">
        <f ca="1">IFERROR(__xludf.DUMMYFUNCTION("""COMPUTED_VALUE"""),"Antoinette Katsas")</f>
        <v>Antoinette Katsas</v>
      </c>
      <c r="C1882" s="199">
        <f ca="1">IFERROR(__xludf.DUMMYFUNCTION("""COMPUTED_VALUE"""),11)</f>
        <v>11</v>
      </c>
      <c r="D1882" s="199" t="str">
        <f ca="1">IFERROR(__xludf.DUMMYFUNCTION("""COMPUTED_VALUE"""),"G")</f>
        <v>G</v>
      </c>
      <c r="E1882" s="202" t="str">
        <f ca="1">IFERROR(__xludf.DUMMYFUNCTION("""COMPUTED_VALUE"""),"J")</f>
        <v>J</v>
      </c>
      <c r="F1882" s="202" t="str">
        <f ca="1">IFERROR(__xludf.DUMMYFUNCTION("""COMPUTED_VALUE"""),"I")</f>
        <v>I</v>
      </c>
      <c r="G1882" s="202">
        <f ca="1">IFERROR(__xludf.DUMMYFUNCTION("""COMPUTED_VALUE"""),5)</f>
        <v>5</v>
      </c>
      <c r="H1882" s="208"/>
      <c r="I1882" s="208"/>
      <c r="J1882" s="208"/>
      <c r="K1882" s="208"/>
      <c r="L1882" s="208" t="str">
        <v/>
      </c>
      <c r="M1882" s="208" t="str">
        <v/>
      </c>
    </row>
    <row r="1883" spans="1:13" ht="14.4">
      <c r="A1883" s="199" t="str">
        <f ca="1">IFERROR(__xludf.DUMMYFUNCTION("""COMPUTED_VALUE"""),"SHB")</f>
        <v>SHB</v>
      </c>
      <c r="B1883" s="207" t="str">
        <f ca="1">IFERROR(__xludf.DUMMYFUNCTION("""COMPUTED_VALUE"""),"Lina Rosenbaum")</f>
        <v>Lina Rosenbaum</v>
      </c>
      <c r="C1883" s="199">
        <f ca="1">IFERROR(__xludf.DUMMYFUNCTION("""COMPUTED_VALUE"""),12)</f>
        <v>12</v>
      </c>
      <c r="D1883" s="199" t="str">
        <f ca="1">IFERROR(__xludf.DUMMYFUNCTION("""COMPUTED_VALUE"""),"G")</f>
        <v>G</v>
      </c>
      <c r="E1883" s="202" t="str">
        <f ca="1">IFERROR(__xludf.DUMMYFUNCTION("""COMPUTED_VALUE"""),"J")</f>
        <v>J</v>
      </c>
      <c r="F1883" s="202" t="str">
        <f ca="1">IFERROR(__xludf.DUMMYFUNCTION("""COMPUTED_VALUE"""),"I")</f>
        <v>I</v>
      </c>
      <c r="G1883" s="202">
        <f ca="1">IFERROR(__xludf.DUMMYFUNCTION("""COMPUTED_VALUE"""),5)</f>
        <v>5</v>
      </c>
      <c r="H1883" s="208">
        <v>41.95</v>
      </c>
      <c r="I1883" s="208"/>
      <c r="J1883" s="208" t="s">
        <v>121</v>
      </c>
      <c r="K1883" s="208"/>
      <c r="L1883" s="208" t="str">
        <v xml:space="preserve"> 41.95</v>
      </c>
      <c r="M1883" s="208" t="str">
        <v/>
      </c>
    </row>
    <row r="1884" spans="1:13" ht="14.4">
      <c r="A1884" s="199" t="str">
        <f ca="1">IFERROR(__xludf.DUMMYFUNCTION("""COMPUTED_VALUE"""),"SHB")</f>
        <v>SHB</v>
      </c>
      <c r="B1884" s="207" t="str">
        <f ca="1">IFERROR(__xludf.DUMMYFUNCTION("""COMPUTED_VALUE"""),"Odessa Jansen")</f>
        <v>Odessa Jansen</v>
      </c>
      <c r="C1884" s="199">
        <f ca="1">IFERROR(__xludf.DUMMYFUNCTION("""COMPUTED_VALUE"""),12)</f>
        <v>12</v>
      </c>
      <c r="D1884" s="199" t="str">
        <f ca="1">IFERROR(__xludf.DUMMYFUNCTION("""COMPUTED_VALUE"""),"G")</f>
        <v>G</v>
      </c>
      <c r="E1884" s="202" t="str">
        <f ca="1">IFERROR(__xludf.DUMMYFUNCTION("""COMPUTED_VALUE"""),"J")</f>
        <v>J</v>
      </c>
      <c r="F1884" s="202" t="str">
        <f ca="1">IFERROR(__xludf.DUMMYFUNCTION("""COMPUTED_VALUE"""),"I")</f>
        <v>I</v>
      </c>
      <c r="G1884" s="202">
        <f ca="1">IFERROR(__xludf.DUMMYFUNCTION("""COMPUTED_VALUE"""),5)</f>
        <v>5</v>
      </c>
      <c r="H1884" s="208"/>
      <c r="I1884" s="208"/>
      <c r="J1884" s="208"/>
      <c r="K1884" s="208"/>
      <c r="L1884" s="208" t="str">
        <v/>
      </c>
      <c r="M1884" s="208" t="str">
        <v/>
      </c>
    </row>
    <row r="1885" spans="1:13" ht="14.4">
      <c r="A1885" s="199" t="str">
        <f ca="1">IFERROR(__xludf.DUMMYFUNCTION("""COMPUTED_VALUE"""),"SHB")</f>
        <v>SHB</v>
      </c>
      <c r="B1885" s="207" t="str">
        <f ca="1">IFERROR(__xludf.DUMMYFUNCTION("""COMPUTED_VALUE"""),"Petra Oleson")</f>
        <v>Petra Oleson</v>
      </c>
      <c r="C1885" s="199">
        <f ca="1">IFERROR(__xludf.DUMMYFUNCTION("""COMPUTED_VALUE"""),12)</f>
        <v>12</v>
      </c>
      <c r="D1885" s="199" t="str">
        <f ca="1">IFERROR(__xludf.DUMMYFUNCTION("""COMPUTED_VALUE"""),"G")</f>
        <v>G</v>
      </c>
      <c r="E1885" s="202" t="str">
        <f ca="1">IFERROR(__xludf.DUMMYFUNCTION("""COMPUTED_VALUE"""),"J")</f>
        <v>J</v>
      </c>
      <c r="F1885" s="202" t="str">
        <f ca="1">IFERROR(__xludf.DUMMYFUNCTION("""COMPUTED_VALUE"""),"I")</f>
        <v>I</v>
      </c>
      <c r="G1885" s="202">
        <f ca="1">IFERROR(__xludf.DUMMYFUNCTION("""COMPUTED_VALUE"""),5)</f>
        <v>5</v>
      </c>
      <c r="H1885" s="208">
        <v>80.75</v>
      </c>
      <c r="I1885" s="208"/>
      <c r="J1885" s="208" t="s">
        <v>121</v>
      </c>
      <c r="K1885" s="208"/>
      <c r="L1885" s="208" t="str">
        <v xml:space="preserve"> 80.75</v>
      </c>
      <c r="M1885" s="208" t="str">
        <v/>
      </c>
    </row>
    <row r="1886" spans="1:13" ht="14.4">
      <c r="A1886" s="199" t="str">
        <f ca="1">IFERROR(__xludf.DUMMYFUNCTION("""COMPUTED_VALUE"""),"SHB")</f>
        <v>SHB</v>
      </c>
      <c r="B1886" s="207" t="str">
        <f ca="1">IFERROR(__xludf.DUMMYFUNCTION("""COMPUTED_VALUE"""),"Taeryn Graham")</f>
        <v>Taeryn Graham</v>
      </c>
      <c r="C1886" s="199">
        <f ca="1">IFERROR(__xludf.DUMMYFUNCTION("""COMPUTED_VALUE"""),11)</f>
        <v>11</v>
      </c>
      <c r="D1886" s="199" t="str">
        <f ca="1">IFERROR(__xludf.DUMMYFUNCTION("""COMPUTED_VALUE"""),"G")</f>
        <v>G</v>
      </c>
      <c r="E1886" s="202" t="str">
        <f ca="1">IFERROR(__xludf.DUMMYFUNCTION("""COMPUTED_VALUE"""),"J")</f>
        <v>J</v>
      </c>
      <c r="F1886" s="202" t="str">
        <f ca="1">IFERROR(__xludf.DUMMYFUNCTION("""COMPUTED_VALUE"""),"I")</f>
        <v>I</v>
      </c>
      <c r="G1886" s="202">
        <f ca="1">IFERROR(__xludf.DUMMYFUNCTION("""COMPUTED_VALUE"""),5)</f>
        <v>5</v>
      </c>
      <c r="H1886" s="208"/>
      <c r="I1886" s="208"/>
      <c r="J1886" s="208"/>
      <c r="K1886" s="208"/>
      <c r="L1886" s="208" t="str">
        <v/>
      </c>
      <c r="M1886" s="208" t="str">
        <v/>
      </c>
    </row>
    <row r="1887" spans="1:13" ht="14.4">
      <c r="A1887" s="199" t="str">
        <f ca="1">IFERROR(__xludf.DUMMYFUNCTION("""COMPUTED_VALUE"""),"SHB")</f>
        <v>SHB</v>
      </c>
      <c r="B1887" s="207" t="str">
        <f ca="1">IFERROR(__xludf.DUMMYFUNCTION("""COMPUTED_VALUE"""),"Joe Shumaker")</f>
        <v>Joe Shumaker</v>
      </c>
      <c r="C1887" s="199">
        <f ca="1">IFERROR(__xludf.DUMMYFUNCTION("""COMPUTED_VALUE"""),15)</f>
        <v>15</v>
      </c>
      <c r="D1887" s="199" t="str">
        <f ca="1">IFERROR(__xludf.DUMMYFUNCTION("""COMPUTED_VALUE"""),"B")</f>
        <v>B</v>
      </c>
      <c r="E1887" s="202" t="str">
        <f ca="1">IFERROR(__xludf.DUMMYFUNCTION("""COMPUTED_VALUE"""),"S")</f>
        <v>S</v>
      </c>
      <c r="F1887" s="202" t="str">
        <f ca="1">IFERROR(__xludf.DUMMYFUNCTION("""COMPUTED_VALUE"""),"S")</f>
        <v>S</v>
      </c>
      <c r="G1887" s="202">
        <f ca="1">IFERROR(__xludf.DUMMYFUNCTION("""COMPUTED_VALUE"""),5)</f>
        <v>5</v>
      </c>
      <c r="H1887" s="208"/>
      <c r="I1887" s="208"/>
      <c r="J1887" s="208"/>
      <c r="K1887" s="208"/>
      <c r="L1887" s="208" t="str">
        <v/>
      </c>
      <c r="M1887" s="208" t="str">
        <v/>
      </c>
    </row>
    <row r="1888" spans="1:13" ht="14.4">
      <c r="A1888" s="199" t="str">
        <f ca="1">IFERROR(__xludf.DUMMYFUNCTION("""COMPUTED_VALUE"""),"SHB")</f>
        <v>SHB</v>
      </c>
      <c r="B1888" s="207" t="str">
        <f ca="1">IFERROR(__xludf.DUMMYFUNCTION("""COMPUTED_VALUE"""),"Michael Hitchock")</f>
        <v>Michael Hitchock</v>
      </c>
      <c r="C1888" s="199">
        <f ca="1">IFERROR(__xludf.DUMMYFUNCTION("""COMPUTED_VALUE"""),17)</f>
        <v>17</v>
      </c>
      <c r="D1888" s="199" t="str">
        <f ca="1">IFERROR(__xludf.DUMMYFUNCTION("""COMPUTED_VALUE"""),"B")</f>
        <v>B</v>
      </c>
      <c r="E1888" s="202" t="str">
        <f ca="1">IFERROR(__xludf.DUMMYFUNCTION("""COMPUTED_VALUE"""),"S")</f>
        <v>S</v>
      </c>
      <c r="F1888" s="202" t="str">
        <f ca="1">IFERROR(__xludf.DUMMYFUNCTION("""COMPUTED_VALUE"""),"S")</f>
        <v>S</v>
      </c>
      <c r="G1888" s="202">
        <f ca="1">IFERROR(__xludf.DUMMYFUNCTION("""COMPUTED_VALUE"""),5)</f>
        <v>5</v>
      </c>
      <c r="H1888" s="208"/>
      <c r="I1888" s="208">
        <v>95.7</v>
      </c>
      <c r="J1888" s="208"/>
      <c r="K1888" s="208" t="s">
        <v>121</v>
      </c>
      <c r="L1888" s="208" t="str">
        <v xml:space="preserve"> 95.7</v>
      </c>
      <c r="M1888" s="208" t="str">
        <v/>
      </c>
    </row>
    <row r="1889" spans="1:13" ht="14.4">
      <c r="A1889" s="199" t="str">
        <f ca="1">IFERROR(__xludf.DUMMYFUNCTION("""COMPUTED_VALUE"""),"SHB")</f>
        <v>SHB</v>
      </c>
      <c r="B1889" s="207" t="str">
        <f ca="1">IFERROR(__xludf.DUMMYFUNCTION("""COMPUTED_VALUE"""),"Peter Cullather")</f>
        <v>Peter Cullather</v>
      </c>
      <c r="C1889" s="199">
        <f ca="1">IFERROR(__xludf.DUMMYFUNCTION("""COMPUTED_VALUE"""),15)</f>
        <v>15</v>
      </c>
      <c r="D1889" s="199" t="str">
        <f ca="1">IFERROR(__xludf.DUMMYFUNCTION("""COMPUTED_VALUE"""),"B")</f>
        <v>B</v>
      </c>
      <c r="E1889" s="202" t="str">
        <f ca="1">IFERROR(__xludf.DUMMYFUNCTION("""COMPUTED_VALUE"""),"S")</f>
        <v>S</v>
      </c>
      <c r="F1889" s="202" t="str">
        <f ca="1">IFERROR(__xludf.DUMMYFUNCTION("""COMPUTED_VALUE"""),"S")</f>
        <v>S</v>
      </c>
      <c r="G1889" s="202">
        <f ca="1">IFERROR(__xludf.DUMMYFUNCTION("""COMPUTED_VALUE"""),5)</f>
        <v>5</v>
      </c>
      <c r="H1889" s="208"/>
      <c r="I1889" s="208">
        <v>136.6</v>
      </c>
      <c r="J1889" s="208"/>
      <c r="K1889" s="208" t="s">
        <v>121</v>
      </c>
      <c r="L1889" s="208" t="str">
        <v xml:space="preserve"> 136.6</v>
      </c>
      <c r="M1889" s="208" t="str">
        <v/>
      </c>
    </row>
    <row r="1890" spans="1:13" ht="14.4">
      <c r="A1890" s="199" t="str">
        <f ca="1">IFERROR(__xludf.DUMMYFUNCTION("""COMPUTED_VALUE"""),"SHB")</f>
        <v>SHB</v>
      </c>
      <c r="B1890" s="207" t="str">
        <f ca="1">IFERROR(__xludf.DUMMYFUNCTION("""COMPUTED_VALUE"""),"Ryan Caughey")</f>
        <v>Ryan Caughey</v>
      </c>
      <c r="C1890" s="199">
        <f ca="1">IFERROR(__xludf.DUMMYFUNCTION("""COMPUTED_VALUE"""),15)</f>
        <v>15</v>
      </c>
      <c r="D1890" s="199" t="str">
        <f ca="1">IFERROR(__xludf.DUMMYFUNCTION("""COMPUTED_VALUE"""),"B")</f>
        <v>B</v>
      </c>
      <c r="E1890" s="202" t="str">
        <f ca="1">IFERROR(__xludf.DUMMYFUNCTION("""COMPUTED_VALUE"""),"S")</f>
        <v>S</v>
      </c>
      <c r="F1890" s="202" t="str">
        <f ca="1">IFERROR(__xludf.DUMMYFUNCTION("""COMPUTED_VALUE"""),"S")</f>
        <v>S</v>
      </c>
      <c r="G1890" s="202">
        <f ca="1">IFERROR(__xludf.DUMMYFUNCTION("""COMPUTED_VALUE"""),5)</f>
        <v>5</v>
      </c>
      <c r="H1890" s="208"/>
      <c r="I1890" s="208">
        <v>102.7</v>
      </c>
      <c r="J1890" s="208"/>
      <c r="K1890" s="208" t="s">
        <v>121</v>
      </c>
      <c r="L1890" s="208" t="str">
        <v xml:space="preserve"> 102.7</v>
      </c>
      <c r="M1890" s="208" t="str">
        <v/>
      </c>
    </row>
    <row r="1891" spans="1:13" ht="14.4">
      <c r="A1891" s="199" t="str">
        <f ca="1">IFERROR(__xludf.DUMMYFUNCTION("""COMPUTED_VALUE"""),"SHB")</f>
        <v>SHB</v>
      </c>
      <c r="B1891" s="207" t="str">
        <f ca="1">IFERROR(__xludf.DUMMYFUNCTION("""COMPUTED_VALUE"""),"Sam Martin")</f>
        <v>Sam Martin</v>
      </c>
      <c r="C1891" s="199">
        <f ca="1">IFERROR(__xludf.DUMMYFUNCTION("""COMPUTED_VALUE"""),15)</f>
        <v>15</v>
      </c>
      <c r="D1891" s="199" t="str">
        <f ca="1">IFERROR(__xludf.DUMMYFUNCTION("""COMPUTED_VALUE"""),"B")</f>
        <v>B</v>
      </c>
      <c r="E1891" s="202" t="str">
        <f ca="1">IFERROR(__xludf.DUMMYFUNCTION("""COMPUTED_VALUE"""),"S")</f>
        <v>S</v>
      </c>
      <c r="F1891" s="202" t="str">
        <f ca="1">IFERROR(__xludf.DUMMYFUNCTION("""COMPUTED_VALUE"""),"S")</f>
        <v>S</v>
      </c>
      <c r="G1891" s="202">
        <f ca="1">IFERROR(__xludf.DUMMYFUNCTION("""COMPUTED_VALUE"""),5)</f>
        <v>5</v>
      </c>
      <c r="H1891" s="208"/>
      <c r="I1891" s="208">
        <v>116.5</v>
      </c>
      <c r="J1891" s="208"/>
      <c r="K1891" s="208" t="s">
        <v>121</v>
      </c>
      <c r="L1891" s="208" t="str">
        <v xml:space="preserve"> 116.5</v>
      </c>
      <c r="M1891" s="208" t="str">
        <v/>
      </c>
    </row>
    <row r="1892" spans="1:13" ht="14.4">
      <c r="A1892" s="199" t="str">
        <f ca="1">IFERROR(__xludf.DUMMYFUNCTION("""COMPUTED_VALUE"""),"SHB")</f>
        <v>SHB</v>
      </c>
      <c r="B1892" s="207" t="str">
        <f ca="1">IFERROR(__xludf.DUMMYFUNCTION("""COMPUTED_VALUE"""),"Claire Coughlin")</f>
        <v>Claire Coughlin</v>
      </c>
      <c r="C1892" s="199">
        <f ca="1">IFERROR(__xludf.DUMMYFUNCTION("""COMPUTED_VALUE"""),15)</f>
        <v>15</v>
      </c>
      <c r="D1892" s="199" t="str">
        <f ca="1">IFERROR(__xludf.DUMMYFUNCTION("""COMPUTED_VALUE"""),"G")</f>
        <v>G</v>
      </c>
      <c r="E1892" s="202" t="str">
        <f ca="1">IFERROR(__xludf.DUMMYFUNCTION("""COMPUTED_VALUE"""),"S")</f>
        <v>S</v>
      </c>
      <c r="F1892" s="202" t="str">
        <f ca="1">IFERROR(__xludf.DUMMYFUNCTION("""COMPUTED_VALUE"""),"S")</f>
        <v>S</v>
      </c>
      <c r="G1892" s="202">
        <f ca="1">IFERROR(__xludf.DUMMYFUNCTION("""COMPUTED_VALUE"""),5)</f>
        <v>5</v>
      </c>
      <c r="H1892" s="208">
        <v>119.3</v>
      </c>
      <c r="I1892" s="208"/>
      <c r="J1892" s="208" t="s">
        <v>121</v>
      </c>
      <c r="K1892" s="208"/>
      <c r="L1892" s="208" t="str">
        <v xml:space="preserve"> 119.3</v>
      </c>
      <c r="M1892" s="208" t="str">
        <v/>
      </c>
    </row>
    <row r="1893" spans="1:13" ht="14.4">
      <c r="A1893" s="199" t="str">
        <f ca="1">IFERROR(__xludf.DUMMYFUNCTION("""COMPUTED_VALUE"""),"SHB")</f>
        <v>SHB</v>
      </c>
      <c r="B1893" s="207" t="str">
        <f ca="1">IFERROR(__xludf.DUMMYFUNCTION("""COMPUTED_VALUE"""),"Erica Schroeder")</f>
        <v>Erica Schroeder</v>
      </c>
      <c r="C1893" s="199">
        <f ca="1">IFERROR(__xludf.DUMMYFUNCTION("""COMPUTED_VALUE"""),17)</f>
        <v>17</v>
      </c>
      <c r="D1893" s="199" t="str">
        <f ca="1">IFERROR(__xludf.DUMMYFUNCTION("""COMPUTED_VALUE"""),"G")</f>
        <v>G</v>
      </c>
      <c r="E1893" s="202" t="str">
        <f ca="1">IFERROR(__xludf.DUMMYFUNCTION("""COMPUTED_VALUE"""),"S")</f>
        <v>S</v>
      </c>
      <c r="F1893" s="202" t="str">
        <f ca="1">IFERROR(__xludf.DUMMYFUNCTION("""COMPUTED_VALUE"""),"S")</f>
        <v>S</v>
      </c>
      <c r="G1893" s="202">
        <f ca="1">IFERROR(__xludf.DUMMYFUNCTION("""COMPUTED_VALUE"""),5)</f>
        <v>5</v>
      </c>
      <c r="H1893" s="208">
        <v>139.9</v>
      </c>
      <c r="I1893" s="208"/>
      <c r="J1893" s="208" t="s">
        <v>121</v>
      </c>
      <c r="K1893" s="208"/>
      <c r="L1893" s="208" t="str">
        <v xml:space="preserve"> 139.9</v>
      </c>
      <c r="M1893" s="208" t="str">
        <v/>
      </c>
    </row>
    <row r="1894" spans="1:13" ht="14.4">
      <c r="A1894" s="199" t="str">
        <f ca="1">IFERROR(__xludf.DUMMYFUNCTION("""COMPUTED_VALUE"""),"SHB")</f>
        <v>SHB</v>
      </c>
      <c r="B1894" s="207" t="str">
        <f ca="1">IFERROR(__xludf.DUMMYFUNCTION("""COMPUTED_VALUE"""),"Grace Martin")</f>
        <v>Grace Martin</v>
      </c>
      <c r="C1894" s="199">
        <f ca="1">IFERROR(__xludf.DUMMYFUNCTION("""COMPUTED_VALUE"""),17)</f>
        <v>17</v>
      </c>
      <c r="D1894" s="199" t="str">
        <f ca="1">IFERROR(__xludf.DUMMYFUNCTION("""COMPUTED_VALUE"""),"G")</f>
        <v>G</v>
      </c>
      <c r="E1894" s="202" t="str">
        <f ca="1">IFERROR(__xludf.DUMMYFUNCTION("""COMPUTED_VALUE"""),"S")</f>
        <v>S</v>
      </c>
      <c r="F1894" s="202" t="str">
        <f ca="1">IFERROR(__xludf.DUMMYFUNCTION("""COMPUTED_VALUE"""),"S")</f>
        <v>S</v>
      </c>
      <c r="G1894" s="202">
        <f ca="1">IFERROR(__xludf.DUMMYFUNCTION("""COMPUTED_VALUE"""),5)</f>
        <v>5</v>
      </c>
      <c r="H1894" s="208"/>
      <c r="I1894" s="208"/>
      <c r="J1894" s="208"/>
      <c r="K1894" s="208"/>
      <c r="L1894" s="208" t="str">
        <v/>
      </c>
      <c r="M1894" s="208" t="str">
        <v/>
      </c>
    </row>
    <row r="1895" spans="1:13" ht="14.4">
      <c r="A1895" s="199" t="str">
        <f ca="1">IFERROR(__xludf.DUMMYFUNCTION("""COMPUTED_VALUE"""),"SHB")</f>
        <v>SHB</v>
      </c>
      <c r="B1895" s="207" t="str">
        <f ca="1">IFERROR(__xludf.DUMMYFUNCTION("""COMPUTED_VALUE"""),"Sophia Schroeder")</f>
        <v>Sophia Schroeder</v>
      </c>
      <c r="C1895" s="199">
        <f ca="1">IFERROR(__xludf.DUMMYFUNCTION("""COMPUTED_VALUE"""),17)</f>
        <v>17</v>
      </c>
      <c r="D1895" s="199" t="str">
        <f ca="1">IFERROR(__xludf.DUMMYFUNCTION("""COMPUTED_VALUE"""),"G")</f>
        <v>G</v>
      </c>
      <c r="E1895" s="202" t="str">
        <f ca="1">IFERROR(__xludf.DUMMYFUNCTION("""COMPUTED_VALUE"""),"S")</f>
        <v>S</v>
      </c>
      <c r="F1895" s="202" t="str">
        <f ca="1">IFERROR(__xludf.DUMMYFUNCTION("""COMPUTED_VALUE"""),"S")</f>
        <v>S</v>
      </c>
      <c r="G1895" s="202">
        <f ca="1">IFERROR(__xludf.DUMMYFUNCTION("""COMPUTED_VALUE"""),5)</f>
        <v>5</v>
      </c>
      <c r="H1895" s="208"/>
      <c r="I1895" s="208"/>
      <c r="J1895" s="208"/>
      <c r="K1895" s="208"/>
      <c r="L1895" s="208" t="str">
        <v/>
      </c>
      <c r="M1895" s="208" t="str">
        <v/>
      </c>
    </row>
    <row r="1896" spans="1:13" ht="14.4">
      <c r="A1896" s="199" t="str">
        <f ca="1">IFERROR(__xludf.DUMMYFUNCTION("""COMPUTED_VALUE"""),"SHB")</f>
        <v>SHB</v>
      </c>
      <c r="B1896" s="207" t="str">
        <f ca="1">IFERROR(__xludf.DUMMYFUNCTION("""COMPUTED_VALUE"""),"Zoe London")</f>
        <v>Zoe London</v>
      </c>
      <c r="C1896" s="199">
        <f ca="1">IFERROR(__xludf.DUMMYFUNCTION("""COMPUTED_VALUE"""),17)</f>
        <v>17</v>
      </c>
      <c r="D1896" s="199" t="str">
        <f ca="1">IFERROR(__xludf.DUMMYFUNCTION("""COMPUTED_VALUE"""),"G")</f>
        <v>G</v>
      </c>
      <c r="E1896" s="202" t="str">
        <f ca="1">IFERROR(__xludf.DUMMYFUNCTION("""COMPUTED_VALUE"""),"S")</f>
        <v>S</v>
      </c>
      <c r="F1896" s="202" t="str">
        <f ca="1">IFERROR(__xludf.DUMMYFUNCTION("""COMPUTED_VALUE"""),"S")</f>
        <v>S</v>
      </c>
      <c r="G1896" s="202">
        <f ca="1">IFERROR(__xludf.DUMMYFUNCTION("""COMPUTED_VALUE"""),5)</f>
        <v>5</v>
      </c>
      <c r="H1896" s="208">
        <v>79.05</v>
      </c>
      <c r="I1896" s="208"/>
      <c r="J1896" s="208" t="s">
        <v>121</v>
      </c>
      <c r="K1896" s="208"/>
      <c r="L1896" s="208" t="str">
        <v xml:space="preserve"> 79.05</v>
      </c>
      <c r="M1896" s="208" t="str">
        <v/>
      </c>
    </row>
    <row r="1897" spans="1:13" ht="14.4">
      <c r="A1897" s="199" t="str">
        <f ca="1">IFERROR(__xludf.DUMMYFUNCTION("""COMPUTED_VALUE"""),"SHR")</f>
        <v>SHR</v>
      </c>
      <c r="B1897" s="207" t="str">
        <f ca="1">IFERROR(__xludf.DUMMYFUNCTION("""COMPUTED_VALUE"""),"Aidan Ross")</f>
        <v>Aidan Ross</v>
      </c>
      <c r="C1897" s="199">
        <f ca="1">IFERROR(__xludf.DUMMYFUNCTION("""COMPUTED_VALUE"""),9)</f>
        <v>9</v>
      </c>
      <c r="D1897" s="199" t="str">
        <f ca="1">IFERROR(__xludf.DUMMYFUNCTION("""COMPUTED_VALUE"""),"B")</f>
        <v>B</v>
      </c>
      <c r="E1897" s="202" t="str">
        <f ca="1">IFERROR(__xludf.DUMMYFUNCTION("""COMPUTED_VALUE"""),"F")</f>
        <v>F</v>
      </c>
      <c r="F1897" s="202" t="str">
        <f ca="1">IFERROR(__xludf.DUMMYFUNCTION("""COMPUTED_VALUE"""),"J")</f>
        <v>J</v>
      </c>
      <c r="G1897" s="202">
        <f ca="1">IFERROR(__xludf.DUMMYFUNCTION("""COMPUTED_VALUE"""),3)</f>
        <v>3</v>
      </c>
      <c r="H1897" s="208"/>
      <c r="I1897" s="208"/>
      <c r="J1897" s="208"/>
      <c r="K1897" s="208"/>
      <c r="L1897" s="208" t="str">
        <v/>
      </c>
      <c r="M1897" s="208" t="str">
        <v/>
      </c>
    </row>
    <row r="1898" spans="1:13" ht="14.4">
      <c r="A1898" s="199" t="str">
        <f ca="1">IFERROR(__xludf.DUMMYFUNCTION("""COMPUTED_VALUE"""),"SHR")</f>
        <v>SHR</v>
      </c>
      <c r="B1898" s="207" t="str">
        <f ca="1">IFERROR(__xludf.DUMMYFUNCTION("""COMPUTED_VALUE"""),"David Marra")</f>
        <v>David Marra</v>
      </c>
      <c r="C1898" s="199">
        <f ca="1">IFERROR(__xludf.DUMMYFUNCTION("""COMPUTED_VALUE"""),6)</f>
        <v>6</v>
      </c>
      <c r="D1898" s="199" t="str">
        <f ca="1">IFERROR(__xludf.DUMMYFUNCTION("""COMPUTED_VALUE"""),"B")</f>
        <v>B</v>
      </c>
      <c r="E1898" s="202" t="str">
        <f ca="1">IFERROR(__xludf.DUMMYFUNCTION("""COMPUTED_VALUE"""),"F")</f>
        <v>F</v>
      </c>
      <c r="F1898" s="202" t="str">
        <f ca="1">IFERROR(__xludf.DUMMYFUNCTION("""COMPUTED_VALUE"""),"J")</f>
        <v>J</v>
      </c>
      <c r="G1898" s="202">
        <f ca="1">IFERROR(__xludf.DUMMYFUNCTION("""COMPUTED_VALUE"""),3)</f>
        <v>3</v>
      </c>
      <c r="H1898" s="208"/>
      <c r="I1898" s="208"/>
      <c r="J1898" s="208"/>
      <c r="K1898" s="208"/>
      <c r="L1898" s="208" t="str">
        <v/>
      </c>
      <c r="M1898" s="208" t="str">
        <v/>
      </c>
    </row>
    <row r="1899" spans="1:13" ht="14.4">
      <c r="A1899" s="199" t="str">
        <f ca="1">IFERROR(__xludf.DUMMYFUNCTION("""COMPUTED_VALUE"""),"SHR")</f>
        <v>SHR</v>
      </c>
      <c r="B1899" s="207" t="str">
        <f ca="1">IFERROR(__xludf.DUMMYFUNCTION("""COMPUTED_VALUE"""),"Finn Feeley")</f>
        <v>Finn Feeley</v>
      </c>
      <c r="C1899" s="199">
        <f ca="1">IFERROR(__xludf.DUMMYFUNCTION("""COMPUTED_VALUE"""),8)</f>
        <v>8</v>
      </c>
      <c r="D1899" s="199" t="str">
        <f ca="1">IFERROR(__xludf.DUMMYFUNCTION("""COMPUTED_VALUE"""),"B")</f>
        <v>B</v>
      </c>
      <c r="E1899" s="202" t="str">
        <f ca="1">IFERROR(__xludf.DUMMYFUNCTION("""COMPUTED_VALUE"""),"F")</f>
        <v>F</v>
      </c>
      <c r="F1899" s="202" t="str">
        <f ca="1">IFERROR(__xludf.DUMMYFUNCTION("""COMPUTED_VALUE"""),"J")</f>
        <v>J</v>
      </c>
      <c r="G1899" s="202">
        <f ca="1">IFERROR(__xludf.DUMMYFUNCTION("""COMPUTED_VALUE"""),3)</f>
        <v>3</v>
      </c>
      <c r="H1899" s="208"/>
      <c r="I1899" s="208">
        <v>46.3</v>
      </c>
      <c r="J1899" s="208"/>
      <c r="K1899" s="208" t="s">
        <v>121</v>
      </c>
      <c r="L1899" s="208" t="str">
        <v xml:space="preserve"> 46.3</v>
      </c>
      <c r="M1899" s="208" t="str">
        <v/>
      </c>
    </row>
    <row r="1900" spans="1:13" ht="14.4">
      <c r="A1900" s="199" t="str">
        <f ca="1">IFERROR(__xludf.DUMMYFUNCTION("""COMPUTED_VALUE"""),"SHR")</f>
        <v>SHR</v>
      </c>
      <c r="B1900" s="207" t="str">
        <f ca="1">IFERROR(__xludf.DUMMYFUNCTION("""COMPUTED_VALUE"""),"Harrison Owens")</f>
        <v>Harrison Owens</v>
      </c>
      <c r="C1900" s="199">
        <f ca="1">IFERROR(__xludf.DUMMYFUNCTION("""COMPUTED_VALUE"""),8)</f>
        <v>8</v>
      </c>
      <c r="D1900" s="199" t="str">
        <f ca="1">IFERROR(__xludf.DUMMYFUNCTION("""COMPUTED_VALUE"""),"B")</f>
        <v>B</v>
      </c>
      <c r="E1900" s="202" t="str">
        <f ca="1">IFERROR(__xludf.DUMMYFUNCTION("""COMPUTED_VALUE"""),"F")</f>
        <v>F</v>
      </c>
      <c r="F1900" s="202" t="str">
        <f ca="1">IFERROR(__xludf.DUMMYFUNCTION("""COMPUTED_VALUE"""),"J")</f>
        <v>J</v>
      </c>
      <c r="G1900" s="202">
        <f ca="1">IFERROR(__xludf.DUMMYFUNCTION("""COMPUTED_VALUE"""),3)</f>
        <v>3</v>
      </c>
      <c r="H1900" s="208"/>
      <c r="I1900" s="208"/>
      <c r="J1900" s="208"/>
      <c r="K1900" s="208"/>
      <c r="L1900" s="208" t="str">
        <v/>
      </c>
      <c r="M1900" s="208" t="str">
        <v/>
      </c>
    </row>
    <row r="1901" spans="1:13" ht="14.4">
      <c r="A1901" s="199" t="str">
        <f ca="1">IFERROR(__xludf.DUMMYFUNCTION("""COMPUTED_VALUE"""),"SHR")</f>
        <v>SHR</v>
      </c>
      <c r="B1901" s="207" t="str">
        <f ca="1">IFERROR(__xludf.DUMMYFUNCTION("""COMPUTED_VALUE"""),"Jack Fenwick")</f>
        <v>Jack Fenwick</v>
      </c>
      <c r="C1901" s="199">
        <f ca="1">IFERROR(__xludf.DUMMYFUNCTION("""COMPUTED_VALUE"""),8)</f>
        <v>8</v>
      </c>
      <c r="D1901" s="199" t="str">
        <f ca="1">IFERROR(__xludf.DUMMYFUNCTION("""COMPUTED_VALUE"""),"B")</f>
        <v>B</v>
      </c>
      <c r="E1901" s="202" t="str">
        <f ca="1">IFERROR(__xludf.DUMMYFUNCTION("""COMPUTED_VALUE"""),"F")</f>
        <v>F</v>
      </c>
      <c r="F1901" s="202" t="str">
        <f ca="1">IFERROR(__xludf.DUMMYFUNCTION("""COMPUTED_VALUE"""),"J")</f>
        <v>J</v>
      </c>
      <c r="G1901" s="202">
        <f ca="1">IFERROR(__xludf.DUMMYFUNCTION("""COMPUTED_VALUE"""),3)</f>
        <v>3</v>
      </c>
      <c r="H1901" s="208"/>
      <c r="I1901" s="208"/>
      <c r="J1901" s="208"/>
      <c r="K1901" s="208"/>
      <c r="L1901" s="208" t="str">
        <v/>
      </c>
      <c r="M1901" s="208" t="str">
        <v/>
      </c>
    </row>
    <row r="1902" spans="1:13" ht="14.4">
      <c r="A1902" s="199" t="str">
        <f ca="1">IFERROR(__xludf.DUMMYFUNCTION("""COMPUTED_VALUE"""),"SHR")</f>
        <v>SHR</v>
      </c>
      <c r="B1902" s="207" t="str">
        <f ca="1">IFERROR(__xludf.DUMMYFUNCTION("""COMPUTED_VALUE"""),"Jack Ross")</f>
        <v>Jack Ross</v>
      </c>
      <c r="C1902" s="199">
        <f ca="1">IFERROR(__xludf.DUMMYFUNCTION("""COMPUTED_VALUE"""),5)</f>
        <v>5</v>
      </c>
      <c r="D1902" s="199" t="str">
        <f ca="1">IFERROR(__xludf.DUMMYFUNCTION("""COMPUTED_VALUE"""),"B")</f>
        <v>B</v>
      </c>
      <c r="E1902" s="202" t="str">
        <f ca="1">IFERROR(__xludf.DUMMYFUNCTION("""COMPUTED_VALUE"""),"F")</f>
        <v>F</v>
      </c>
      <c r="F1902" s="202" t="str">
        <f ca="1">IFERROR(__xludf.DUMMYFUNCTION("""COMPUTED_VALUE"""),"J")</f>
        <v>J</v>
      </c>
      <c r="G1902" s="202">
        <f ca="1">IFERROR(__xludf.DUMMYFUNCTION("""COMPUTED_VALUE"""),3)</f>
        <v>3</v>
      </c>
      <c r="H1902" s="208"/>
      <c r="I1902" s="208"/>
      <c r="J1902" s="208"/>
      <c r="K1902" s="208"/>
      <c r="L1902" s="208" t="str">
        <v/>
      </c>
      <c r="M1902" s="208" t="str">
        <v/>
      </c>
    </row>
    <row r="1903" spans="1:13" ht="14.4">
      <c r="A1903" s="199" t="str">
        <f ca="1">IFERROR(__xludf.DUMMYFUNCTION("""COMPUTED_VALUE"""),"SHR")</f>
        <v>SHR</v>
      </c>
      <c r="B1903" s="207" t="str">
        <f ca="1">IFERROR(__xludf.DUMMYFUNCTION("""COMPUTED_VALUE"""),"John Waibel")</f>
        <v>John Waibel</v>
      </c>
      <c r="C1903" s="199">
        <f ca="1">IFERROR(__xludf.DUMMYFUNCTION("""COMPUTED_VALUE"""),7)</f>
        <v>7</v>
      </c>
      <c r="D1903" s="199" t="str">
        <f ca="1">IFERROR(__xludf.DUMMYFUNCTION("""COMPUTED_VALUE"""),"B")</f>
        <v>B</v>
      </c>
      <c r="E1903" s="202" t="str">
        <f ca="1">IFERROR(__xludf.DUMMYFUNCTION("""COMPUTED_VALUE"""),"F")</f>
        <v>F</v>
      </c>
      <c r="F1903" s="202" t="str">
        <f ca="1">IFERROR(__xludf.DUMMYFUNCTION("""COMPUTED_VALUE"""),"J")</f>
        <v>J</v>
      </c>
      <c r="G1903" s="202">
        <f ca="1">IFERROR(__xludf.DUMMYFUNCTION("""COMPUTED_VALUE"""),3)</f>
        <v>3</v>
      </c>
      <c r="H1903" s="208"/>
      <c r="I1903" s="208"/>
      <c r="J1903" s="208"/>
      <c r="K1903" s="208"/>
      <c r="L1903" s="208" t="str">
        <v/>
      </c>
      <c r="M1903" s="208" t="str">
        <v/>
      </c>
    </row>
    <row r="1904" spans="1:13" ht="14.4">
      <c r="A1904" s="199" t="str">
        <f ca="1">IFERROR(__xludf.DUMMYFUNCTION("""COMPUTED_VALUE"""),"SHR")</f>
        <v>SHR</v>
      </c>
      <c r="B1904" s="207" t="str">
        <f ca="1">IFERROR(__xludf.DUMMYFUNCTION("""COMPUTED_VALUE"""),"Kai Sheriff")</f>
        <v>Kai Sheriff</v>
      </c>
      <c r="C1904" s="199">
        <f ca="1">IFERROR(__xludf.DUMMYFUNCTION("""COMPUTED_VALUE"""),8)</f>
        <v>8</v>
      </c>
      <c r="D1904" s="199" t="str">
        <f ca="1">IFERROR(__xludf.DUMMYFUNCTION("""COMPUTED_VALUE"""),"B")</f>
        <v>B</v>
      </c>
      <c r="E1904" s="202" t="str">
        <f ca="1">IFERROR(__xludf.DUMMYFUNCTION("""COMPUTED_VALUE"""),"F")</f>
        <v>F</v>
      </c>
      <c r="F1904" s="202" t="str">
        <f ca="1">IFERROR(__xludf.DUMMYFUNCTION("""COMPUTED_VALUE"""),"J")</f>
        <v>J</v>
      </c>
      <c r="G1904" s="202">
        <f ca="1">IFERROR(__xludf.DUMMYFUNCTION("""COMPUTED_VALUE"""),3)</f>
        <v>3</v>
      </c>
      <c r="H1904" s="206"/>
      <c r="I1904" s="206">
        <v>51.7</v>
      </c>
      <c r="J1904" s="206"/>
      <c r="K1904" s="206" t="s">
        <v>121</v>
      </c>
      <c r="L1904" s="206" t="str">
        <v xml:space="preserve"> 51.7</v>
      </c>
      <c r="M1904" s="206" t="str">
        <v/>
      </c>
    </row>
    <row r="1905" spans="1:13" ht="14.4">
      <c r="A1905" s="199" t="str">
        <f ca="1">IFERROR(__xludf.DUMMYFUNCTION("""COMPUTED_VALUE"""),"SHR")</f>
        <v>SHR</v>
      </c>
      <c r="B1905" s="207" t="str">
        <f ca="1">IFERROR(__xludf.DUMMYFUNCTION("""COMPUTED_VALUE"""),"Liam Ross")</f>
        <v>Liam Ross</v>
      </c>
      <c r="C1905" s="199">
        <f ca="1">IFERROR(__xludf.DUMMYFUNCTION("""COMPUTED_VALUE"""),7)</f>
        <v>7</v>
      </c>
      <c r="D1905" s="199" t="str">
        <f ca="1">IFERROR(__xludf.DUMMYFUNCTION("""COMPUTED_VALUE"""),"B")</f>
        <v>B</v>
      </c>
      <c r="E1905" s="202" t="str">
        <f ca="1">IFERROR(__xludf.DUMMYFUNCTION("""COMPUTED_VALUE"""),"F")</f>
        <v>F</v>
      </c>
      <c r="F1905" s="202" t="str">
        <f ca="1">IFERROR(__xludf.DUMMYFUNCTION("""COMPUTED_VALUE"""),"J")</f>
        <v>J</v>
      </c>
      <c r="G1905" s="202">
        <f ca="1">IFERROR(__xludf.DUMMYFUNCTION("""COMPUTED_VALUE"""),3)</f>
        <v>3</v>
      </c>
      <c r="H1905" s="206"/>
      <c r="I1905" s="206">
        <v>52.85</v>
      </c>
      <c r="J1905" s="206"/>
      <c r="K1905" s="206" t="s">
        <v>121</v>
      </c>
      <c r="L1905" s="206" t="str">
        <v xml:space="preserve"> 52.85</v>
      </c>
      <c r="M1905" s="206" t="str">
        <v/>
      </c>
    </row>
    <row r="1906" spans="1:13" ht="14.4">
      <c r="A1906" s="199" t="str">
        <f ca="1">IFERROR(__xludf.DUMMYFUNCTION("""COMPUTED_VALUE"""),"SHR")</f>
        <v>SHR</v>
      </c>
      <c r="B1906" s="207" t="str">
        <f ca="1">IFERROR(__xludf.DUMMYFUNCTION("""COMPUTED_VALUE"""),"Lucas Vida")</f>
        <v>Lucas Vida</v>
      </c>
      <c r="C1906" s="199">
        <f ca="1">IFERROR(__xludf.DUMMYFUNCTION("""COMPUTED_VALUE"""),8)</f>
        <v>8</v>
      </c>
      <c r="D1906" s="199" t="str">
        <f ca="1">IFERROR(__xludf.DUMMYFUNCTION("""COMPUTED_VALUE"""),"B")</f>
        <v>B</v>
      </c>
      <c r="E1906" s="202" t="str">
        <f ca="1">IFERROR(__xludf.DUMMYFUNCTION("""COMPUTED_VALUE"""),"F")</f>
        <v>F</v>
      </c>
      <c r="F1906" s="202" t="str">
        <f ca="1">IFERROR(__xludf.DUMMYFUNCTION("""COMPUTED_VALUE"""),"J")</f>
        <v>J</v>
      </c>
      <c r="G1906" s="202">
        <f ca="1">IFERROR(__xludf.DUMMYFUNCTION("""COMPUTED_VALUE"""),3)</f>
        <v>3</v>
      </c>
      <c r="H1906" s="206"/>
      <c r="I1906" s="206">
        <v>47.55</v>
      </c>
      <c r="J1906" s="206"/>
      <c r="K1906" s="206" t="s">
        <v>121</v>
      </c>
      <c r="L1906" s="206" t="str">
        <v xml:space="preserve"> 47.55</v>
      </c>
      <c r="M1906" s="206" t="str">
        <v/>
      </c>
    </row>
    <row r="1907" spans="1:13" ht="14.4">
      <c r="A1907" s="199" t="str">
        <f ca="1">IFERROR(__xludf.DUMMYFUNCTION("""COMPUTED_VALUE"""),"SHR")</f>
        <v>SHR</v>
      </c>
      <c r="B1907" s="207" t="str">
        <f ca="1">IFERROR(__xludf.DUMMYFUNCTION("""COMPUTED_VALUE"""),"Quinn Lefbom")</f>
        <v>Quinn Lefbom</v>
      </c>
      <c r="C1907" s="199">
        <f ca="1">IFERROR(__xludf.DUMMYFUNCTION("""COMPUTED_VALUE"""),6)</f>
        <v>6</v>
      </c>
      <c r="D1907" s="199" t="str">
        <f ca="1">IFERROR(__xludf.DUMMYFUNCTION("""COMPUTED_VALUE"""),"B")</f>
        <v>B</v>
      </c>
      <c r="E1907" s="202" t="str">
        <f ca="1">IFERROR(__xludf.DUMMYFUNCTION("""COMPUTED_VALUE"""),"F")</f>
        <v>F</v>
      </c>
      <c r="F1907" s="202" t="str">
        <f ca="1">IFERROR(__xludf.DUMMYFUNCTION("""COMPUTED_VALUE"""),"J")</f>
        <v>J</v>
      </c>
      <c r="G1907" s="202">
        <f ca="1">IFERROR(__xludf.DUMMYFUNCTION("""COMPUTED_VALUE"""),3)</f>
        <v>3</v>
      </c>
      <c r="H1907" s="206"/>
      <c r="I1907" s="206"/>
      <c r="J1907" s="206"/>
      <c r="K1907" s="206"/>
      <c r="L1907" s="206" t="str">
        <v/>
      </c>
      <c r="M1907" s="206" t="str">
        <v/>
      </c>
    </row>
    <row r="1908" spans="1:13" ht="14.4">
      <c r="A1908" s="199" t="str">
        <f ca="1">IFERROR(__xludf.DUMMYFUNCTION("""COMPUTED_VALUE"""),"SHR")</f>
        <v>SHR</v>
      </c>
      <c r="B1908" s="207" t="str">
        <f ca="1">IFERROR(__xludf.DUMMYFUNCTION("""COMPUTED_VALUE"""),"Tobias Evans-Reinke")</f>
        <v>Tobias Evans-Reinke</v>
      </c>
      <c r="C1908" s="199">
        <f ca="1">IFERROR(__xludf.DUMMYFUNCTION("""COMPUTED_VALUE"""),9)</f>
        <v>9</v>
      </c>
      <c r="D1908" s="199" t="str">
        <f ca="1">IFERROR(__xludf.DUMMYFUNCTION("""COMPUTED_VALUE"""),"B")</f>
        <v>B</v>
      </c>
      <c r="E1908" s="202" t="str">
        <f ca="1">IFERROR(__xludf.DUMMYFUNCTION("""COMPUTED_VALUE"""),"F")</f>
        <v>F</v>
      </c>
      <c r="F1908" s="202" t="str">
        <f ca="1">IFERROR(__xludf.DUMMYFUNCTION("""COMPUTED_VALUE"""),"J")</f>
        <v>J</v>
      </c>
      <c r="G1908" s="202">
        <f ca="1">IFERROR(__xludf.DUMMYFUNCTION("""COMPUTED_VALUE"""),3)</f>
        <v>3</v>
      </c>
      <c r="H1908" s="206"/>
      <c r="I1908" s="206"/>
      <c r="J1908" s="206"/>
      <c r="K1908" s="206"/>
      <c r="L1908" s="206" t="str">
        <v/>
      </c>
      <c r="M1908" s="206" t="str">
        <v/>
      </c>
    </row>
    <row r="1909" spans="1:13" ht="14.4">
      <c r="A1909" s="199" t="str">
        <f ca="1">IFERROR(__xludf.DUMMYFUNCTION("""COMPUTED_VALUE"""),"SHR")</f>
        <v>SHR</v>
      </c>
      <c r="B1909" s="207" t="str">
        <f ca="1">IFERROR(__xludf.DUMMYFUNCTION("""COMPUTED_VALUE"""),"Tripp Walter")</f>
        <v>Tripp Walter</v>
      </c>
      <c r="C1909" s="199">
        <f ca="1">IFERROR(__xludf.DUMMYFUNCTION("""COMPUTED_VALUE"""),6)</f>
        <v>6</v>
      </c>
      <c r="D1909" s="199" t="str">
        <f ca="1">IFERROR(__xludf.DUMMYFUNCTION("""COMPUTED_VALUE"""),"B")</f>
        <v>B</v>
      </c>
      <c r="E1909" s="202" t="str">
        <f ca="1">IFERROR(__xludf.DUMMYFUNCTION("""COMPUTED_VALUE"""),"F")</f>
        <v>F</v>
      </c>
      <c r="F1909" s="202" t="str">
        <f ca="1">IFERROR(__xludf.DUMMYFUNCTION("""COMPUTED_VALUE"""),"J")</f>
        <v>J</v>
      </c>
      <c r="G1909" s="202">
        <f ca="1">IFERROR(__xludf.DUMMYFUNCTION("""COMPUTED_VALUE"""),3)</f>
        <v>3</v>
      </c>
      <c r="H1909" s="206"/>
      <c r="I1909" s="206"/>
      <c r="J1909" s="206"/>
      <c r="K1909" s="206"/>
      <c r="L1909" s="206" t="str">
        <v/>
      </c>
      <c r="M1909" s="206" t="str">
        <v/>
      </c>
    </row>
    <row r="1910" spans="1:13" ht="14.4">
      <c r="A1910" s="199" t="str">
        <f ca="1">IFERROR(__xludf.DUMMYFUNCTION("""COMPUTED_VALUE"""),"SHR")</f>
        <v>SHR</v>
      </c>
      <c r="B1910" s="207" t="str">
        <f ca="1">IFERROR(__xludf.DUMMYFUNCTION("""COMPUTED_VALUE"""),"Alexandra Bailey")</f>
        <v>Alexandra Bailey</v>
      </c>
      <c r="C1910" s="199">
        <f ca="1">IFERROR(__xludf.DUMMYFUNCTION("""COMPUTED_VALUE"""),7)</f>
        <v>7</v>
      </c>
      <c r="D1910" s="199" t="str">
        <f ca="1">IFERROR(__xludf.DUMMYFUNCTION("""COMPUTED_VALUE"""),"G")</f>
        <v>G</v>
      </c>
      <c r="E1910" s="202" t="str">
        <f ca="1">IFERROR(__xludf.DUMMYFUNCTION("""COMPUTED_VALUE"""),"F")</f>
        <v>F</v>
      </c>
      <c r="F1910" s="202" t="str">
        <f ca="1">IFERROR(__xludf.DUMMYFUNCTION("""COMPUTED_VALUE"""),"J")</f>
        <v>J</v>
      </c>
      <c r="G1910" s="202">
        <f ca="1">IFERROR(__xludf.DUMMYFUNCTION("""COMPUTED_VALUE"""),3)</f>
        <v>3</v>
      </c>
      <c r="H1910" s="206"/>
      <c r="I1910" s="206"/>
      <c r="J1910" s="206"/>
      <c r="K1910" s="206"/>
      <c r="L1910" s="206" t="str">
        <v/>
      </c>
      <c r="M1910" s="206" t="str">
        <v/>
      </c>
    </row>
    <row r="1911" spans="1:13" ht="14.4">
      <c r="A1911" s="199" t="str">
        <f ca="1">IFERROR(__xludf.DUMMYFUNCTION("""COMPUTED_VALUE"""),"SHR")</f>
        <v>SHR</v>
      </c>
      <c r="B1911" s="207" t="str">
        <f ca="1">IFERROR(__xludf.DUMMYFUNCTION("""COMPUTED_VALUE"""),"Avery Swanson")</f>
        <v>Avery Swanson</v>
      </c>
      <c r="C1911" s="199">
        <f ca="1">IFERROR(__xludf.DUMMYFUNCTION("""COMPUTED_VALUE"""),8)</f>
        <v>8</v>
      </c>
      <c r="D1911" s="199" t="str">
        <f ca="1">IFERROR(__xludf.DUMMYFUNCTION("""COMPUTED_VALUE"""),"G")</f>
        <v>G</v>
      </c>
      <c r="E1911" s="202" t="str">
        <f ca="1">IFERROR(__xludf.DUMMYFUNCTION("""COMPUTED_VALUE"""),"F")</f>
        <v>F</v>
      </c>
      <c r="F1911" s="202" t="str">
        <f ca="1">IFERROR(__xludf.DUMMYFUNCTION("""COMPUTED_VALUE"""),"J")</f>
        <v>J</v>
      </c>
      <c r="G1911" s="202">
        <f ca="1">IFERROR(__xludf.DUMMYFUNCTION("""COMPUTED_VALUE"""),3)</f>
        <v>3</v>
      </c>
      <c r="H1911" s="206"/>
      <c r="I1911" s="206"/>
      <c r="J1911" s="206"/>
      <c r="K1911" s="206"/>
      <c r="L1911" s="206" t="str">
        <v/>
      </c>
      <c r="M1911" s="206" t="str">
        <v/>
      </c>
    </row>
    <row r="1912" spans="1:13" ht="14.4">
      <c r="A1912" s="199" t="str">
        <f ca="1">IFERROR(__xludf.DUMMYFUNCTION("""COMPUTED_VALUE"""),"SHR")</f>
        <v>SHR</v>
      </c>
      <c r="B1912" s="207" t="str">
        <f ca="1">IFERROR(__xludf.DUMMYFUNCTION("""COMPUTED_VALUE"""),"Callie Swanson")</f>
        <v>Callie Swanson</v>
      </c>
      <c r="C1912" s="199">
        <f ca="1">IFERROR(__xludf.DUMMYFUNCTION("""COMPUTED_VALUE"""),5)</f>
        <v>5</v>
      </c>
      <c r="D1912" s="199" t="str">
        <f ca="1">IFERROR(__xludf.DUMMYFUNCTION("""COMPUTED_VALUE"""),"G")</f>
        <v>G</v>
      </c>
      <c r="E1912" s="202" t="str">
        <f ca="1">IFERROR(__xludf.DUMMYFUNCTION("""COMPUTED_VALUE"""),"F")</f>
        <v>F</v>
      </c>
      <c r="F1912" s="202" t="str">
        <f ca="1">IFERROR(__xludf.DUMMYFUNCTION("""COMPUTED_VALUE"""),"J")</f>
        <v>J</v>
      </c>
      <c r="G1912" s="202">
        <f ca="1">IFERROR(__xludf.DUMMYFUNCTION("""COMPUTED_VALUE"""),3)</f>
        <v>3</v>
      </c>
      <c r="H1912" s="206"/>
      <c r="I1912" s="206"/>
      <c r="J1912" s="206"/>
      <c r="K1912" s="206"/>
      <c r="L1912" s="206" t="str">
        <v/>
      </c>
      <c r="M1912" s="206" t="str">
        <v/>
      </c>
    </row>
    <row r="1913" spans="1:13" ht="14.4">
      <c r="A1913" s="199" t="str">
        <f ca="1">IFERROR(__xludf.DUMMYFUNCTION("""COMPUTED_VALUE"""),"SHR")</f>
        <v>SHR</v>
      </c>
      <c r="B1913" s="207" t="str">
        <f ca="1">IFERROR(__xludf.DUMMYFUNCTION("""COMPUTED_VALUE"""),"Charlotte Rice")</f>
        <v>Charlotte Rice</v>
      </c>
      <c r="C1913" s="199">
        <f ca="1">IFERROR(__xludf.DUMMYFUNCTION("""COMPUTED_VALUE"""),4)</f>
        <v>4</v>
      </c>
      <c r="D1913" s="199" t="str">
        <f ca="1">IFERROR(__xludf.DUMMYFUNCTION("""COMPUTED_VALUE"""),"G")</f>
        <v>G</v>
      </c>
      <c r="E1913" s="202" t="str">
        <f ca="1">IFERROR(__xludf.DUMMYFUNCTION("""COMPUTED_VALUE"""),"F")</f>
        <v>F</v>
      </c>
      <c r="F1913" s="202" t="str">
        <f ca="1">IFERROR(__xludf.DUMMYFUNCTION("""COMPUTED_VALUE"""),"J")</f>
        <v>J</v>
      </c>
      <c r="G1913" s="202">
        <f ca="1">IFERROR(__xludf.DUMMYFUNCTION("""COMPUTED_VALUE"""),3)</f>
        <v>3</v>
      </c>
      <c r="H1913" s="206"/>
      <c r="I1913" s="206"/>
      <c r="J1913" s="206"/>
      <c r="K1913" s="206"/>
      <c r="L1913" s="206" t="str">
        <v/>
      </c>
      <c r="M1913" s="206" t="str">
        <v/>
      </c>
    </row>
    <row r="1914" spans="1:13" ht="14.4">
      <c r="A1914" s="199" t="str">
        <f ca="1">IFERROR(__xludf.DUMMYFUNCTION("""COMPUTED_VALUE"""),"SHR")</f>
        <v>SHR</v>
      </c>
      <c r="B1914" s="207" t="str">
        <f ca="1">IFERROR(__xludf.DUMMYFUNCTION("""COMPUTED_VALUE"""),"Colette Marra")</f>
        <v>Colette Marra</v>
      </c>
      <c r="C1914" s="199">
        <f ca="1">IFERROR(__xludf.DUMMYFUNCTION("""COMPUTED_VALUE"""),8)</f>
        <v>8</v>
      </c>
      <c r="D1914" s="199" t="str">
        <f ca="1">IFERROR(__xludf.DUMMYFUNCTION("""COMPUTED_VALUE"""),"G")</f>
        <v>G</v>
      </c>
      <c r="E1914" s="202" t="str">
        <f ca="1">IFERROR(__xludf.DUMMYFUNCTION("""COMPUTED_VALUE"""),"F")</f>
        <v>F</v>
      </c>
      <c r="F1914" s="202" t="str">
        <f ca="1">IFERROR(__xludf.DUMMYFUNCTION("""COMPUTED_VALUE"""),"J")</f>
        <v>J</v>
      </c>
      <c r="G1914" s="202">
        <f ca="1">IFERROR(__xludf.DUMMYFUNCTION("""COMPUTED_VALUE"""),3)</f>
        <v>3</v>
      </c>
      <c r="H1914" s="206"/>
      <c r="I1914" s="206"/>
      <c r="J1914" s="206"/>
      <c r="K1914" s="206"/>
      <c r="L1914" s="206" t="str">
        <v/>
      </c>
      <c r="M1914" s="206" t="str">
        <v/>
      </c>
    </row>
    <row r="1915" spans="1:13" ht="14.4">
      <c r="A1915" s="199" t="str">
        <f ca="1">IFERROR(__xludf.DUMMYFUNCTION("""COMPUTED_VALUE"""),"SHR")</f>
        <v>SHR</v>
      </c>
      <c r="B1915" s="207" t="str">
        <f ca="1">IFERROR(__xludf.DUMMYFUNCTION("""COMPUTED_VALUE"""),"Elizabeth Heim")</f>
        <v>Elizabeth Heim</v>
      </c>
      <c r="C1915" s="199">
        <f ca="1">IFERROR(__xludf.DUMMYFUNCTION("""COMPUTED_VALUE"""),10)</f>
        <v>10</v>
      </c>
      <c r="D1915" s="199" t="str">
        <f ca="1">IFERROR(__xludf.DUMMYFUNCTION("""COMPUTED_VALUE"""),"G")</f>
        <v>G</v>
      </c>
      <c r="E1915" s="202" t="str">
        <f ca="1">IFERROR(__xludf.DUMMYFUNCTION("""COMPUTED_VALUE"""),"F")</f>
        <v>F</v>
      </c>
      <c r="F1915" s="202" t="str">
        <f ca="1">IFERROR(__xludf.DUMMYFUNCTION("""COMPUTED_VALUE"""),"J")</f>
        <v>J</v>
      </c>
      <c r="G1915" s="202">
        <f ca="1">IFERROR(__xludf.DUMMYFUNCTION("""COMPUTED_VALUE"""),3)</f>
        <v>3</v>
      </c>
      <c r="H1915" s="206">
        <v>59.1</v>
      </c>
      <c r="I1915" s="206"/>
      <c r="J1915" s="206" t="s">
        <v>121</v>
      </c>
      <c r="K1915" s="206"/>
      <c r="L1915" s="206" t="str">
        <v xml:space="preserve"> 59.1</v>
      </c>
      <c r="M1915" s="206" t="str">
        <v/>
      </c>
    </row>
    <row r="1916" spans="1:13" ht="14.4">
      <c r="A1916" s="199" t="str">
        <f ca="1">IFERROR(__xludf.DUMMYFUNCTION("""COMPUTED_VALUE"""),"SHR")</f>
        <v>SHR</v>
      </c>
      <c r="B1916" s="207" t="str">
        <f ca="1">IFERROR(__xludf.DUMMYFUNCTION("""COMPUTED_VALUE"""),"Elle Feeley")</f>
        <v>Elle Feeley</v>
      </c>
      <c r="C1916" s="199">
        <f ca="1">IFERROR(__xludf.DUMMYFUNCTION("""COMPUTED_VALUE"""),8)</f>
        <v>8</v>
      </c>
      <c r="D1916" s="199" t="str">
        <f ca="1">IFERROR(__xludf.DUMMYFUNCTION("""COMPUTED_VALUE"""),"G")</f>
        <v>G</v>
      </c>
      <c r="E1916" s="202" t="str">
        <f ca="1">IFERROR(__xludf.DUMMYFUNCTION("""COMPUTED_VALUE"""),"F")</f>
        <v>F</v>
      </c>
      <c r="F1916" s="202" t="str">
        <f ca="1">IFERROR(__xludf.DUMMYFUNCTION("""COMPUTED_VALUE"""),"J")</f>
        <v>J</v>
      </c>
      <c r="G1916" s="202">
        <f ca="1">IFERROR(__xludf.DUMMYFUNCTION("""COMPUTED_VALUE"""),3)</f>
        <v>3</v>
      </c>
      <c r="H1916" s="206">
        <v>60.75</v>
      </c>
      <c r="I1916" s="206"/>
      <c r="J1916" s="206" t="s">
        <v>121</v>
      </c>
      <c r="K1916" s="206"/>
      <c r="L1916" s="206" t="str">
        <v xml:space="preserve"> 60.75</v>
      </c>
      <c r="M1916" s="206" t="str">
        <v/>
      </c>
    </row>
    <row r="1917" spans="1:13" ht="14.4">
      <c r="A1917" s="199" t="str">
        <f ca="1">IFERROR(__xludf.DUMMYFUNCTION("""COMPUTED_VALUE"""),"SHR")</f>
        <v>SHR</v>
      </c>
      <c r="B1917" s="207" t="str">
        <f ca="1">IFERROR(__xludf.DUMMYFUNCTION("""COMPUTED_VALUE"""),"Emerson Crawford")</f>
        <v>Emerson Crawford</v>
      </c>
      <c r="C1917" s="199">
        <f ca="1">IFERROR(__xludf.DUMMYFUNCTION("""COMPUTED_VALUE"""),8)</f>
        <v>8</v>
      </c>
      <c r="D1917" s="199" t="str">
        <f ca="1">IFERROR(__xludf.DUMMYFUNCTION("""COMPUTED_VALUE"""),"G")</f>
        <v>G</v>
      </c>
      <c r="E1917" s="202" t="str">
        <f ca="1">IFERROR(__xludf.DUMMYFUNCTION("""COMPUTED_VALUE"""),"F")</f>
        <v>F</v>
      </c>
      <c r="F1917" s="202" t="str">
        <f ca="1">IFERROR(__xludf.DUMMYFUNCTION("""COMPUTED_VALUE"""),"J")</f>
        <v>J</v>
      </c>
      <c r="G1917" s="202">
        <f ca="1">IFERROR(__xludf.DUMMYFUNCTION("""COMPUTED_VALUE"""),3)</f>
        <v>3</v>
      </c>
      <c r="H1917" s="206"/>
      <c r="I1917" s="206"/>
      <c r="J1917" s="206"/>
      <c r="K1917" s="206"/>
      <c r="L1917" s="206" t="str">
        <v/>
      </c>
      <c r="M1917" s="206" t="str">
        <v/>
      </c>
    </row>
    <row r="1918" spans="1:13" ht="14.4">
      <c r="A1918" s="199" t="str">
        <f ca="1">IFERROR(__xludf.DUMMYFUNCTION("""COMPUTED_VALUE"""),"SHR")</f>
        <v>SHR</v>
      </c>
      <c r="B1918" s="207" t="str">
        <f ca="1">IFERROR(__xludf.DUMMYFUNCTION("""COMPUTED_VALUE"""),"Hannah Brubeck")</f>
        <v>Hannah Brubeck</v>
      </c>
      <c r="C1918" s="199">
        <f ca="1">IFERROR(__xludf.DUMMYFUNCTION("""COMPUTED_VALUE"""),8)</f>
        <v>8</v>
      </c>
      <c r="D1918" s="199" t="str">
        <f ca="1">IFERROR(__xludf.DUMMYFUNCTION("""COMPUTED_VALUE"""),"G")</f>
        <v>G</v>
      </c>
      <c r="E1918" s="202" t="str">
        <f ca="1">IFERROR(__xludf.DUMMYFUNCTION("""COMPUTED_VALUE"""),"F")</f>
        <v>F</v>
      </c>
      <c r="F1918" s="202" t="str">
        <f ca="1">IFERROR(__xludf.DUMMYFUNCTION("""COMPUTED_VALUE"""),"J")</f>
        <v>J</v>
      </c>
      <c r="G1918" s="202">
        <f ca="1">IFERROR(__xludf.DUMMYFUNCTION("""COMPUTED_VALUE"""),3)</f>
        <v>3</v>
      </c>
      <c r="H1918" s="206">
        <v>64.95</v>
      </c>
      <c r="I1918" s="206"/>
      <c r="J1918" s="206" t="s">
        <v>121</v>
      </c>
      <c r="K1918" s="206"/>
      <c r="L1918" s="206" t="str">
        <v xml:space="preserve"> 64.95</v>
      </c>
      <c r="M1918" s="206" t="str">
        <v/>
      </c>
    </row>
    <row r="1919" spans="1:13" ht="14.4">
      <c r="A1919" s="199" t="str">
        <f ca="1">IFERROR(__xludf.DUMMYFUNCTION("""COMPUTED_VALUE"""),"SHR")</f>
        <v>SHR</v>
      </c>
      <c r="B1919" s="207" t="str">
        <f ca="1">IFERROR(__xludf.DUMMYFUNCTION("""COMPUTED_VALUE"""),"Harper Vida")</f>
        <v>Harper Vida</v>
      </c>
      <c r="C1919" s="199">
        <f ca="1">IFERROR(__xludf.DUMMYFUNCTION("""COMPUTED_VALUE"""),6)</f>
        <v>6</v>
      </c>
      <c r="D1919" s="199" t="str">
        <f ca="1">IFERROR(__xludf.DUMMYFUNCTION("""COMPUTED_VALUE"""),"G")</f>
        <v>G</v>
      </c>
      <c r="E1919" s="202" t="str">
        <f ca="1">IFERROR(__xludf.DUMMYFUNCTION("""COMPUTED_VALUE"""),"F")</f>
        <v>F</v>
      </c>
      <c r="F1919" s="202" t="str">
        <f ca="1">IFERROR(__xludf.DUMMYFUNCTION("""COMPUTED_VALUE"""),"J")</f>
        <v>J</v>
      </c>
      <c r="G1919" s="202">
        <f ca="1">IFERROR(__xludf.DUMMYFUNCTION("""COMPUTED_VALUE"""),3)</f>
        <v>3</v>
      </c>
      <c r="H1919" s="206">
        <v>26.2</v>
      </c>
      <c r="I1919" s="206"/>
      <c r="J1919" s="206" t="s">
        <v>121</v>
      </c>
      <c r="K1919" s="206"/>
      <c r="L1919" s="206" t="str">
        <v xml:space="preserve"> 26.2</v>
      </c>
      <c r="M1919" s="206" t="str">
        <v/>
      </c>
    </row>
    <row r="1920" spans="1:13" ht="14.4">
      <c r="A1920" s="199" t="str">
        <f ca="1">IFERROR(__xludf.DUMMYFUNCTION("""COMPUTED_VALUE"""),"SHR")</f>
        <v>SHR</v>
      </c>
      <c r="B1920" s="207" t="str">
        <f ca="1">IFERROR(__xludf.DUMMYFUNCTION("""COMPUTED_VALUE"""),"Isla Cannon")</f>
        <v>Isla Cannon</v>
      </c>
      <c r="C1920" s="199">
        <f ca="1">IFERROR(__xludf.DUMMYFUNCTION("""COMPUTED_VALUE"""),8)</f>
        <v>8</v>
      </c>
      <c r="D1920" s="199" t="str">
        <f ca="1">IFERROR(__xludf.DUMMYFUNCTION("""COMPUTED_VALUE"""),"G")</f>
        <v>G</v>
      </c>
      <c r="E1920" s="202" t="str">
        <f ca="1">IFERROR(__xludf.DUMMYFUNCTION("""COMPUTED_VALUE"""),"F")</f>
        <v>F</v>
      </c>
      <c r="F1920" s="202" t="str">
        <f ca="1">IFERROR(__xludf.DUMMYFUNCTION("""COMPUTED_VALUE"""),"J")</f>
        <v>J</v>
      </c>
      <c r="G1920" s="202">
        <f ca="1">IFERROR(__xludf.DUMMYFUNCTION("""COMPUTED_VALUE"""),3)</f>
        <v>3</v>
      </c>
      <c r="H1920" s="206"/>
      <c r="I1920" s="206"/>
      <c r="J1920" s="206"/>
      <c r="K1920" s="206"/>
      <c r="L1920" s="206" t="str">
        <v/>
      </c>
      <c r="M1920" s="206" t="str">
        <v/>
      </c>
    </row>
    <row r="1921" spans="1:13" ht="14.4">
      <c r="A1921" s="199" t="str">
        <f ca="1">IFERROR(__xludf.DUMMYFUNCTION("""COMPUTED_VALUE"""),"SHR")</f>
        <v>SHR</v>
      </c>
      <c r="B1921" s="207" t="str">
        <f ca="1">IFERROR(__xludf.DUMMYFUNCTION("""COMPUTED_VALUE"""),"Kiersten Crawford")</f>
        <v>Kiersten Crawford</v>
      </c>
      <c r="C1921" s="199">
        <f ca="1">IFERROR(__xludf.DUMMYFUNCTION("""COMPUTED_VALUE"""),6)</f>
        <v>6</v>
      </c>
      <c r="D1921" s="199" t="str">
        <f ca="1">IFERROR(__xludf.DUMMYFUNCTION("""COMPUTED_VALUE"""),"G")</f>
        <v>G</v>
      </c>
      <c r="E1921" s="202" t="str">
        <f ca="1">IFERROR(__xludf.DUMMYFUNCTION("""COMPUTED_VALUE"""),"F")</f>
        <v>F</v>
      </c>
      <c r="F1921" s="202" t="str">
        <f ca="1">IFERROR(__xludf.DUMMYFUNCTION("""COMPUTED_VALUE"""),"J")</f>
        <v>J</v>
      </c>
      <c r="G1921" s="202">
        <f ca="1">IFERROR(__xludf.DUMMYFUNCTION("""COMPUTED_VALUE"""),3)</f>
        <v>3</v>
      </c>
      <c r="H1921" s="206"/>
      <c r="I1921" s="206"/>
      <c r="J1921" s="206"/>
      <c r="K1921" s="206"/>
      <c r="L1921" s="206" t="str">
        <v/>
      </c>
      <c r="M1921" s="206" t="str">
        <v/>
      </c>
    </row>
    <row r="1922" spans="1:13" ht="14.4">
      <c r="A1922" s="199" t="str">
        <f ca="1">IFERROR(__xludf.DUMMYFUNCTION("""COMPUTED_VALUE"""),"SHR")</f>
        <v>SHR</v>
      </c>
      <c r="B1922" s="207" t="str">
        <f ca="1">IFERROR(__xludf.DUMMYFUNCTION("""COMPUTED_VALUE"""),"Lily Scherer")</f>
        <v>Lily Scherer</v>
      </c>
      <c r="C1922" s="199">
        <f ca="1">IFERROR(__xludf.DUMMYFUNCTION("""COMPUTED_VALUE"""),10)</f>
        <v>10</v>
      </c>
      <c r="D1922" s="199" t="str">
        <f ca="1">IFERROR(__xludf.DUMMYFUNCTION("""COMPUTED_VALUE"""),"G")</f>
        <v>G</v>
      </c>
      <c r="E1922" s="202" t="str">
        <f ca="1">IFERROR(__xludf.DUMMYFUNCTION("""COMPUTED_VALUE"""),"F")</f>
        <v>F</v>
      </c>
      <c r="F1922" s="202" t="str">
        <f ca="1">IFERROR(__xludf.DUMMYFUNCTION("""COMPUTED_VALUE"""),"J")</f>
        <v>J</v>
      </c>
      <c r="G1922" s="202">
        <f ca="1">IFERROR(__xludf.DUMMYFUNCTION("""COMPUTED_VALUE"""),3)</f>
        <v>3</v>
      </c>
      <c r="H1922" s="206"/>
      <c r="I1922" s="206"/>
      <c r="J1922" s="206"/>
      <c r="K1922" s="206"/>
      <c r="L1922" s="206" t="str">
        <v/>
      </c>
      <c r="M1922" s="206" t="str">
        <v/>
      </c>
    </row>
    <row r="1923" spans="1:13" ht="14.4">
      <c r="A1923" s="199" t="str">
        <f ca="1">IFERROR(__xludf.DUMMYFUNCTION("""COMPUTED_VALUE"""),"SHR")</f>
        <v>SHR</v>
      </c>
      <c r="B1923" s="207" t="str">
        <f ca="1">IFERROR(__xludf.DUMMYFUNCTION("""COMPUTED_VALUE"""),"Maggie Barker")</f>
        <v>Maggie Barker</v>
      </c>
      <c r="C1923" s="199">
        <f ca="1">IFERROR(__xludf.DUMMYFUNCTION("""COMPUTED_VALUE"""),7)</f>
        <v>7</v>
      </c>
      <c r="D1923" s="199" t="str">
        <f ca="1">IFERROR(__xludf.DUMMYFUNCTION("""COMPUTED_VALUE"""),"G")</f>
        <v>G</v>
      </c>
      <c r="E1923" s="202" t="str">
        <f ca="1">IFERROR(__xludf.DUMMYFUNCTION("""COMPUTED_VALUE"""),"F")</f>
        <v>F</v>
      </c>
      <c r="F1923" s="202" t="str">
        <f ca="1">IFERROR(__xludf.DUMMYFUNCTION("""COMPUTED_VALUE"""),"J")</f>
        <v>J</v>
      </c>
      <c r="G1923" s="202">
        <f ca="1">IFERROR(__xludf.DUMMYFUNCTION("""COMPUTED_VALUE"""),3)</f>
        <v>3</v>
      </c>
      <c r="H1923" s="206"/>
      <c r="I1923" s="206"/>
      <c r="J1923" s="206"/>
      <c r="K1923" s="206"/>
      <c r="L1923" s="206" t="str">
        <v/>
      </c>
      <c r="M1923" s="206" t="str">
        <v/>
      </c>
    </row>
    <row r="1924" spans="1:13" ht="14.4">
      <c r="A1924" s="199" t="str">
        <f ca="1">IFERROR(__xludf.DUMMYFUNCTION("""COMPUTED_VALUE"""),"SHR")</f>
        <v>SHR</v>
      </c>
      <c r="B1924" s="207" t="str">
        <f ca="1">IFERROR(__xludf.DUMMYFUNCTION("""COMPUTED_VALUE"""),"Molly Hamill")</f>
        <v>Molly Hamill</v>
      </c>
      <c r="C1924" s="199">
        <f ca="1">IFERROR(__xludf.DUMMYFUNCTION("""COMPUTED_VALUE"""),8)</f>
        <v>8</v>
      </c>
      <c r="D1924" s="199" t="str">
        <f ca="1">IFERROR(__xludf.DUMMYFUNCTION("""COMPUTED_VALUE"""),"G")</f>
        <v>G</v>
      </c>
      <c r="E1924" s="202" t="str">
        <f ca="1">IFERROR(__xludf.DUMMYFUNCTION("""COMPUTED_VALUE"""),"F")</f>
        <v>F</v>
      </c>
      <c r="F1924" s="202" t="str">
        <f ca="1">IFERROR(__xludf.DUMMYFUNCTION("""COMPUTED_VALUE"""),"J")</f>
        <v>J</v>
      </c>
      <c r="G1924" s="202">
        <f ca="1">IFERROR(__xludf.DUMMYFUNCTION("""COMPUTED_VALUE"""),3)</f>
        <v>3</v>
      </c>
      <c r="H1924" s="206"/>
      <c r="I1924" s="206"/>
      <c r="J1924" s="206"/>
      <c r="K1924" s="206"/>
      <c r="L1924" s="206" t="str">
        <v/>
      </c>
      <c r="M1924" s="206" t="str">
        <v/>
      </c>
    </row>
    <row r="1925" spans="1:13" ht="14.4">
      <c r="A1925" s="199" t="str">
        <f ca="1">IFERROR(__xludf.DUMMYFUNCTION("""COMPUTED_VALUE"""),"SHR")</f>
        <v>SHR</v>
      </c>
      <c r="B1925" s="207" t="str">
        <f ca="1">IFERROR(__xludf.DUMMYFUNCTION("""COMPUTED_VALUE"""),"Kyle Aylward")</f>
        <v>Kyle Aylward</v>
      </c>
      <c r="C1925" s="199">
        <f ca="1">IFERROR(__xludf.DUMMYFUNCTION("""COMPUTED_VALUE"""),13)</f>
        <v>13</v>
      </c>
      <c r="D1925" s="199" t="str">
        <f ca="1">IFERROR(__xludf.DUMMYFUNCTION("""COMPUTED_VALUE"""),"B")</f>
        <v>B</v>
      </c>
      <c r="E1925" s="202" t="str">
        <f ca="1">IFERROR(__xludf.DUMMYFUNCTION("""COMPUTED_VALUE"""),"I")</f>
        <v>I</v>
      </c>
      <c r="F1925" s="202" t="str">
        <f ca="1">IFERROR(__xludf.DUMMYFUNCTION("""COMPUTED_VALUE"""),"S")</f>
        <v>S</v>
      </c>
      <c r="G1925" s="202">
        <f ca="1">IFERROR(__xludf.DUMMYFUNCTION("""COMPUTED_VALUE"""),3)</f>
        <v>3</v>
      </c>
      <c r="H1925" s="206"/>
      <c r="I1925" s="206">
        <v>92.2</v>
      </c>
      <c r="J1925" s="206"/>
      <c r="K1925" s="206" t="s">
        <v>121</v>
      </c>
      <c r="L1925" s="206" t="str">
        <v xml:space="preserve"> 92.2</v>
      </c>
      <c r="M1925" s="206" t="str">
        <v/>
      </c>
    </row>
    <row r="1926" spans="1:13" ht="14.4">
      <c r="A1926" s="199" t="str">
        <f ca="1">IFERROR(__xludf.DUMMYFUNCTION("""COMPUTED_VALUE"""),"SHR")</f>
        <v>SHR</v>
      </c>
      <c r="B1926" s="207" t="str">
        <f ca="1">IFERROR(__xludf.DUMMYFUNCTION("""COMPUTED_VALUE"""),"Matthew Heim")</f>
        <v>Matthew Heim</v>
      </c>
      <c r="C1926" s="199">
        <f ca="1">IFERROR(__xludf.DUMMYFUNCTION("""COMPUTED_VALUE"""),13)</f>
        <v>13</v>
      </c>
      <c r="D1926" s="199" t="str">
        <f ca="1">IFERROR(__xludf.DUMMYFUNCTION("""COMPUTED_VALUE"""),"B")</f>
        <v>B</v>
      </c>
      <c r="E1926" s="202" t="str">
        <f ca="1">IFERROR(__xludf.DUMMYFUNCTION("""COMPUTED_VALUE"""),"I")</f>
        <v>I</v>
      </c>
      <c r="F1926" s="202" t="str">
        <f ca="1">IFERROR(__xludf.DUMMYFUNCTION("""COMPUTED_VALUE"""),"S")</f>
        <v>S</v>
      </c>
      <c r="G1926" s="202">
        <f ca="1">IFERROR(__xludf.DUMMYFUNCTION("""COMPUTED_VALUE"""),3)</f>
        <v>3</v>
      </c>
      <c r="H1926" s="206"/>
      <c r="I1926" s="206">
        <v>117.5</v>
      </c>
      <c r="J1926" s="206"/>
      <c r="K1926" s="206" t="s">
        <v>121</v>
      </c>
      <c r="L1926" s="206" t="str">
        <v xml:space="preserve"> 117.5</v>
      </c>
      <c r="M1926" s="206" t="str">
        <v/>
      </c>
    </row>
    <row r="1927" spans="1:13" ht="14.4">
      <c r="A1927" s="199" t="str">
        <f ca="1">IFERROR(__xludf.DUMMYFUNCTION("""COMPUTED_VALUE"""),"SHR")</f>
        <v>SHR</v>
      </c>
      <c r="B1927" s="207" t="str">
        <f ca="1">IFERROR(__xludf.DUMMYFUNCTION("""COMPUTED_VALUE"""),"Caeli McIntosh")</f>
        <v>Caeli McIntosh</v>
      </c>
      <c r="C1927" s="199">
        <f ca="1">IFERROR(__xludf.DUMMYFUNCTION("""COMPUTED_VALUE"""),13)</f>
        <v>13</v>
      </c>
      <c r="D1927" s="199" t="str">
        <f ca="1">IFERROR(__xludf.DUMMYFUNCTION("""COMPUTED_VALUE"""),"G")</f>
        <v>G</v>
      </c>
      <c r="E1927" s="202" t="str">
        <f ca="1">IFERROR(__xludf.DUMMYFUNCTION("""COMPUTED_VALUE"""),"I")</f>
        <v>I</v>
      </c>
      <c r="F1927" s="202" t="str">
        <f ca="1">IFERROR(__xludf.DUMMYFUNCTION("""COMPUTED_VALUE"""),"S")</f>
        <v>S</v>
      </c>
      <c r="G1927" s="202">
        <f ca="1">IFERROR(__xludf.DUMMYFUNCTION("""COMPUTED_VALUE"""),3)</f>
        <v>3</v>
      </c>
      <c r="H1927" s="206">
        <v>104.5</v>
      </c>
      <c r="I1927" s="206"/>
      <c r="J1927" s="206" t="s">
        <v>121</v>
      </c>
      <c r="K1927" s="206"/>
      <c r="L1927" s="206" t="str">
        <v xml:space="preserve"> 104.5</v>
      </c>
      <c r="M1927" s="206" t="str">
        <v/>
      </c>
    </row>
    <row r="1928" spans="1:13" ht="14.4">
      <c r="A1928" s="199" t="str">
        <f ca="1">IFERROR(__xludf.DUMMYFUNCTION("""COMPUTED_VALUE"""),"SHR")</f>
        <v>SHR</v>
      </c>
      <c r="B1928" s="207" t="str">
        <f ca="1">IFERROR(__xludf.DUMMYFUNCTION("""COMPUTED_VALUE"""),"Chloe Kowalczyk")</f>
        <v>Chloe Kowalczyk</v>
      </c>
      <c r="C1928" s="199">
        <f ca="1">IFERROR(__xludf.DUMMYFUNCTION("""COMPUTED_VALUE"""),14)</f>
        <v>14</v>
      </c>
      <c r="D1928" s="199" t="str">
        <f ca="1">IFERROR(__xludf.DUMMYFUNCTION("""COMPUTED_VALUE"""),"G")</f>
        <v>G</v>
      </c>
      <c r="E1928" s="202" t="str">
        <f ca="1">IFERROR(__xludf.DUMMYFUNCTION("""COMPUTED_VALUE"""),"I")</f>
        <v>I</v>
      </c>
      <c r="F1928" s="202" t="str">
        <f ca="1">IFERROR(__xludf.DUMMYFUNCTION("""COMPUTED_VALUE"""),"S")</f>
        <v>S</v>
      </c>
      <c r="G1928" s="202">
        <f ca="1">IFERROR(__xludf.DUMMYFUNCTION("""COMPUTED_VALUE"""),3)</f>
        <v>3</v>
      </c>
      <c r="H1928" s="206">
        <v>106.8</v>
      </c>
      <c r="I1928" s="206"/>
      <c r="J1928" s="206" t="s">
        <v>121</v>
      </c>
      <c r="K1928" s="206"/>
      <c r="L1928" s="206" t="str">
        <v xml:space="preserve"> 106.8</v>
      </c>
      <c r="M1928" s="206" t="str">
        <v/>
      </c>
    </row>
    <row r="1929" spans="1:13" ht="14.4">
      <c r="A1929" s="199" t="str">
        <f ca="1">IFERROR(__xludf.DUMMYFUNCTION("""COMPUTED_VALUE"""),"SHR")</f>
        <v>SHR</v>
      </c>
      <c r="B1929" s="207" t="str">
        <f ca="1">IFERROR(__xludf.DUMMYFUNCTION("""COMPUTED_VALUE"""),"Chloe Richards")</f>
        <v>Chloe Richards</v>
      </c>
      <c r="C1929" s="199">
        <f ca="1">IFERROR(__xludf.DUMMYFUNCTION("""COMPUTED_VALUE"""),14)</f>
        <v>14</v>
      </c>
      <c r="D1929" s="199" t="str">
        <f ca="1">IFERROR(__xludf.DUMMYFUNCTION("""COMPUTED_VALUE"""),"G")</f>
        <v>G</v>
      </c>
      <c r="E1929" s="202" t="str">
        <f ca="1">IFERROR(__xludf.DUMMYFUNCTION("""COMPUTED_VALUE"""),"I")</f>
        <v>I</v>
      </c>
      <c r="F1929" s="202" t="str">
        <f ca="1">IFERROR(__xludf.DUMMYFUNCTION("""COMPUTED_VALUE"""),"S")</f>
        <v>S</v>
      </c>
      <c r="G1929" s="202">
        <f ca="1">IFERROR(__xludf.DUMMYFUNCTION("""COMPUTED_VALUE"""),3)</f>
        <v>3</v>
      </c>
      <c r="H1929" s="206">
        <v>137.4</v>
      </c>
      <c r="I1929" s="206"/>
      <c r="J1929" s="206" t="s">
        <v>121</v>
      </c>
      <c r="K1929" s="206"/>
      <c r="L1929" s="206" t="str">
        <v xml:space="preserve"> 137.4</v>
      </c>
      <c r="M1929" s="206" t="str">
        <v/>
      </c>
    </row>
    <row r="1930" spans="1:13" ht="14.4">
      <c r="A1930" s="199" t="str">
        <f ca="1">IFERROR(__xludf.DUMMYFUNCTION("""COMPUTED_VALUE"""),"SHR")</f>
        <v>SHR</v>
      </c>
      <c r="B1930" s="207" t="str">
        <f ca="1">IFERROR(__xludf.DUMMYFUNCTION("""COMPUTED_VALUE"""),"Courtney Weldon")</f>
        <v>Courtney Weldon</v>
      </c>
      <c r="C1930" s="199">
        <f ca="1">IFERROR(__xludf.DUMMYFUNCTION("""COMPUTED_VALUE"""),13)</f>
        <v>13</v>
      </c>
      <c r="D1930" s="199" t="str">
        <f ca="1">IFERROR(__xludf.DUMMYFUNCTION("""COMPUTED_VALUE"""),"G")</f>
        <v>G</v>
      </c>
      <c r="E1930" s="202" t="str">
        <f ca="1">IFERROR(__xludf.DUMMYFUNCTION("""COMPUTED_VALUE"""),"I")</f>
        <v>I</v>
      </c>
      <c r="F1930" s="202" t="str">
        <f ca="1">IFERROR(__xludf.DUMMYFUNCTION("""COMPUTED_VALUE"""),"S")</f>
        <v>S</v>
      </c>
      <c r="G1930" s="202">
        <f ca="1">IFERROR(__xludf.DUMMYFUNCTION("""COMPUTED_VALUE"""),3)</f>
        <v>3</v>
      </c>
      <c r="H1930" s="206">
        <v>102</v>
      </c>
      <c r="I1930" s="206"/>
      <c r="J1930" s="206" t="s">
        <v>121</v>
      </c>
      <c r="K1930" s="206"/>
      <c r="L1930" s="206" t="str">
        <v xml:space="preserve"> 102</v>
      </c>
      <c r="M1930" s="206" t="str">
        <v/>
      </c>
    </row>
    <row r="1931" spans="1:13" ht="14.4">
      <c r="A1931" s="199" t="str">
        <f ca="1">IFERROR(__xludf.DUMMYFUNCTION("""COMPUTED_VALUE"""),"SHR")</f>
        <v>SHR</v>
      </c>
      <c r="B1931" s="207" t="str">
        <f ca="1">IFERROR(__xludf.DUMMYFUNCTION("""COMPUTED_VALUE"""),"Emerson Feeley")</f>
        <v>Emerson Feeley</v>
      </c>
      <c r="C1931" s="199">
        <f ca="1">IFERROR(__xludf.DUMMYFUNCTION("""COMPUTED_VALUE"""),13)</f>
        <v>13</v>
      </c>
      <c r="D1931" s="199" t="str">
        <f ca="1">IFERROR(__xludf.DUMMYFUNCTION("""COMPUTED_VALUE"""),"G")</f>
        <v>G</v>
      </c>
      <c r="E1931" s="202" t="str">
        <f ca="1">IFERROR(__xludf.DUMMYFUNCTION("""COMPUTED_VALUE"""),"I")</f>
        <v>I</v>
      </c>
      <c r="F1931" s="202" t="str">
        <f ca="1">IFERROR(__xludf.DUMMYFUNCTION("""COMPUTED_VALUE"""),"S")</f>
        <v>S</v>
      </c>
      <c r="G1931" s="202">
        <f ca="1">IFERROR(__xludf.DUMMYFUNCTION("""COMPUTED_VALUE"""),3)</f>
        <v>3</v>
      </c>
      <c r="H1931" s="206"/>
      <c r="I1931" s="206"/>
      <c r="J1931" s="206"/>
      <c r="K1931" s="206"/>
      <c r="L1931" s="206" t="str">
        <v/>
      </c>
      <c r="M1931" s="206" t="str">
        <v/>
      </c>
    </row>
    <row r="1932" spans="1:13" ht="14.4">
      <c r="A1932" s="199" t="str">
        <f ca="1">IFERROR(__xludf.DUMMYFUNCTION("""COMPUTED_VALUE"""),"SHR")</f>
        <v>SHR</v>
      </c>
      <c r="B1932" s="207" t="str">
        <f ca="1">IFERROR(__xludf.DUMMYFUNCTION("""COMPUTED_VALUE"""),"Emma Redman")</f>
        <v>Emma Redman</v>
      </c>
      <c r="C1932" s="199">
        <f ca="1">IFERROR(__xludf.DUMMYFUNCTION("""COMPUTED_VALUE"""),14)</f>
        <v>14</v>
      </c>
      <c r="D1932" s="199" t="str">
        <f ca="1">IFERROR(__xludf.DUMMYFUNCTION("""COMPUTED_VALUE"""),"G")</f>
        <v>G</v>
      </c>
      <c r="E1932" s="202" t="str">
        <f ca="1">IFERROR(__xludf.DUMMYFUNCTION("""COMPUTED_VALUE"""),"I")</f>
        <v>I</v>
      </c>
      <c r="F1932" s="202" t="str">
        <f ca="1">IFERROR(__xludf.DUMMYFUNCTION("""COMPUTED_VALUE"""),"S")</f>
        <v>S</v>
      </c>
      <c r="G1932" s="202">
        <f ca="1">IFERROR(__xludf.DUMMYFUNCTION("""COMPUTED_VALUE"""),3)</f>
        <v>3</v>
      </c>
      <c r="H1932" s="206">
        <v>142.15</v>
      </c>
      <c r="I1932" s="206"/>
      <c r="J1932" s="206" t="s">
        <v>121</v>
      </c>
      <c r="K1932" s="206"/>
      <c r="L1932" s="206" t="str">
        <v xml:space="preserve"> 142.15</v>
      </c>
      <c r="M1932" s="206" t="str">
        <v/>
      </c>
    </row>
    <row r="1933" spans="1:13" ht="14.4">
      <c r="A1933" s="199" t="str">
        <f ca="1">IFERROR(__xludf.DUMMYFUNCTION("""COMPUTED_VALUE"""),"SHR")</f>
        <v>SHR</v>
      </c>
      <c r="B1933" s="207" t="str">
        <f ca="1">IFERROR(__xludf.DUMMYFUNCTION("""COMPUTED_VALUE"""),"Brody Schrecker")</f>
        <v>Brody Schrecker</v>
      </c>
      <c r="C1933" s="199">
        <f ca="1">IFERROR(__xludf.DUMMYFUNCTION("""COMPUTED_VALUE"""),12)</f>
        <v>12</v>
      </c>
      <c r="D1933" s="199" t="str">
        <f ca="1">IFERROR(__xludf.DUMMYFUNCTION("""COMPUTED_VALUE"""),"B")</f>
        <v>B</v>
      </c>
      <c r="E1933" s="202" t="str">
        <f ca="1">IFERROR(__xludf.DUMMYFUNCTION("""COMPUTED_VALUE"""),"J")</f>
        <v>J</v>
      </c>
      <c r="F1933" s="202" t="str">
        <f ca="1">IFERROR(__xludf.DUMMYFUNCTION("""COMPUTED_VALUE"""),"I")</f>
        <v>I</v>
      </c>
      <c r="G1933" s="202">
        <f ca="1">IFERROR(__xludf.DUMMYFUNCTION("""COMPUTED_VALUE"""),3)</f>
        <v>3</v>
      </c>
      <c r="H1933" s="206"/>
      <c r="I1933" s="206">
        <v>99.35</v>
      </c>
      <c r="J1933" s="206"/>
      <c r="K1933" s="206" t="s">
        <v>121</v>
      </c>
      <c r="L1933" s="206" t="str">
        <v xml:space="preserve"> 99.35</v>
      </c>
      <c r="M1933" s="206" t="str">
        <v/>
      </c>
    </row>
    <row r="1934" spans="1:13" ht="14.4">
      <c r="A1934" s="199" t="str">
        <f ca="1">IFERROR(__xludf.DUMMYFUNCTION("""COMPUTED_VALUE"""),"SHR")</f>
        <v>SHR</v>
      </c>
      <c r="B1934" s="207" t="str">
        <f ca="1">IFERROR(__xludf.DUMMYFUNCTION("""COMPUTED_VALUE"""),"CJ Silva")</f>
        <v>CJ Silva</v>
      </c>
      <c r="C1934" s="199">
        <f ca="1">IFERROR(__xludf.DUMMYFUNCTION("""COMPUTED_VALUE"""),11)</f>
        <v>11</v>
      </c>
      <c r="D1934" s="199" t="str">
        <f ca="1">IFERROR(__xludf.DUMMYFUNCTION("""COMPUTED_VALUE"""),"B")</f>
        <v>B</v>
      </c>
      <c r="E1934" s="202" t="str">
        <f ca="1">IFERROR(__xludf.DUMMYFUNCTION("""COMPUTED_VALUE"""),"J")</f>
        <v>J</v>
      </c>
      <c r="F1934" s="202" t="str">
        <f ca="1">IFERROR(__xludf.DUMMYFUNCTION("""COMPUTED_VALUE"""),"I")</f>
        <v>I</v>
      </c>
      <c r="G1934" s="202">
        <f ca="1">IFERROR(__xludf.DUMMYFUNCTION("""COMPUTED_VALUE"""),3)</f>
        <v>3</v>
      </c>
      <c r="H1934" s="206"/>
      <c r="I1934" s="206">
        <v>82.05</v>
      </c>
      <c r="J1934" s="206"/>
      <c r="K1934" s="206" t="s">
        <v>121</v>
      </c>
      <c r="L1934" s="206" t="str">
        <v xml:space="preserve"> 82.05</v>
      </c>
      <c r="M1934" s="206" t="str">
        <v/>
      </c>
    </row>
    <row r="1935" spans="1:13" ht="14.4">
      <c r="A1935" s="199" t="str">
        <f ca="1">IFERROR(__xludf.DUMMYFUNCTION("""COMPUTED_VALUE"""),"SHR")</f>
        <v>SHR</v>
      </c>
      <c r="B1935" s="207" t="str">
        <f ca="1">IFERROR(__xludf.DUMMYFUNCTION("""COMPUTED_VALUE"""),"Diego Syar")</f>
        <v>Diego Syar</v>
      </c>
      <c r="C1935" s="199">
        <f ca="1">IFERROR(__xludf.DUMMYFUNCTION("""COMPUTED_VALUE"""),12)</f>
        <v>12</v>
      </c>
      <c r="D1935" s="199" t="str">
        <f ca="1">IFERROR(__xludf.DUMMYFUNCTION("""COMPUTED_VALUE"""),"B")</f>
        <v>B</v>
      </c>
      <c r="E1935" s="202" t="str">
        <f ca="1">IFERROR(__xludf.DUMMYFUNCTION("""COMPUTED_VALUE"""),"J")</f>
        <v>J</v>
      </c>
      <c r="F1935" s="202" t="str">
        <f ca="1">IFERROR(__xludf.DUMMYFUNCTION("""COMPUTED_VALUE"""),"I")</f>
        <v>I</v>
      </c>
      <c r="G1935" s="202">
        <f ca="1">IFERROR(__xludf.DUMMYFUNCTION("""COMPUTED_VALUE"""),3)</f>
        <v>3</v>
      </c>
      <c r="H1935" s="206"/>
      <c r="I1935" s="206">
        <v>86.9</v>
      </c>
      <c r="J1935" s="206"/>
      <c r="K1935" s="206" t="s">
        <v>121</v>
      </c>
      <c r="L1935" s="206" t="str">
        <v xml:space="preserve"> 86.9</v>
      </c>
      <c r="M1935" s="206" t="str">
        <v/>
      </c>
    </row>
    <row r="1936" spans="1:13" ht="14.4">
      <c r="A1936" s="199" t="str">
        <f ca="1">IFERROR(__xludf.DUMMYFUNCTION("""COMPUTED_VALUE"""),"SHR")</f>
        <v>SHR</v>
      </c>
      <c r="B1936" s="207" t="str">
        <f ca="1">IFERROR(__xludf.DUMMYFUNCTION("""COMPUTED_VALUE"""),"Elijah Garces-Foley")</f>
        <v>Elijah Garces-Foley</v>
      </c>
      <c r="C1936" s="199">
        <f ca="1">IFERROR(__xludf.DUMMYFUNCTION("""COMPUTED_VALUE"""),12)</f>
        <v>12</v>
      </c>
      <c r="D1936" s="199" t="str">
        <f ca="1">IFERROR(__xludf.DUMMYFUNCTION("""COMPUTED_VALUE"""),"B")</f>
        <v>B</v>
      </c>
      <c r="E1936" s="202" t="str">
        <f ca="1">IFERROR(__xludf.DUMMYFUNCTION("""COMPUTED_VALUE"""),"J")</f>
        <v>J</v>
      </c>
      <c r="F1936" s="202" t="str">
        <f ca="1">IFERROR(__xludf.DUMMYFUNCTION("""COMPUTED_VALUE"""),"I")</f>
        <v>I</v>
      </c>
      <c r="G1936" s="202">
        <f ca="1">IFERROR(__xludf.DUMMYFUNCTION("""COMPUTED_VALUE"""),3)</f>
        <v>3</v>
      </c>
      <c r="H1936" s="206"/>
      <c r="I1936" s="206">
        <v>98.15</v>
      </c>
      <c r="J1936" s="206"/>
      <c r="K1936" s="206" t="s">
        <v>121</v>
      </c>
      <c r="L1936" s="206" t="str">
        <v xml:space="preserve"> 98.15</v>
      </c>
      <c r="M1936" s="206" t="str">
        <v/>
      </c>
    </row>
    <row r="1937" spans="1:13" ht="14.4">
      <c r="A1937" s="199" t="str">
        <f ca="1">IFERROR(__xludf.DUMMYFUNCTION("""COMPUTED_VALUE"""),"SHR")</f>
        <v>SHR</v>
      </c>
      <c r="B1937" s="207" t="str">
        <f ca="1">IFERROR(__xludf.DUMMYFUNCTION("""COMPUTED_VALUE"""),"Forest Archambault")</f>
        <v>Forest Archambault</v>
      </c>
      <c r="C1937" s="199">
        <f ca="1">IFERROR(__xludf.DUMMYFUNCTION("""COMPUTED_VALUE"""),12)</f>
        <v>12</v>
      </c>
      <c r="D1937" s="199" t="str">
        <f ca="1">IFERROR(__xludf.DUMMYFUNCTION("""COMPUTED_VALUE"""),"B")</f>
        <v>B</v>
      </c>
      <c r="E1937" s="202" t="str">
        <f ca="1">IFERROR(__xludf.DUMMYFUNCTION("""COMPUTED_VALUE"""),"J")</f>
        <v>J</v>
      </c>
      <c r="F1937" s="202" t="str">
        <f ca="1">IFERROR(__xludf.DUMMYFUNCTION("""COMPUTED_VALUE"""),"I")</f>
        <v>I</v>
      </c>
      <c r="G1937" s="202">
        <f ca="1">IFERROR(__xludf.DUMMYFUNCTION("""COMPUTED_VALUE"""),3)</f>
        <v>3</v>
      </c>
      <c r="H1937" s="206"/>
      <c r="I1937" s="206">
        <v>120.05</v>
      </c>
      <c r="J1937" s="206"/>
      <c r="K1937" s="206" t="s">
        <v>123</v>
      </c>
      <c r="L1937" s="206" t="str">
        <v xml:space="preserve"> -120.05</v>
      </c>
      <c r="M1937" s="206" t="str">
        <v>^</v>
      </c>
    </row>
    <row r="1938" spans="1:13" ht="14.4">
      <c r="A1938" s="199" t="str">
        <f ca="1">IFERROR(__xludf.DUMMYFUNCTION("""COMPUTED_VALUE"""),"SHR")</f>
        <v>SHR</v>
      </c>
      <c r="B1938" s="207" t="str">
        <f ca="1">IFERROR(__xludf.DUMMYFUNCTION("""COMPUTED_VALUE"""),"Rhys Kowalczyk")</f>
        <v>Rhys Kowalczyk</v>
      </c>
      <c r="C1938" s="199">
        <f ca="1">IFERROR(__xludf.DUMMYFUNCTION("""COMPUTED_VALUE"""),12)</f>
        <v>12</v>
      </c>
      <c r="D1938" s="199" t="str">
        <f ca="1">IFERROR(__xludf.DUMMYFUNCTION("""COMPUTED_VALUE"""),"B")</f>
        <v>B</v>
      </c>
      <c r="E1938" s="202" t="str">
        <f ca="1">IFERROR(__xludf.DUMMYFUNCTION("""COMPUTED_VALUE"""),"J")</f>
        <v>J</v>
      </c>
      <c r="F1938" s="202" t="str">
        <f ca="1">IFERROR(__xludf.DUMMYFUNCTION("""COMPUTED_VALUE"""),"I")</f>
        <v>I</v>
      </c>
      <c r="G1938" s="202">
        <f ca="1">IFERROR(__xludf.DUMMYFUNCTION("""COMPUTED_VALUE"""),3)</f>
        <v>3</v>
      </c>
      <c r="H1938" s="206"/>
      <c r="I1938" s="206">
        <v>69.099999999999994</v>
      </c>
      <c r="J1938" s="206"/>
      <c r="K1938" s="206" t="s">
        <v>121</v>
      </c>
      <c r="L1938" s="206" t="str">
        <v xml:space="preserve"> 69.1</v>
      </c>
      <c r="M1938" s="206" t="str">
        <v/>
      </c>
    </row>
    <row r="1939" spans="1:13" ht="14.4">
      <c r="A1939" s="199" t="str">
        <f ca="1">IFERROR(__xludf.DUMMYFUNCTION("""COMPUTED_VALUE"""),"SHR")</f>
        <v>SHR</v>
      </c>
      <c r="B1939" s="207" t="str">
        <f ca="1">IFERROR(__xludf.DUMMYFUNCTION("""COMPUTED_VALUE"""),"Anna Fitzgerald")</f>
        <v>Anna Fitzgerald</v>
      </c>
      <c r="C1939" s="199">
        <f ca="1">IFERROR(__xludf.DUMMYFUNCTION("""COMPUTED_VALUE"""),12)</f>
        <v>12</v>
      </c>
      <c r="D1939" s="199" t="str">
        <f ca="1">IFERROR(__xludf.DUMMYFUNCTION("""COMPUTED_VALUE"""),"G")</f>
        <v>G</v>
      </c>
      <c r="E1939" s="202" t="str">
        <f ca="1">IFERROR(__xludf.DUMMYFUNCTION("""COMPUTED_VALUE"""),"J")</f>
        <v>J</v>
      </c>
      <c r="F1939" s="202" t="str">
        <f ca="1">IFERROR(__xludf.DUMMYFUNCTION("""COMPUTED_VALUE"""),"I")</f>
        <v>I</v>
      </c>
      <c r="G1939" s="202">
        <f ca="1">IFERROR(__xludf.DUMMYFUNCTION("""COMPUTED_VALUE"""),3)</f>
        <v>3</v>
      </c>
      <c r="H1939" s="206">
        <v>92</v>
      </c>
      <c r="I1939" s="206"/>
      <c r="J1939" s="206" t="s">
        <v>121</v>
      </c>
      <c r="K1939" s="206"/>
      <c r="L1939" s="206" t="str">
        <v xml:space="preserve"> 92</v>
      </c>
      <c r="M1939" s="206" t="str">
        <v/>
      </c>
    </row>
    <row r="1940" spans="1:13" ht="14.4">
      <c r="A1940" s="199" t="str">
        <f ca="1">IFERROR(__xludf.DUMMYFUNCTION("""COMPUTED_VALUE"""),"SHR")</f>
        <v>SHR</v>
      </c>
      <c r="B1940" s="207" t="str">
        <f ca="1">IFERROR(__xludf.DUMMYFUNCTION("""COMPUTED_VALUE"""),"Charlotte Smith")</f>
        <v>Charlotte Smith</v>
      </c>
      <c r="C1940" s="199">
        <f ca="1">IFERROR(__xludf.DUMMYFUNCTION("""COMPUTED_VALUE"""),11)</f>
        <v>11</v>
      </c>
      <c r="D1940" s="199" t="str">
        <f ca="1">IFERROR(__xludf.DUMMYFUNCTION("""COMPUTED_VALUE"""),"G")</f>
        <v>G</v>
      </c>
      <c r="E1940" s="202" t="str">
        <f ca="1">IFERROR(__xludf.DUMMYFUNCTION("""COMPUTED_VALUE"""),"J")</f>
        <v>J</v>
      </c>
      <c r="F1940" s="202" t="str">
        <f ca="1">IFERROR(__xludf.DUMMYFUNCTION("""COMPUTED_VALUE"""),"I")</f>
        <v>I</v>
      </c>
      <c r="G1940" s="202">
        <f ca="1">IFERROR(__xludf.DUMMYFUNCTION("""COMPUTED_VALUE"""),3)</f>
        <v>3</v>
      </c>
      <c r="H1940" s="206"/>
      <c r="I1940" s="206"/>
      <c r="J1940" s="206"/>
      <c r="K1940" s="206"/>
      <c r="L1940" s="206" t="str">
        <v/>
      </c>
      <c r="M1940" s="206" t="str">
        <v/>
      </c>
    </row>
    <row r="1941" spans="1:13" ht="14.4">
      <c r="A1941" s="199" t="str">
        <f ca="1">IFERROR(__xludf.DUMMYFUNCTION("""COMPUTED_VALUE"""),"SHR")</f>
        <v>SHR</v>
      </c>
      <c r="B1941" s="207" t="str">
        <f ca="1">IFERROR(__xludf.DUMMYFUNCTION("""COMPUTED_VALUE"""),"Juliet Adye")</f>
        <v>Juliet Adye</v>
      </c>
      <c r="C1941" s="199">
        <f ca="1">IFERROR(__xludf.DUMMYFUNCTION("""COMPUTED_VALUE"""),12)</f>
        <v>12</v>
      </c>
      <c r="D1941" s="199" t="str">
        <f ca="1">IFERROR(__xludf.DUMMYFUNCTION("""COMPUTED_VALUE"""),"G")</f>
        <v>G</v>
      </c>
      <c r="E1941" s="202" t="str">
        <f ca="1">IFERROR(__xludf.DUMMYFUNCTION("""COMPUTED_VALUE"""),"J")</f>
        <v>J</v>
      </c>
      <c r="F1941" s="202" t="str">
        <f ca="1">IFERROR(__xludf.DUMMYFUNCTION("""COMPUTED_VALUE"""),"I")</f>
        <v>I</v>
      </c>
      <c r="G1941" s="202">
        <f ca="1">IFERROR(__xludf.DUMMYFUNCTION("""COMPUTED_VALUE"""),3)</f>
        <v>3</v>
      </c>
      <c r="H1941" s="206"/>
      <c r="I1941" s="206"/>
      <c r="J1941" s="206"/>
      <c r="K1941" s="206"/>
      <c r="L1941" s="206" t="str">
        <v/>
      </c>
      <c r="M1941" s="206" t="str">
        <v/>
      </c>
    </row>
    <row r="1942" spans="1:13" ht="14.4">
      <c r="A1942" s="199" t="str">
        <f ca="1">IFERROR(__xludf.DUMMYFUNCTION("""COMPUTED_VALUE"""),"SHR")</f>
        <v>SHR</v>
      </c>
      <c r="B1942" s="207" t="str">
        <f ca="1">IFERROR(__xludf.DUMMYFUNCTION("""COMPUTED_VALUE"""),"Kalyn O'Hara")</f>
        <v>Kalyn O'Hara</v>
      </c>
      <c r="C1942" s="199">
        <f ca="1">IFERROR(__xludf.DUMMYFUNCTION("""COMPUTED_VALUE"""),11)</f>
        <v>11</v>
      </c>
      <c r="D1942" s="199" t="str">
        <f ca="1">IFERROR(__xludf.DUMMYFUNCTION("""COMPUTED_VALUE"""),"G")</f>
        <v>G</v>
      </c>
      <c r="E1942" s="202" t="str">
        <f ca="1">IFERROR(__xludf.DUMMYFUNCTION("""COMPUTED_VALUE"""),"J")</f>
        <v>J</v>
      </c>
      <c r="F1942" s="202" t="str">
        <f ca="1">IFERROR(__xludf.DUMMYFUNCTION("""COMPUTED_VALUE"""),"I")</f>
        <v>I</v>
      </c>
      <c r="G1942" s="202">
        <f ca="1">IFERROR(__xludf.DUMMYFUNCTION("""COMPUTED_VALUE"""),3)</f>
        <v>3</v>
      </c>
      <c r="H1942" s="206">
        <v>96.9</v>
      </c>
      <c r="I1942" s="206"/>
      <c r="J1942" s="206" t="s">
        <v>121</v>
      </c>
      <c r="K1942" s="206"/>
      <c r="L1942" s="206" t="str">
        <v xml:space="preserve"> 96.9</v>
      </c>
      <c r="M1942" s="206" t="str">
        <v/>
      </c>
    </row>
    <row r="1943" spans="1:13" ht="14.4">
      <c r="A1943" s="199" t="str">
        <f ca="1">IFERROR(__xludf.DUMMYFUNCTION("""COMPUTED_VALUE"""),"SHR")</f>
        <v>SHR</v>
      </c>
      <c r="B1943" s="207" t="str">
        <f ca="1">IFERROR(__xludf.DUMMYFUNCTION("""COMPUTED_VALUE"""),"Louise Fitzgerald")</f>
        <v>Louise Fitzgerald</v>
      </c>
      <c r="C1943" s="199">
        <f ca="1">IFERROR(__xludf.DUMMYFUNCTION("""COMPUTED_VALUE"""),12)</f>
        <v>12</v>
      </c>
      <c r="D1943" s="199" t="str">
        <f ca="1">IFERROR(__xludf.DUMMYFUNCTION("""COMPUTED_VALUE"""),"G")</f>
        <v>G</v>
      </c>
      <c r="E1943" s="202" t="str">
        <f ca="1">IFERROR(__xludf.DUMMYFUNCTION("""COMPUTED_VALUE"""),"J")</f>
        <v>J</v>
      </c>
      <c r="F1943" s="202" t="str">
        <f ca="1">IFERROR(__xludf.DUMMYFUNCTION("""COMPUTED_VALUE"""),"I")</f>
        <v>I</v>
      </c>
      <c r="G1943" s="202">
        <f ca="1">IFERROR(__xludf.DUMMYFUNCTION("""COMPUTED_VALUE"""),3)</f>
        <v>3</v>
      </c>
      <c r="H1943" s="206">
        <v>80.349999999999994</v>
      </c>
      <c r="I1943" s="206"/>
      <c r="J1943" s="206" t="s">
        <v>121</v>
      </c>
      <c r="K1943" s="206"/>
      <c r="L1943" s="206" t="str">
        <v xml:space="preserve"> 80.35</v>
      </c>
      <c r="M1943" s="206" t="str">
        <v/>
      </c>
    </row>
    <row r="1944" spans="1:13" ht="14.4">
      <c r="A1944" s="199" t="str">
        <f ca="1">IFERROR(__xludf.DUMMYFUNCTION("""COMPUTED_VALUE"""),"SHR")</f>
        <v>SHR</v>
      </c>
      <c r="B1944" s="207" t="str">
        <f ca="1">IFERROR(__xludf.DUMMYFUNCTION("""COMPUTED_VALUE"""),"Lucy Barker")</f>
        <v>Lucy Barker</v>
      </c>
      <c r="C1944" s="199">
        <f ca="1">IFERROR(__xludf.DUMMYFUNCTION("""COMPUTED_VALUE"""),11)</f>
        <v>11</v>
      </c>
      <c r="D1944" s="199" t="str">
        <f ca="1">IFERROR(__xludf.DUMMYFUNCTION("""COMPUTED_VALUE"""),"G")</f>
        <v>G</v>
      </c>
      <c r="E1944" s="202" t="str">
        <f ca="1">IFERROR(__xludf.DUMMYFUNCTION("""COMPUTED_VALUE"""),"J")</f>
        <v>J</v>
      </c>
      <c r="F1944" s="202" t="str">
        <f ca="1">IFERROR(__xludf.DUMMYFUNCTION("""COMPUTED_VALUE"""),"I")</f>
        <v>I</v>
      </c>
      <c r="G1944" s="202">
        <f ca="1">IFERROR(__xludf.DUMMYFUNCTION("""COMPUTED_VALUE"""),3)</f>
        <v>3</v>
      </c>
      <c r="H1944" s="206"/>
      <c r="I1944" s="206"/>
      <c r="J1944" s="206"/>
      <c r="K1944" s="206"/>
      <c r="L1944" s="206" t="str">
        <v/>
      </c>
      <c r="M1944" s="206" t="str">
        <v/>
      </c>
    </row>
    <row r="1945" spans="1:13" ht="14.4">
      <c r="A1945" s="199" t="str">
        <f ca="1">IFERROR(__xludf.DUMMYFUNCTION("""COMPUTED_VALUE"""),"SHR")</f>
        <v>SHR</v>
      </c>
      <c r="B1945" s="207" t="str">
        <f ca="1">IFERROR(__xludf.DUMMYFUNCTION("""COMPUTED_VALUE"""),"Parker Rice")</f>
        <v>Parker Rice</v>
      </c>
      <c r="C1945" s="199">
        <f ca="1">IFERROR(__xludf.DUMMYFUNCTION("""COMPUTED_VALUE"""),15)</f>
        <v>15</v>
      </c>
      <c r="D1945" s="199" t="str">
        <f ca="1">IFERROR(__xludf.DUMMYFUNCTION("""COMPUTED_VALUE"""),"B")</f>
        <v>B</v>
      </c>
      <c r="E1945" s="202" t="str">
        <f ca="1">IFERROR(__xludf.DUMMYFUNCTION("""COMPUTED_VALUE"""),"S")</f>
        <v>S</v>
      </c>
      <c r="F1945" s="202" t="str">
        <f ca="1">IFERROR(__xludf.DUMMYFUNCTION("""COMPUTED_VALUE"""),"S")</f>
        <v>S</v>
      </c>
      <c r="G1945" s="202">
        <f ca="1">IFERROR(__xludf.DUMMYFUNCTION("""COMPUTED_VALUE"""),3)</f>
        <v>3</v>
      </c>
      <c r="H1945" s="206"/>
      <c r="I1945" s="206">
        <v>153.4</v>
      </c>
      <c r="J1945" s="206"/>
      <c r="K1945" s="206" t="s">
        <v>121</v>
      </c>
      <c r="L1945" s="206" t="str">
        <v xml:space="preserve"> 153.4</v>
      </c>
      <c r="M1945" s="206" t="str">
        <v/>
      </c>
    </row>
    <row r="1946" spans="1:13" ht="14.4">
      <c r="A1946" s="199" t="str">
        <f ca="1">IFERROR(__xludf.DUMMYFUNCTION("""COMPUTED_VALUE"""),"SHR")</f>
        <v>SHR</v>
      </c>
      <c r="B1946" s="207" t="str">
        <f ca="1">IFERROR(__xludf.DUMMYFUNCTION("""COMPUTED_VALUE"""),"Ginger Richards")</f>
        <v>Ginger Richards</v>
      </c>
      <c r="C1946" s="199">
        <f ca="1">IFERROR(__xludf.DUMMYFUNCTION("""COMPUTED_VALUE"""),16)</f>
        <v>16</v>
      </c>
      <c r="D1946" s="199" t="str">
        <f ca="1">IFERROR(__xludf.DUMMYFUNCTION("""COMPUTED_VALUE"""),"G")</f>
        <v>G</v>
      </c>
      <c r="E1946" s="202" t="str">
        <f ca="1">IFERROR(__xludf.DUMMYFUNCTION("""COMPUTED_VALUE"""),"S")</f>
        <v>S</v>
      </c>
      <c r="F1946" s="202" t="str">
        <f ca="1">IFERROR(__xludf.DUMMYFUNCTION("""COMPUTED_VALUE"""),"S")</f>
        <v>S</v>
      </c>
      <c r="G1946" s="202">
        <f ca="1">IFERROR(__xludf.DUMMYFUNCTION("""COMPUTED_VALUE"""),3)</f>
        <v>3</v>
      </c>
      <c r="H1946" s="206">
        <v>205.3</v>
      </c>
      <c r="I1946" s="206"/>
      <c r="J1946" s="206" t="s">
        <v>121</v>
      </c>
      <c r="K1946" s="206"/>
      <c r="L1946" s="206" t="str">
        <v xml:space="preserve"> 205.3</v>
      </c>
      <c r="M1946" s="206" t="str">
        <v/>
      </c>
    </row>
    <row r="1947" spans="1:13" ht="14.4">
      <c r="A1947" s="199" t="str">
        <f ca="1">IFERROR(__xludf.DUMMYFUNCTION("""COMPUTED_VALUE"""),"SHR")</f>
        <v>SHR</v>
      </c>
      <c r="B1947" s="207" t="str">
        <f ca="1">IFERROR(__xludf.DUMMYFUNCTION("""COMPUTED_VALUE"""),"Mia Korin")</f>
        <v>Mia Korin</v>
      </c>
      <c r="C1947" s="199">
        <f ca="1">IFERROR(__xludf.DUMMYFUNCTION("""COMPUTED_VALUE"""),15)</f>
        <v>15</v>
      </c>
      <c r="D1947" s="199" t="str">
        <f ca="1">IFERROR(__xludf.DUMMYFUNCTION("""COMPUTED_VALUE"""),"G")</f>
        <v>G</v>
      </c>
      <c r="E1947" s="202" t="str">
        <f ca="1">IFERROR(__xludf.DUMMYFUNCTION("""COMPUTED_VALUE"""),"S")</f>
        <v>S</v>
      </c>
      <c r="F1947" s="202" t="str">
        <f ca="1">IFERROR(__xludf.DUMMYFUNCTION("""COMPUTED_VALUE"""),"S")</f>
        <v>S</v>
      </c>
      <c r="G1947" s="202">
        <f ca="1">IFERROR(__xludf.DUMMYFUNCTION("""COMPUTED_VALUE"""),3)</f>
        <v>3</v>
      </c>
      <c r="H1947" s="206">
        <v>149.1</v>
      </c>
      <c r="I1947" s="206"/>
      <c r="J1947" s="206" t="s">
        <v>121</v>
      </c>
      <c r="K1947" s="206"/>
      <c r="L1947" s="206" t="str">
        <v xml:space="preserve"> 149.1</v>
      </c>
      <c r="M1947" s="206" t="str">
        <v/>
      </c>
    </row>
    <row r="1948" spans="1:13" ht="14.4">
      <c r="A1948" s="199" t="str">
        <f ca="1">IFERROR(__xludf.DUMMYFUNCTION("""COMPUTED_VALUE"""),"SHR")</f>
        <v>SHR</v>
      </c>
      <c r="B1948" s="207" t="str">
        <f ca="1">IFERROR(__xludf.DUMMYFUNCTION("""COMPUTED_VALUE"""),"Ocean Archambault")</f>
        <v>Ocean Archambault</v>
      </c>
      <c r="C1948" s="199">
        <f ca="1">IFERROR(__xludf.DUMMYFUNCTION("""COMPUTED_VALUE"""),15)</f>
        <v>15</v>
      </c>
      <c r="D1948" s="199" t="str">
        <f ca="1">IFERROR(__xludf.DUMMYFUNCTION("""COMPUTED_VALUE"""),"G")</f>
        <v>G</v>
      </c>
      <c r="E1948" s="202" t="str">
        <f ca="1">IFERROR(__xludf.DUMMYFUNCTION("""COMPUTED_VALUE"""),"S")</f>
        <v>S</v>
      </c>
      <c r="F1948" s="202" t="str">
        <f ca="1">IFERROR(__xludf.DUMMYFUNCTION("""COMPUTED_VALUE"""),"S")</f>
        <v>S</v>
      </c>
      <c r="G1948" s="202">
        <f ca="1">IFERROR(__xludf.DUMMYFUNCTION("""COMPUTED_VALUE"""),3)</f>
        <v>3</v>
      </c>
      <c r="H1948" s="206">
        <v>174.45</v>
      </c>
      <c r="I1948" s="206"/>
      <c r="J1948" s="206" t="s">
        <v>121</v>
      </c>
      <c r="K1948" s="206"/>
      <c r="L1948" s="206" t="str">
        <v xml:space="preserve"> 174.45</v>
      </c>
      <c r="M1948" s="206" t="str">
        <v/>
      </c>
    </row>
    <row r="1949" spans="1:13" ht="14.4">
      <c r="A1949" s="199" t="str">
        <f ca="1">IFERROR(__xludf.DUMMYFUNCTION("""COMPUTED_VALUE"""),"SR")</f>
        <v>SR</v>
      </c>
      <c r="B1949" s="207" t="str">
        <f ca="1">IFERROR(__xludf.DUMMYFUNCTION("""COMPUTED_VALUE"""),"Alden Meholic")</f>
        <v>Alden Meholic</v>
      </c>
      <c r="C1949" s="199">
        <f ca="1">IFERROR(__xludf.DUMMYFUNCTION("""COMPUTED_VALUE"""),10)</f>
        <v>10</v>
      </c>
      <c r="D1949" s="199" t="str">
        <f ca="1">IFERROR(__xludf.DUMMYFUNCTION("""COMPUTED_VALUE"""),"B")</f>
        <v>B</v>
      </c>
      <c r="E1949" s="202" t="str">
        <f ca="1">IFERROR(__xludf.DUMMYFUNCTION("""COMPUTED_VALUE"""),"F")</f>
        <v>F</v>
      </c>
      <c r="F1949" s="202" t="str">
        <f ca="1">IFERROR(__xludf.DUMMYFUNCTION("""COMPUTED_VALUE"""),"J")</f>
        <v>J</v>
      </c>
      <c r="G1949" s="202">
        <f ca="1">IFERROR(__xludf.DUMMYFUNCTION("""COMPUTED_VALUE"""),1)</f>
        <v>1</v>
      </c>
      <c r="H1949" s="206"/>
      <c r="I1949" s="206">
        <v>42.2</v>
      </c>
      <c r="J1949" s="206"/>
      <c r="K1949" s="206" t="s">
        <v>121</v>
      </c>
      <c r="L1949" s="206" t="str">
        <v xml:space="preserve"> 42.2</v>
      </c>
      <c r="M1949" s="206" t="str">
        <v/>
      </c>
    </row>
    <row r="1950" spans="1:13" ht="14.4">
      <c r="A1950" s="199" t="str">
        <f ca="1">IFERROR(__xludf.DUMMYFUNCTION("""COMPUTED_VALUE"""),"SR")</f>
        <v>SR</v>
      </c>
      <c r="B1950" s="207" t="str">
        <f ca="1">IFERROR(__xludf.DUMMYFUNCTION("""COMPUTED_VALUE"""),"Bryan Markey")</f>
        <v>Bryan Markey</v>
      </c>
      <c r="C1950" s="199">
        <f ca="1">IFERROR(__xludf.DUMMYFUNCTION("""COMPUTED_VALUE"""),10)</f>
        <v>10</v>
      </c>
      <c r="D1950" s="199" t="str">
        <f ca="1">IFERROR(__xludf.DUMMYFUNCTION("""COMPUTED_VALUE"""),"B")</f>
        <v>B</v>
      </c>
      <c r="E1950" s="202" t="str">
        <f ca="1">IFERROR(__xludf.DUMMYFUNCTION("""COMPUTED_VALUE"""),"F")</f>
        <v>F</v>
      </c>
      <c r="F1950" s="202" t="str">
        <f ca="1">IFERROR(__xludf.DUMMYFUNCTION("""COMPUTED_VALUE"""),"J")</f>
        <v>J</v>
      </c>
      <c r="G1950" s="202">
        <f ca="1">IFERROR(__xludf.DUMMYFUNCTION("""COMPUTED_VALUE"""),1)</f>
        <v>1</v>
      </c>
      <c r="H1950" s="206"/>
      <c r="I1950" s="206">
        <v>43.15</v>
      </c>
      <c r="J1950" s="206"/>
      <c r="K1950" s="206" t="s">
        <v>121</v>
      </c>
      <c r="L1950" s="206" t="str">
        <v xml:space="preserve"> 43.15</v>
      </c>
      <c r="M1950" s="206" t="str">
        <v/>
      </c>
    </row>
    <row r="1951" spans="1:13" ht="14.4">
      <c r="A1951" s="199" t="str">
        <f ca="1">IFERROR(__xludf.DUMMYFUNCTION("""COMPUTED_VALUE"""),"SR")</f>
        <v>SR</v>
      </c>
      <c r="B1951" s="207" t="str">
        <f ca="1">IFERROR(__xludf.DUMMYFUNCTION("""COMPUTED_VALUE"""),"Dylan Wilson")</f>
        <v>Dylan Wilson</v>
      </c>
      <c r="C1951" s="199">
        <f ca="1">IFERROR(__xludf.DUMMYFUNCTION("""COMPUTED_VALUE"""),10)</f>
        <v>10</v>
      </c>
      <c r="D1951" s="199" t="str">
        <f ca="1">IFERROR(__xludf.DUMMYFUNCTION("""COMPUTED_VALUE"""),"B")</f>
        <v>B</v>
      </c>
      <c r="E1951" s="202" t="str">
        <f ca="1">IFERROR(__xludf.DUMMYFUNCTION("""COMPUTED_VALUE"""),"F")</f>
        <v>F</v>
      </c>
      <c r="F1951" s="202" t="str">
        <f ca="1">IFERROR(__xludf.DUMMYFUNCTION("""COMPUTED_VALUE"""),"J")</f>
        <v>J</v>
      </c>
      <c r="G1951" s="202">
        <f ca="1">IFERROR(__xludf.DUMMYFUNCTION("""COMPUTED_VALUE"""),1)</f>
        <v>1</v>
      </c>
      <c r="H1951" s="206"/>
      <c r="I1951" s="206">
        <v>55.55</v>
      </c>
      <c r="J1951" s="206"/>
      <c r="K1951" s="206" t="s">
        <v>121</v>
      </c>
      <c r="L1951" s="206" t="str">
        <v xml:space="preserve"> 55.55</v>
      </c>
      <c r="M1951" s="206" t="str">
        <v/>
      </c>
    </row>
    <row r="1952" spans="1:13" ht="14.4">
      <c r="A1952" s="199" t="str">
        <f ca="1">IFERROR(__xludf.DUMMYFUNCTION("""COMPUTED_VALUE"""),"SR")</f>
        <v>SR</v>
      </c>
      <c r="B1952" s="207" t="str">
        <f ca="1">IFERROR(__xludf.DUMMYFUNCTION("""COMPUTED_VALUE"""),"Jackson Markey")</f>
        <v>Jackson Markey</v>
      </c>
      <c r="C1952" s="199">
        <f ca="1">IFERROR(__xludf.DUMMYFUNCTION("""COMPUTED_VALUE"""),6)</f>
        <v>6</v>
      </c>
      <c r="D1952" s="199" t="str">
        <f ca="1">IFERROR(__xludf.DUMMYFUNCTION("""COMPUTED_VALUE"""),"B")</f>
        <v>B</v>
      </c>
      <c r="E1952" s="202" t="str">
        <f ca="1">IFERROR(__xludf.DUMMYFUNCTION("""COMPUTED_VALUE"""),"F")</f>
        <v>F</v>
      </c>
      <c r="F1952" s="202" t="str">
        <f ca="1">IFERROR(__xludf.DUMMYFUNCTION("""COMPUTED_VALUE"""),"J")</f>
        <v>J</v>
      </c>
      <c r="G1952" s="202">
        <f ca="1">IFERROR(__xludf.DUMMYFUNCTION("""COMPUTED_VALUE"""),1)</f>
        <v>1</v>
      </c>
      <c r="H1952" s="206"/>
      <c r="I1952" s="206"/>
      <c r="J1952" s="206"/>
      <c r="K1952" s="206"/>
      <c r="L1952" s="206" t="str">
        <v/>
      </c>
      <c r="M1952" s="206" t="str">
        <v/>
      </c>
    </row>
    <row r="1953" spans="1:13" ht="14.4">
      <c r="A1953" s="199" t="str">
        <f ca="1">IFERROR(__xludf.DUMMYFUNCTION("""COMPUTED_VALUE"""),"SR")</f>
        <v>SR</v>
      </c>
      <c r="B1953" s="207" t="str">
        <f ca="1">IFERROR(__xludf.DUMMYFUNCTION("""COMPUTED_VALUE"""),"William Cummings")</f>
        <v>William Cummings</v>
      </c>
      <c r="C1953" s="199">
        <f ca="1">IFERROR(__xludf.DUMMYFUNCTION("""COMPUTED_VALUE"""),10)</f>
        <v>10</v>
      </c>
      <c r="D1953" s="199" t="str">
        <f ca="1">IFERROR(__xludf.DUMMYFUNCTION("""COMPUTED_VALUE"""),"B")</f>
        <v>B</v>
      </c>
      <c r="E1953" s="202" t="str">
        <f ca="1">IFERROR(__xludf.DUMMYFUNCTION("""COMPUTED_VALUE"""),"F")</f>
        <v>F</v>
      </c>
      <c r="F1953" s="202" t="str">
        <f ca="1">IFERROR(__xludf.DUMMYFUNCTION("""COMPUTED_VALUE"""),"J")</f>
        <v>J</v>
      </c>
      <c r="G1953" s="202">
        <f ca="1">IFERROR(__xludf.DUMMYFUNCTION("""COMPUTED_VALUE"""),1)</f>
        <v>1</v>
      </c>
      <c r="H1953" s="206"/>
      <c r="I1953" s="206"/>
      <c r="J1953" s="206"/>
      <c r="K1953" s="206"/>
      <c r="L1953" s="206" t="str">
        <v/>
      </c>
      <c r="M1953" s="206" t="str">
        <v/>
      </c>
    </row>
    <row r="1954" spans="1:13" ht="14.4">
      <c r="A1954" s="199" t="str">
        <f ca="1">IFERROR(__xludf.DUMMYFUNCTION("""COMPUTED_VALUE"""),"SR")</f>
        <v>SR</v>
      </c>
      <c r="B1954" s="207" t="str">
        <f ca="1">IFERROR(__xludf.DUMMYFUNCTION("""COMPUTED_VALUE"""),"Caroline Markey")</f>
        <v>Caroline Markey</v>
      </c>
      <c r="C1954" s="199">
        <f ca="1">IFERROR(__xludf.DUMMYFUNCTION("""COMPUTED_VALUE"""),7)</f>
        <v>7</v>
      </c>
      <c r="D1954" s="199" t="str">
        <f ca="1">IFERROR(__xludf.DUMMYFUNCTION("""COMPUTED_VALUE"""),"G")</f>
        <v>G</v>
      </c>
      <c r="E1954" s="202" t="str">
        <f ca="1">IFERROR(__xludf.DUMMYFUNCTION("""COMPUTED_VALUE"""),"F")</f>
        <v>F</v>
      </c>
      <c r="F1954" s="202" t="str">
        <f ca="1">IFERROR(__xludf.DUMMYFUNCTION("""COMPUTED_VALUE"""),"J")</f>
        <v>J</v>
      </c>
      <c r="G1954" s="202">
        <f ca="1">IFERROR(__xludf.DUMMYFUNCTION("""COMPUTED_VALUE"""),1)</f>
        <v>1</v>
      </c>
      <c r="H1954" s="206">
        <v>14</v>
      </c>
      <c r="I1954" s="206"/>
      <c r="J1954" s="206" t="s">
        <v>121</v>
      </c>
      <c r="K1954" s="206"/>
      <c r="L1954" s="206" t="str">
        <v xml:space="preserve"> 14</v>
      </c>
      <c r="M1954" s="206" t="str">
        <v/>
      </c>
    </row>
    <row r="1955" spans="1:13" ht="14.4">
      <c r="A1955" s="199" t="str">
        <f ca="1">IFERROR(__xludf.DUMMYFUNCTION("""COMPUTED_VALUE"""),"SR")</f>
        <v>SR</v>
      </c>
      <c r="B1955" s="207" t="str">
        <f ca="1">IFERROR(__xludf.DUMMYFUNCTION("""COMPUTED_VALUE"""),"Caroline Wilson")</f>
        <v>Caroline Wilson</v>
      </c>
      <c r="C1955" s="199">
        <f ca="1">IFERROR(__xludf.DUMMYFUNCTION("""COMPUTED_VALUE"""),6)</f>
        <v>6</v>
      </c>
      <c r="D1955" s="199" t="str">
        <f ca="1">IFERROR(__xludf.DUMMYFUNCTION("""COMPUTED_VALUE"""),"G")</f>
        <v>G</v>
      </c>
      <c r="E1955" s="202" t="str">
        <f ca="1">IFERROR(__xludf.DUMMYFUNCTION("""COMPUTED_VALUE"""),"F")</f>
        <v>F</v>
      </c>
      <c r="F1955" s="202" t="str">
        <f ca="1">IFERROR(__xludf.DUMMYFUNCTION("""COMPUTED_VALUE"""),"J")</f>
        <v>J</v>
      </c>
      <c r="G1955" s="202">
        <f ca="1">IFERROR(__xludf.DUMMYFUNCTION("""COMPUTED_VALUE"""),1)</f>
        <v>1</v>
      </c>
      <c r="H1955" s="206">
        <v>24.75</v>
      </c>
      <c r="I1955" s="206"/>
      <c r="J1955" s="206" t="s">
        <v>121</v>
      </c>
      <c r="K1955" s="206"/>
      <c r="L1955" s="206" t="str">
        <v xml:space="preserve"> 24.75</v>
      </c>
      <c r="M1955" s="206" t="str">
        <v/>
      </c>
    </row>
    <row r="1956" spans="1:13" ht="14.4">
      <c r="A1956" s="199" t="str">
        <f ca="1">IFERROR(__xludf.DUMMYFUNCTION("""COMPUTED_VALUE"""),"SR")</f>
        <v>SR</v>
      </c>
      <c r="B1956" s="207" t="str">
        <f ca="1">IFERROR(__xludf.DUMMYFUNCTION("""COMPUTED_VALUE"""),"Cora Bellomo")</f>
        <v>Cora Bellomo</v>
      </c>
      <c r="C1956" s="199">
        <f ca="1">IFERROR(__xludf.DUMMYFUNCTION("""COMPUTED_VALUE"""),8)</f>
        <v>8</v>
      </c>
      <c r="D1956" s="199" t="str">
        <f ca="1">IFERROR(__xludf.DUMMYFUNCTION("""COMPUTED_VALUE"""),"G")</f>
        <v>G</v>
      </c>
      <c r="E1956" s="202" t="str">
        <f ca="1">IFERROR(__xludf.DUMMYFUNCTION("""COMPUTED_VALUE"""),"F")</f>
        <v>F</v>
      </c>
      <c r="F1956" s="202" t="str">
        <f ca="1">IFERROR(__xludf.DUMMYFUNCTION("""COMPUTED_VALUE"""),"J")</f>
        <v>J</v>
      </c>
      <c r="G1956" s="202">
        <f ca="1">IFERROR(__xludf.DUMMYFUNCTION("""COMPUTED_VALUE"""),1)</f>
        <v>1</v>
      </c>
      <c r="H1956" s="206">
        <v>43.75</v>
      </c>
      <c r="I1956" s="206"/>
      <c r="J1956" s="206" t="s">
        <v>121</v>
      </c>
      <c r="K1956" s="206"/>
      <c r="L1956" s="206" t="str">
        <v xml:space="preserve"> 43.75</v>
      </c>
      <c r="M1956" s="206" t="str">
        <v/>
      </c>
    </row>
    <row r="1957" spans="1:13" ht="14.4">
      <c r="A1957" s="199" t="str">
        <f ca="1">IFERROR(__xludf.DUMMYFUNCTION("""COMPUTED_VALUE"""),"SR")</f>
        <v>SR</v>
      </c>
      <c r="B1957" s="207" t="str">
        <f ca="1">IFERROR(__xludf.DUMMYFUNCTION("""COMPUTED_VALUE"""),"Kendall Wilson")</f>
        <v>Kendall Wilson</v>
      </c>
      <c r="C1957" s="199">
        <f ca="1">IFERROR(__xludf.DUMMYFUNCTION("""COMPUTED_VALUE"""),8)</f>
        <v>8</v>
      </c>
      <c r="D1957" s="199" t="str">
        <f ca="1">IFERROR(__xludf.DUMMYFUNCTION("""COMPUTED_VALUE"""),"G")</f>
        <v>G</v>
      </c>
      <c r="E1957" s="202" t="str">
        <f ca="1">IFERROR(__xludf.DUMMYFUNCTION("""COMPUTED_VALUE"""),"F")</f>
        <v>F</v>
      </c>
      <c r="F1957" s="202" t="str">
        <f ca="1">IFERROR(__xludf.DUMMYFUNCTION("""COMPUTED_VALUE"""),"J")</f>
        <v>J</v>
      </c>
      <c r="G1957" s="202">
        <f ca="1">IFERROR(__xludf.DUMMYFUNCTION("""COMPUTED_VALUE"""),1)</f>
        <v>1</v>
      </c>
      <c r="H1957" s="206">
        <v>33.9</v>
      </c>
      <c r="I1957" s="206"/>
      <c r="J1957" s="206" t="s">
        <v>121</v>
      </c>
      <c r="K1957" s="206"/>
      <c r="L1957" s="206" t="str">
        <v xml:space="preserve"> 33.9</v>
      </c>
      <c r="M1957" s="206" t="str">
        <v/>
      </c>
    </row>
    <row r="1958" spans="1:13" ht="14.4">
      <c r="A1958" s="199" t="str">
        <f ca="1">IFERROR(__xludf.DUMMYFUNCTION("""COMPUTED_VALUE"""),"SR")</f>
        <v>SR</v>
      </c>
      <c r="B1958" s="207" t="str">
        <f ca="1">IFERROR(__xludf.DUMMYFUNCTION("""COMPUTED_VALUE"""),"Lydia Danielsen")</f>
        <v>Lydia Danielsen</v>
      </c>
      <c r="C1958" s="199">
        <f ca="1">IFERROR(__xludf.DUMMYFUNCTION("""COMPUTED_VALUE"""),7)</f>
        <v>7</v>
      </c>
      <c r="D1958" s="199" t="str">
        <f ca="1">IFERROR(__xludf.DUMMYFUNCTION("""COMPUTED_VALUE"""),"G")</f>
        <v>G</v>
      </c>
      <c r="E1958" s="202" t="str">
        <f ca="1">IFERROR(__xludf.DUMMYFUNCTION("""COMPUTED_VALUE"""),"F")</f>
        <v>F</v>
      </c>
      <c r="F1958" s="202" t="str">
        <f ca="1">IFERROR(__xludf.DUMMYFUNCTION("""COMPUTED_VALUE"""),"J")</f>
        <v>J</v>
      </c>
      <c r="G1958" s="202">
        <f ca="1">IFERROR(__xludf.DUMMYFUNCTION("""COMPUTED_VALUE"""),1)</f>
        <v>1</v>
      </c>
      <c r="H1958" s="206">
        <v>27.25</v>
      </c>
      <c r="I1958" s="206"/>
      <c r="J1958" s="206" t="s">
        <v>121</v>
      </c>
      <c r="K1958" s="206"/>
      <c r="L1958" s="206" t="str">
        <v xml:space="preserve"> 27.25</v>
      </c>
      <c r="M1958" s="206" t="str">
        <v/>
      </c>
    </row>
    <row r="1959" spans="1:13" ht="14.4">
      <c r="A1959" s="199" t="str">
        <f ca="1">IFERROR(__xludf.DUMMYFUNCTION("""COMPUTED_VALUE"""),"SR")</f>
        <v>SR</v>
      </c>
      <c r="B1959" s="207" t="str">
        <f ca="1">IFERROR(__xludf.DUMMYFUNCTION("""COMPUTED_VALUE"""),"Sarah Beth Cummings")</f>
        <v>Sarah Beth Cummings</v>
      </c>
      <c r="C1959" s="199">
        <f ca="1">IFERROR(__xludf.DUMMYFUNCTION("""COMPUTED_VALUE"""),8)</f>
        <v>8</v>
      </c>
      <c r="D1959" s="199" t="str">
        <f ca="1">IFERROR(__xludf.DUMMYFUNCTION("""COMPUTED_VALUE"""),"G")</f>
        <v>G</v>
      </c>
      <c r="E1959" s="202" t="str">
        <f ca="1">IFERROR(__xludf.DUMMYFUNCTION("""COMPUTED_VALUE"""),"F")</f>
        <v>F</v>
      </c>
      <c r="F1959" s="202" t="str">
        <f ca="1">IFERROR(__xludf.DUMMYFUNCTION("""COMPUTED_VALUE"""),"J")</f>
        <v>J</v>
      </c>
      <c r="G1959" s="202">
        <f ca="1">IFERROR(__xludf.DUMMYFUNCTION("""COMPUTED_VALUE"""),1)</f>
        <v>1</v>
      </c>
      <c r="H1959" s="206"/>
      <c r="I1959" s="206"/>
      <c r="J1959" s="206"/>
      <c r="K1959" s="206"/>
      <c r="L1959" s="206" t="str">
        <v/>
      </c>
      <c r="M1959" s="206" t="str">
        <v/>
      </c>
    </row>
    <row r="1960" spans="1:13" ht="14.4">
      <c r="A1960" s="199" t="str">
        <f ca="1">IFERROR(__xludf.DUMMYFUNCTION("""COMPUTED_VALUE"""),"SR")</f>
        <v>SR</v>
      </c>
      <c r="B1960" s="207" t="str">
        <f ca="1">IFERROR(__xludf.DUMMYFUNCTION("""COMPUTED_VALUE"""),"Joseph Markey")</f>
        <v>Joseph Markey</v>
      </c>
      <c r="C1960" s="199">
        <f ca="1">IFERROR(__xludf.DUMMYFUNCTION("""COMPUTED_VALUE"""),13)</f>
        <v>13</v>
      </c>
      <c r="D1960" s="199" t="str">
        <f ca="1">IFERROR(__xludf.DUMMYFUNCTION("""COMPUTED_VALUE"""),"B")</f>
        <v>B</v>
      </c>
      <c r="E1960" s="202" t="str">
        <f ca="1">IFERROR(__xludf.DUMMYFUNCTION("""COMPUTED_VALUE"""),"I")</f>
        <v>I</v>
      </c>
      <c r="F1960" s="202" t="str">
        <f ca="1">IFERROR(__xludf.DUMMYFUNCTION("""COMPUTED_VALUE"""),"S")</f>
        <v>S</v>
      </c>
      <c r="G1960" s="202">
        <f ca="1">IFERROR(__xludf.DUMMYFUNCTION("""COMPUTED_VALUE"""),1)</f>
        <v>1</v>
      </c>
      <c r="H1960" s="206"/>
      <c r="I1960" s="206">
        <v>53.15</v>
      </c>
      <c r="J1960" s="206"/>
      <c r="K1960" s="206" t="s">
        <v>121</v>
      </c>
      <c r="L1960" s="206" t="str">
        <v xml:space="preserve"> 53.15</v>
      </c>
      <c r="M1960" s="206" t="str">
        <v/>
      </c>
    </row>
    <row r="1961" spans="1:13" ht="14.4">
      <c r="A1961" s="199" t="str">
        <f ca="1">IFERROR(__xludf.DUMMYFUNCTION("""COMPUTED_VALUE"""),"SR")</f>
        <v>SR</v>
      </c>
      <c r="B1961" s="207" t="str">
        <f ca="1">IFERROR(__xludf.DUMMYFUNCTION("""COMPUTED_VALUE"""),"Nicholas Shivik")</f>
        <v>Nicholas Shivik</v>
      </c>
      <c r="C1961" s="199">
        <f ca="1">IFERROR(__xludf.DUMMYFUNCTION("""COMPUTED_VALUE"""),13)</f>
        <v>13</v>
      </c>
      <c r="D1961" s="199" t="str">
        <f ca="1">IFERROR(__xludf.DUMMYFUNCTION("""COMPUTED_VALUE"""),"B")</f>
        <v>B</v>
      </c>
      <c r="E1961" s="202" t="str">
        <f ca="1">IFERROR(__xludf.DUMMYFUNCTION("""COMPUTED_VALUE"""),"I")</f>
        <v>I</v>
      </c>
      <c r="F1961" s="202" t="str">
        <f ca="1">IFERROR(__xludf.DUMMYFUNCTION("""COMPUTED_VALUE"""),"S")</f>
        <v>S</v>
      </c>
      <c r="G1961" s="202">
        <f ca="1">IFERROR(__xludf.DUMMYFUNCTION("""COMPUTED_VALUE"""),1)</f>
        <v>1</v>
      </c>
      <c r="H1961" s="206"/>
      <c r="I1961" s="206"/>
      <c r="J1961" s="206"/>
      <c r="K1961" s="206"/>
      <c r="L1961" s="206" t="str">
        <v/>
      </c>
      <c r="M1961" s="206" t="str">
        <v/>
      </c>
    </row>
    <row r="1962" spans="1:13" ht="14.4">
      <c r="A1962" s="199" t="str">
        <f ca="1">IFERROR(__xludf.DUMMYFUNCTION("""COMPUTED_VALUE"""),"SR")</f>
        <v>SR</v>
      </c>
      <c r="B1962" s="207" t="str">
        <f ca="1">IFERROR(__xludf.DUMMYFUNCTION("""COMPUTED_VALUE"""),"Sean Walter")</f>
        <v>Sean Walter</v>
      </c>
      <c r="C1962" s="199">
        <f ca="1">IFERROR(__xludf.DUMMYFUNCTION("""COMPUTED_VALUE"""),14)</f>
        <v>14</v>
      </c>
      <c r="D1962" s="199" t="str">
        <f ca="1">IFERROR(__xludf.DUMMYFUNCTION("""COMPUTED_VALUE"""),"B")</f>
        <v>B</v>
      </c>
      <c r="E1962" s="202" t="str">
        <f ca="1">IFERROR(__xludf.DUMMYFUNCTION("""COMPUTED_VALUE"""),"I")</f>
        <v>I</v>
      </c>
      <c r="F1962" s="202" t="str">
        <f ca="1">IFERROR(__xludf.DUMMYFUNCTION("""COMPUTED_VALUE"""),"S")</f>
        <v>S</v>
      </c>
      <c r="G1962" s="202">
        <f ca="1">IFERROR(__xludf.DUMMYFUNCTION("""COMPUTED_VALUE"""),1)</f>
        <v>1</v>
      </c>
      <c r="H1962" s="206"/>
      <c r="I1962" s="206">
        <v>52.7</v>
      </c>
      <c r="J1962" s="206"/>
      <c r="K1962" s="206" t="s">
        <v>121</v>
      </c>
      <c r="L1962" s="206" t="str">
        <v xml:space="preserve"> 52.7</v>
      </c>
      <c r="M1962" s="206" t="str">
        <v/>
      </c>
    </row>
    <row r="1963" spans="1:13" ht="14.4">
      <c r="A1963" s="199" t="str">
        <f ca="1">IFERROR(__xludf.DUMMYFUNCTION("""COMPUTED_VALUE"""),"SR")</f>
        <v>SR</v>
      </c>
      <c r="B1963" s="207" t="str">
        <f ca="1">IFERROR(__xludf.DUMMYFUNCTION("""COMPUTED_VALUE"""),"Tyler Nelson")</f>
        <v>Tyler Nelson</v>
      </c>
      <c r="C1963" s="199">
        <f ca="1">IFERROR(__xludf.DUMMYFUNCTION("""COMPUTED_VALUE"""),14)</f>
        <v>14</v>
      </c>
      <c r="D1963" s="199" t="str">
        <f ca="1">IFERROR(__xludf.DUMMYFUNCTION("""COMPUTED_VALUE"""),"B")</f>
        <v>B</v>
      </c>
      <c r="E1963" s="202" t="str">
        <f ca="1">IFERROR(__xludf.DUMMYFUNCTION("""COMPUTED_VALUE"""),"I")</f>
        <v>I</v>
      </c>
      <c r="F1963" s="202" t="str">
        <f ca="1">IFERROR(__xludf.DUMMYFUNCTION("""COMPUTED_VALUE"""),"S")</f>
        <v>S</v>
      </c>
      <c r="G1963" s="202">
        <f ca="1">IFERROR(__xludf.DUMMYFUNCTION("""COMPUTED_VALUE"""),1)</f>
        <v>1</v>
      </c>
      <c r="H1963" s="206"/>
      <c r="I1963" s="206">
        <v>72.2</v>
      </c>
      <c r="J1963" s="206"/>
      <c r="K1963" s="206" t="s">
        <v>121</v>
      </c>
      <c r="L1963" s="206" t="str">
        <v xml:space="preserve"> 72.2</v>
      </c>
      <c r="M1963" s="206" t="str">
        <v/>
      </c>
    </row>
    <row r="1964" spans="1:13" ht="14.4">
      <c r="A1964" s="199" t="str">
        <f ca="1">IFERROR(__xludf.DUMMYFUNCTION("""COMPUTED_VALUE"""),"SR")</f>
        <v>SR</v>
      </c>
      <c r="B1964" s="207" t="str">
        <f ca="1">IFERROR(__xludf.DUMMYFUNCTION("""COMPUTED_VALUE"""),"Walker Littleton")</f>
        <v>Walker Littleton</v>
      </c>
      <c r="C1964" s="199">
        <f ca="1">IFERROR(__xludf.DUMMYFUNCTION("""COMPUTED_VALUE"""),13)</f>
        <v>13</v>
      </c>
      <c r="D1964" s="199" t="str">
        <f ca="1">IFERROR(__xludf.DUMMYFUNCTION("""COMPUTED_VALUE"""),"B")</f>
        <v>B</v>
      </c>
      <c r="E1964" s="202" t="str">
        <f ca="1">IFERROR(__xludf.DUMMYFUNCTION("""COMPUTED_VALUE"""),"I")</f>
        <v>I</v>
      </c>
      <c r="F1964" s="202" t="str">
        <f ca="1">IFERROR(__xludf.DUMMYFUNCTION("""COMPUTED_VALUE"""),"S")</f>
        <v>S</v>
      </c>
      <c r="G1964" s="202">
        <f ca="1">IFERROR(__xludf.DUMMYFUNCTION("""COMPUTED_VALUE"""),1)</f>
        <v>1</v>
      </c>
      <c r="H1964" s="206"/>
      <c r="I1964" s="206">
        <v>63.5</v>
      </c>
      <c r="J1964" s="206"/>
      <c r="K1964" s="206" t="s">
        <v>121</v>
      </c>
      <c r="L1964" s="206" t="str">
        <v xml:space="preserve"> 63.5</v>
      </c>
      <c r="M1964" s="206" t="str">
        <v/>
      </c>
    </row>
    <row r="1965" spans="1:13" ht="14.4">
      <c r="A1965" s="199" t="str">
        <f ca="1">IFERROR(__xludf.DUMMYFUNCTION("""COMPUTED_VALUE"""),"SR")</f>
        <v>SR</v>
      </c>
      <c r="B1965" s="207" t="str">
        <f ca="1">IFERROR(__xludf.DUMMYFUNCTION("""COMPUTED_VALUE"""),"Alyssa Proulx")</f>
        <v>Alyssa Proulx</v>
      </c>
      <c r="C1965" s="199">
        <f ca="1">IFERROR(__xludf.DUMMYFUNCTION("""COMPUTED_VALUE"""),14)</f>
        <v>14</v>
      </c>
      <c r="D1965" s="199" t="str">
        <f ca="1">IFERROR(__xludf.DUMMYFUNCTION("""COMPUTED_VALUE"""),"G")</f>
        <v>G</v>
      </c>
      <c r="E1965" s="202" t="str">
        <f ca="1">IFERROR(__xludf.DUMMYFUNCTION("""COMPUTED_VALUE"""),"I")</f>
        <v>I</v>
      </c>
      <c r="F1965" s="202" t="str">
        <f ca="1">IFERROR(__xludf.DUMMYFUNCTION("""COMPUTED_VALUE"""),"S")</f>
        <v>S</v>
      </c>
      <c r="G1965" s="202">
        <f ca="1">IFERROR(__xludf.DUMMYFUNCTION("""COMPUTED_VALUE"""),1)</f>
        <v>1</v>
      </c>
      <c r="H1965" s="206">
        <v>133.80000000000001</v>
      </c>
      <c r="I1965" s="206"/>
      <c r="J1965" s="206" t="s">
        <v>121</v>
      </c>
      <c r="K1965" s="206"/>
      <c r="L1965" s="206" t="str">
        <v xml:space="preserve"> 133.8</v>
      </c>
      <c r="M1965" s="206" t="str">
        <v/>
      </c>
    </row>
    <row r="1966" spans="1:13" ht="14.4">
      <c r="A1966" s="199" t="str">
        <f ca="1">IFERROR(__xludf.DUMMYFUNCTION("""COMPUTED_VALUE"""),"SR")</f>
        <v>SR</v>
      </c>
      <c r="B1966" s="207" t="str">
        <f ca="1">IFERROR(__xludf.DUMMYFUNCTION("""COMPUTED_VALUE"""),"Lincoln Novy")</f>
        <v>Lincoln Novy</v>
      </c>
      <c r="C1966" s="199">
        <f ca="1">IFERROR(__xludf.DUMMYFUNCTION("""COMPUTED_VALUE"""),12)</f>
        <v>12</v>
      </c>
      <c r="D1966" s="199" t="str">
        <f ca="1">IFERROR(__xludf.DUMMYFUNCTION("""COMPUTED_VALUE"""),"B")</f>
        <v>B</v>
      </c>
      <c r="E1966" s="202" t="str">
        <f ca="1">IFERROR(__xludf.DUMMYFUNCTION("""COMPUTED_VALUE"""),"J")</f>
        <v>J</v>
      </c>
      <c r="F1966" s="202" t="str">
        <f ca="1">IFERROR(__xludf.DUMMYFUNCTION("""COMPUTED_VALUE"""),"I")</f>
        <v>I</v>
      </c>
      <c r="G1966" s="202">
        <f ca="1">IFERROR(__xludf.DUMMYFUNCTION("""COMPUTED_VALUE"""),1)</f>
        <v>1</v>
      </c>
      <c r="H1966" s="206"/>
      <c r="I1966" s="206"/>
      <c r="J1966" s="206"/>
      <c r="K1966" s="206"/>
      <c r="L1966" s="206" t="str">
        <v/>
      </c>
      <c r="M1966" s="206" t="str">
        <v/>
      </c>
    </row>
    <row r="1967" spans="1:13" ht="14.4">
      <c r="A1967" s="199" t="str">
        <f ca="1">IFERROR(__xludf.DUMMYFUNCTION("""COMPUTED_VALUE"""),"SR")</f>
        <v>SR</v>
      </c>
      <c r="B1967" s="207" t="str">
        <f ca="1">IFERROR(__xludf.DUMMYFUNCTION("""COMPUTED_VALUE"""),"Annie Keller")</f>
        <v>Annie Keller</v>
      </c>
      <c r="C1967" s="199">
        <f ca="1">IFERROR(__xludf.DUMMYFUNCTION("""COMPUTED_VALUE"""),12)</f>
        <v>12</v>
      </c>
      <c r="D1967" s="199" t="str">
        <f ca="1">IFERROR(__xludf.DUMMYFUNCTION("""COMPUTED_VALUE"""),"G")</f>
        <v>G</v>
      </c>
      <c r="E1967" s="202" t="str">
        <f ca="1">IFERROR(__xludf.DUMMYFUNCTION("""COMPUTED_VALUE"""),"J")</f>
        <v>J</v>
      </c>
      <c r="F1967" s="202" t="str">
        <f ca="1">IFERROR(__xludf.DUMMYFUNCTION("""COMPUTED_VALUE"""),"I")</f>
        <v>I</v>
      </c>
      <c r="G1967" s="202">
        <f ca="1">IFERROR(__xludf.DUMMYFUNCTION("""COMPUTED_VALUE"""),1)</f>
        <v>1</v>
      </c>
      <c r="H1967" s="206"/>
      <c r="I1967" s="206"/>
      <c r="J1967" s="206"/>
      <c r="K1967" s="206"/>
      <c r="L1967" s="206" t="str">
        <v/>
      </c>
      <c r="M1967" s="206" t="str">
        <v/>
      </c>
    </row>
    <row r="1968" spans="1:13" ht="14.4">
      <c r="A1968" s="199" t="str">
        <f ca="1">IFERROR(__xludf.DUMMYFUNCTION("""COMPUTED_VALUE"""),"SR")</f>
        <v>SR</v>
      </c>
      <c r="B1968" s="207" t="str">
        <f ca="1">IFERROR(__xludf.DUMMYFUNCTION("""COMPUTED_VALUE"""),"Karly Proulx")</f>
        <v>Karly Proulx</v>
      </c>
      <c r="C1968" s="199">
        <f ca="1">IFERROR(__xludf.DUMMYFUNCTION("""COMPUTED_VALUE"""),12)</f>
        <v>12</v>
      </c>
      <c r="D1968" s="199" t="str">
        <f ca="1">IFERROR(__xludf.DUMMYFUNCTION("""COMPUTED_VALUE"""),"G")</f>
        <v>G</v>
      </c>
      <c r="E1968" s="202" t="str">
        <f ca="1">IFERROR(__xludf.DUMMYFUNCTION("""COMPUTED_VALUE"""),"J")</f>
        <v>J</v>
      </c>
      <c r="F1968" s="202" t="str">
        <f ca="1">IFERROR(__xludf.DUMMYFUNCTION("""COMPUTED_VALUE"""),"I")</f>
        <v>I</v>
      </c>
      <c r="G1968" s="202">
        <f ca="1">IFERROR(__xludf.DUMMYFUNCTION("""COMPUTED_VALUE"""),1)</f>
        <v>1</v>
      </c>
      <c r="H1968" s="206">
        <v>72.75</v>
      </c>
      <c r="I1968" s="206"/>
      <c r="J1968" s="206" t="s">
        <v>121</v>
      </c>
      <c r="K1968" s="206"/>
      <c r="L1968" s="206" t="str">
        <v xml:space="preserve"> 72.75</v>
      </c>
      <c r="M1968" s="206" t="str">
        <v/>
      </c>
    </row>
    <row r="1969" spans="1:13" ht="14.4">
      <c r="A1969" s="199" t="str">
        <f ca="1">IFERROR(__xludf.DUMMYFUNCTION("""COMPUTED_VALUE"""),"SR")</f>
        <v>SR</v>
      </c>
      <c r="B1969" s="207" t="str">
        <f ca="1">IFERROR(__xludf.DUMMYFUNCTION("""COMPUTED_VALUE"""),"Chris Suppa")</f>
        <v>Chris Suppa</v>
      </c>
      <c r="C1969" s="199">
        <f ca="1">IFERROR(__xludf.DUMMYFUNCTION("""COMPUTED_VALUE"""),19)</f>
        <v>19</v>
      </c>
      <c r="D1969" s="199" t="str">
        <f ca="1">IFERROR(__xludf.DUMMYFUNCTION("""COMPUTED_VALUE"""),"B")</f>
        <v>B</v>
      </c>
      <c r="E1969" s="202" t="str">
        <f ca="1">IFERROR(__xludf.DUMMYFUNCTION("""COMPUTED_VALUE"""),"S")</f>
        <v>S</v>
      </c>
      <c r="F1969" s="202" t="str">
        <f ca="1">IFERROR(__xludf.DUMMYFUNCTION("""COMPUTED_VALUE"""),"S")</f>
        <v>S</v>
      </c>
      <c r="G1969" s="202">
        <f ca="1">IFERROR(__xludf.DUMMYFUNCTION("""COMPUTED_VALUE"""),1)</f>
        <v>1</v>
      </c>
      <c r="H1969" s="206"/>
      <c r="I1969" s="206">
        <v>176.9</v>
      </c>
      <c r="J1969" s="206"/>
      <c r="K1969" s="206" t="s">
        <v>121</v>
      </c>
      <c r="L1969" s="206" t="str">
        <v xml:space="preserve"> 176.9</v>
      </c>
      <c r="M1969" s="206" t="str">
        <v/>
      </c>
    </row>
    <row r="1970" spans="1:13" ht="14.4">
      <c r="A1970" s="199" t="str">
        <f ca="1">IFERROR(__xludf.DUMMYFUNCTION("""COMPUTED_VALUE"""),"SR")</f>
        <v>SR</v>
      </c>
      <c r="B1970" s="207" t="str">
        <f ca="1">IFERROR(__xludf.DUMMYFUNCTION("""COMPUTED_VALUE"""),"Luke Shivik")</f>
        <v>Luke Shivik</v>
      </c>
      <c r="C1970" s="199">
        <f ca="1">IFERROR(__xludf.DUMMYFUNCTION("""COMPUTED_VALUE"""),17)</f>
        <v>17</v>
      </c>
      <c r="D1970" s="199" t="str">
        <f ca="1">IFERROR(__xludf.DUMMYFUNCTION("""COMPUTED_VALUE"""),"B")</f>
        <v>B</v>
      </c>
      <c r="E1970" s="202" t="str">
        <f ca="1">IFERROR(__xludf.DUMMYFUNCTION("""COMPUTED_VALUE"""),"S")</f>
        <v>S</v>
      </c>
      <c r="F1970" s="202" t="str">
        <f ca="1">IFERROR(__xludf.DUMMYFUNCTION("""COMPUTED_VALUE"""),"S")</f>
        <v>S</v>
      </c>
      <c r="G1970" s="202">
        <f ca="1">IFERROR(__xludf.DUMMYFUNCTION("""COMPUTED_VALUE"""),1)</f>
        <v>1</v>
      </c>
      <c r="H1970" s="206"/>
      <c r="I1970" s="206"/>
      <c r="J1970" s="206"/>
      <c r="K1970" s="206"/>
      <c r="L1970" s="206" t="str">
        <v/>
      </c>
      <c r="M1970" s="206" t="str">
        <v/>
      </c>
    </row>
    <row r="1971" spans="1:13" ht="14.4">
      <c r="A1971" s="199" t="str">
        <f ca="1">IFERROR(__xludf.DUMMYFUNCTION("""COMPUTED_VALUE"""),"SR")</f>
        <v>SR</v>
      </c>
      <c r="B1971" s="207" t="str">
        <f ca="1">IFERROR(__xludf.DUMMYFUNCTION("""COMPUTED_VALUE"""),"Matthew Gelles")</f>
        <v>Matthew Gelles</v>
      </c>
      <c r="C1971" s="199">
        <f ca="1">IFERROR(__xludf.DUMMYFUNCTION("""COMPUTED_VALUE"""),17)</f>
        <v>17</v>
      </c>
      <c r="D1971" s="199" t="str">
        <f ca="1">IFERROR(__xludf.DUMMYFUNCTION("""COMPUTED_VALUE"""),"B")</f>
        <v>B</v>
      </c>
      <c r="E1971" s="202" t="str">
        <f ca="1">IFERROR(__xludf.DUMMYFUNCTION("""COMPUTED_VALUE"""),"S")</f>
        <v>S</v>
      </c>
      <c r="F1971" s="202" t="str">
        <f ca="1">IFERROR(__xludf.DUMMYFUNCTION("""COMPUTED_VALUE"""),"S")</f>
        <v>S</v>
      </c>
      <c r="G1971" s="202">
        <f ca="1">IFERROR(__xludf.DUMMYFUNCTION("""COMPUTED_VALUE"""),1)</f>
        <v>1</v>
      </c>
      <c r="H1971" s="206"/>
      <c r="I1971" s="206">
        <v>127.2</v>
      </c>
      <c r="J1971" s="206"/>
      <c r="K1971" s="206" t="s">
        <v>121</v>
      </c>
      <c r="L1971" s="206" t="str">
        <v xml:space="preserve"> 127.2</v>
      </c>
      <c r="M1971" s="206" t="str">
        <v/>
      </c>
    </row>
    <row r="1972" spans="1:13" ht="14.4">
      <c r="A1972" s="199" t="str">
        <f ca="1">IFERROR(__xludf.DUMMYFUNCTION("""COMPUTED_VALUE"""),"SR")</f>
        <v>SR</v>
      </c>
      <c r="B1972" s="207" t="str">
        <f ca="1">IFERROR(__xludf.DUMMYFUNCTION("""COMPUTED_VALUE"""),"Matthew Mitros")</f>
        <v>Matthew Mitros</v>
      </c>
      <c r="C1972" s="199">
        <f ca="1">IFERROR(__xludf.DUMMYFUNCTION("""COMPUTED_VALUE"""),18)</f>
        <v>18</v>
      </c>
      <c r="D1972" s="199" t="str">
        <f ca="1">IFERROR(__xludf.DUMMYFUNCTION("""COMPUTED_VALUE"""),"B")</f>
        <v>B</v>
      </c>
      <c r="E1972" s="202" t="str">
        <f ca="1">IFERROR(__xludf.DUMMYFUNCTION("""COMPUTED_VALUE"""),"S")</f>
        <v>S</v>
      </c>
      <c r="F1972" s="202" t="str">
        <f ca="1">IFERROR(__xludf.DUMMYFUNCTION("""COMPUTED_VALUE"""),"S")</f>
        <v>S</v>
      </c>
      <c r="G1972" s="202">
        <f ca="1">IFERROR(__xludf.DUMMYFUNCTION("""COMPUTED_VALUE"""),1)</f>
        <v>1</v>
      </c>
      <c r="H1972" s="206"/>
      <c r="I1972" s="206">
        <v>106.55</v>
      </c>
      <c r="J1972" s="206"/>
      <c r="K1972" s="206" t="s">
        <v>121</v>
      </c>
      <c r="L1972" s="206" t="str">
        <v xml:space="preserve"> 106.55</v>
      </c>
      <c r="M1972" s="206" t="str">
        <v/>
      </c>
    </row>
    <row r="1973" spans="1:13" ht="14.4">
      <c r="A1973" s="199" t="str">
        <f ca="1">IFERROR(__xludf.DUMMYFUNCTION("""COMPUTED_VALUE"""),"SR")</f>
        <v>SR</v>
      </c>
      <c r="B1973" s="207" t="str">
        <f ca="1">IFERROR(__xludf.DUMMYFUNCTION("""COMPUTED_VALUE"""),"Sam Flory")</f>
        <v>Sam Flory</v>
      </c>
      <c r="C1973" s="199">
        <f ca="1">IFERROR(__xludf.DUMMYFUNCTION("""COMPUTED_VALUE"""),18)</f>
        <v>18</v>
      </c>
      <c r="D1973" s="199" t="str">
        <f ca="1">IFERROR(__xludf.DUMMYFUNCTION("""COMPUTED_VALUE"""),"B")</f>
        <v>B</v>
      </c>
      <c r="E1973" s="202" t="str">
        <f ca="1">IFERROR(__xludf.DUMMYFUNCTION("""COMPUTED_VALUE"""),"S")</f>
        <v>S</v>
      </c>
      <c r="F1973" s="202" t="str">
        <f ca="1">IFERROR(__xludf.DUMMYFUNCTION("""COMPUTED_VALUE"""),"S")</f>
        <v>S</v>
      </c>
      <c r="G1973" s="202">
        <f ca="1">IFERROR(__xludf.DUMMYFUNCTION("""COMPUTED_VALUE"""),1)</f>
        <v>1</v>
      </c>
      <c r="H1973" s="206"/>
      <c r="I1973" s="206">
        <v>222.5</v>
      </c>
      <c r="J1973" s="206"/>
      <c r="K1973" s="206" t="s">
        <v>121</v>
      </c>
      <c r="L1973" s="206" t="str">
        <v xml:space="preserve"> 222.5</v>
      </c>
      <c r="M1973" s="206" t="str">
        <v/>
      </c>
    </row>
    <row r="1974" spans="1:13" ht="14.4">
      <c r="A1974" s="199" t="str">
        <f ca="1">IFERROR(__xludf.DUMMYFUNCTION("""COMPUTED_VALUE"""),"SR")</f>
        <v>SR</v>
      </c>
      <c r="B1974" s="207" t="str">
        <f ca="1">IFERROR(__xludf.DUMMYFUNCTION("""COMPUTED_VALUE"""),"Amanda Stalfort")</f>
        <v>Amanda Stalfort</v>
      </c>
      <c r="C1974" s="199">
        <f ca="1">IFERROR(__xludf.DUMMYFUNCTION("""COMPUTED_VALUE"""),16)</f>
        <v>16</v>
      </c>
      <c r="D1974" s="199" t="str">
        <f ca="1">IFERROR(__xludf.DUMMYFUNCTION("""COMPUTED_VALUE"""),"G")</f>
        <v>G</v>
      </c>
      <c r="E1974" s="202" t="str">
        <f ca="1">IFERROR(__xludf.DUMMYFUNCTION("""COMPUTED_VALUE"""),"S")</f>
        <v>S</v>
      </c>
      <c r="F1974" s="202" t="str">
        <f ca="1">IFERROR(__xludf.DUMMYFUNCTION("""COMPUTED_VALUE"""),"S")</f>
        <v>S</v>
      </c>
      <c r="G1974" s="202">
        <f ca="1">IFERROR(__xludf.DUMMYFUNCTION("""COMPUTED_VALUE"""),1)</f>
        <v>1</v>
      </c>
      <c r="H1974" s="206">
        <v>272.75</v>
      </c>
      <c r="I1974" s="206"/>
      <c r="J1974" s="206" t="s">
        <v>121</v>
      </c>
      <c r="K1974" s="206"/>
      <c r="L1974" s="206" t="str">
        <v xml:space="preserve"> 272.75</v>
      </c>
      <c r="M1974" s="206" t="str">
        <v/>
      </c>
    </row>
    <row r="1975" spans="1:13" ht="14.4">
      <c r="A1975" s="199" t="str">
        <f ca="1">IFERROR(__xludf.DUMMYFUNCTION("""COMPUTED_VALUE"""),"SR")</f>
        <v>SR</v>
      </c>
      <c r="B1975" s="207" t="str">
        <f ca="1">IFERROR(__xludf.DUMMYFUNCTION("""COMPUTED_VALUE"""),"Anna Littleton")</f>
        <v>Anna Littleton</v>
      </c>
      <c r="C1975" s="199">
        <f ca="1">IFERROR(__xludf.DUMMYFUNCTION("""COMPUTED_VALUE"""),15)</f>
        <v>15</v>
      </c>
      <c r="D1975" s="199" t="str">
        <f ca="1">IFERROR(__xludf.DUMMYFUNCTION("""COMPUTED_VALUE"""),"G")</f>
        <v>G</v>
      </c>
      <c r="E1975" s="202" t="str">
        <f ca="1">IFERROR(__xludf.DUMMYFUNCTION("""COMPUTED_VALUE"""),"S")</f>
        <v>S</v>
      </c>
      <c r="F1975" s="202" t="str">
        <f ca="1">IFERROR(__xludf.DUMMYFUNCTION("""COMPUTED_VALUE"""),"S")</f>
        <v>S</v>
      </c>
      <c r="G1975" s="202">
        <f ca="1">IFERROR(__xludf.DUMMYFUNCTION("""COMPUTED_VALUE"""),1)</f>
        <v>1</v>
      </c>
      <c r="H1975" s="206">
        <v>134.15</v>
      </c>
      <c r="I1975" s="206"/>
      <c r="J1975" s="206" t="s">
        <v>121</v>
      </c>
      <c r="K1975" s="206"/>
      <c r="L1975" s="206" t="str">
        <v xml:space="preserve"> 134.15</v>
      </c>
      <c r="M1975" s="206" t="str">
        <v/>
      </c>
    </row>
    <row r="1976" spans="1:13" ht="14.4">
      <c r="A1976" s="199" t="str">
        <f ca="1">IFERROR(__xludf.DUMMYFUNCTION("""COMPUTED_VALUE"""),"SR")</f>
        <v>SR</v>
      </c>
      <c r="B1976" s="207" t="str">
        <f ca="1">IFERROR(__xludf.DUMMYFUNCTION("""COMPUTED_VALUE"""),"Claire Scadron")</f>
        <v>Claire Scadron</v>
      </c>
      <c r="C1976" s="199">
        <f ca="1">IFERROR(__xludf.DUMMYFUNCTION("""COMPUTED_VALUE"""),18)</f>
        <v>18</v>
      </c>
      <c r="D1976" s="199" t="str">
        <f ca="1">IFERROR(__xludf.DUMMYFUNCTION("""COMPUTED_VALUE"""),"G")</f>
        <v>G</v>
      </c>
      <c r="E1976" s="202" t="str">
        <f ca="1">IFERROR(__xludf.DUMMYFUNCTION("""COMPUTED_VALUE"""),"S")</f>
        <v>S</v>
      </c>
      <c r="F1976" s="202" t="str">
        <f ca="1">IFERROR(__xludf.DUMMYFUNCTION("""COMPUTED_VALUE"""),"S")</f>
        <v>S</v>
      </c>
      <c r="G1976" s="202">
        <f ca="1">IFERROR(__xludf.DUMMYFUNCTION("""COMPUTED_VALUE"""),1)</f>
        <v>1</v>
      </c>
      <c r="H1976" s="206"/>
      <c r="I1976" s="206"/>
      <c r="J1976" s="206"/>
      <c r="K1976" s="206"/>
      <c r="L1976" s="206" t="str">
        <v/>
      </c>
      <c r="M1976" s="206" t="str">
        <v/>
      </c>
    </row>
    <row r="1977" spans="1:13" ht="14.4">
      <c r="A1977" s="199" t="str">
        <f ca="1">IFERROR(__xludf.DUMMYFUNCTION("""COMPUTED_VALUE"""),"SR")</f>
        <v>SR</v>
      </c>
      <c r="B1977" s="207" t="str">
        <f ca="1">IFERROR(__xludf.DUMMYFUNCTION("""COMPUTED_VALUE"""),"Madeline Hitchcock")</f>
        <v>Madeline Hitchcock</v>
      </c>
      <c r="C1977" s="199">
        <f ca="1">IFERROR(__xludf.DUMMYFUNCTION("""COMPUTED_VALUE"""),17)</f>
        <v>17</v>
      </c>
      <c r="D1977" s="199" t="str">
        <f ca="1">IFERROR(__xludf.DUMMYFUNCTION("""COMPUTED_VALUE"""),"G")</f>
        <v>G</v>
      </c>
      <c r="E1977" s="202" t="str">
        <f ca="1">IFERROR(__xludf.DUMMYFUNCTION("""COMPUTED_VALUE"""),"S")</f>
        <v>S</v>
      </c>
      <c r="F1977" s="202" t="str">
        <f ca="1">IFERROR(__xludf.DUMMYFUNCTION("""COMPUTED_VALUE"""),"S")</f>
        <v>S</v>
      </c>
      <c r="G1977" s="202">
        <f ca="1">IFERROR(__xludf.DUMMYFUNCTION("""COMPUTED_VALUE"""),1)</f>
        <v>1</v>
      </c>
      <c r="H1977" s="206"/>
      <c r="I1977" s="206"/>
      <c r="J1977" s="206"/>
      <c r="K1977" s="206"/>
      <c r="L1977" s="206" t="str">
        <v/>
      </c>
      <c r="M1977" s="206" t="str">
        <v/>
      </c>
    </row>
    <row r="1978" spans="1:13" ht="14.4">
      <c r="A1978" s="199" t="str">
        <f ca="1">IFERROR(__xludf.DUMMYFUNCTION("""COMPUTED_VALUE"""),"SR")</f>
        <v>SR</v>
      </c>
      <c r="B1978" s="207" t="str">
        <f ca="1">IFERROR(__xludf.DUMMYFUNCTION("""COMPUTED_VALUE"""),"Meghan Shivik")</f>
        <v>Meghan Shivik</v>
      </c>
      <c r="C1978" s="199">
        <f ca="1">IFERROR(__xludf.DUMMYFUNCTION("""COMPUTED_VALUE"""),15)</f>
        <v>15</v>
      </c>
      <c r="D1978" s="199" t="str">
        <f ca="1">IFERROR(__xludf.DUMMYFUNCTION("""COMPUTED_VALUE"""),"G")</f>
        <v>G</v>
      </c>
      <c r="E1978" s="202" t="str">
        <f ca="1">IFERROR(__xludf.DUMMYFUNCTION("""COMPUTED_VALUE"""),"S")</f>
        <v>S</v>
      </c>
      <c r="F1978" s="202" t="str">
        <f ca="1">IFERROR(__xludf.DUMMYFUNCTION("""COMPUTED_VALUE"""),"S")</f>
        <v>S</v>
      </c>
      <c r="G1978" s="202">
        <f ca="1">IFERROR(__xludf.DUMMYFUNCTION("""COMPUTED_VALUE"""),1)</f>
        <v>1</v>
      </c>
      <c r="H1978" s="206">
        <v>159.30000000000001</v>
      </c>
      <c r="I1978" s="206"/>
      <c r="J1978" s="206" t="s">
        <v>121</v>
      </c>
      <c r="K1978" s="206"/>
      <c r="L1978" s="206" t="str">
        <v xml:space="preserve"> 159.3</v>
      </c>
      <c r="M1978" s="206" t="str">
        <v/>
      </c>
    </row>
    <row r="1979" spans="1:13" ht="14.4">
      <c r="A1979" s="199" t="str">
        <f ca="1">IFERROR(__xludf.DUMMYFUNCTION("""COMPUTED_VALUE"""),"SR")</f>
        <v>SR</v>
      </c>
      <c r="B1979" s="207" t="str">
        <f ca="1">IFERROR(__xludf.DUMMYFUNCTION("""COMPUTED_VALUE"""),"Reagan McHugh")</f>
        <v>Reagan McHugh</v>
      </c>
      <c r="C1979" s="199">
        <f ca="1">IFERROR(__xludf.DUMMYFUNCTION("""COMPUTED_VALUE"""),19)</f>
        <v>19</v>
      </c>
      <c r="D1979" s="199" t="str">
        <f ca="1">IFERROR(__xludf.DUMMYFUNCTION("""COMPUTED_VALUE"""),"G")</f>
        <v>G</v>
      </c>
      <c r="E1979" s="202" t="str">
        <f ca="1">IFERROR(__xludf.DUMMYFUNCTION("""COMPUTED_VALUE"""),"S")</f>
        <v>S</v>
      </c>
      <c r="F1979" s="202" t="str">
        <f ca="1">IFERROR(__xludf.DUMMYFUNCTION("""COMPUTED_VALUE"""),"S")</f>
        <v>S</v>
      </c>
      <c r="G1979" s="202">
        <f ca="1">IFERROR(__xludf.DUMMYFUNCTION("""COMPUTED_VALUE"""),1)</f>
        <v>1</v>
      </c>
      <c r="H1979" s="206">
        <v>99.75</v>
      </c>
      <c r="I1979" s="206"/>
      <c r="J1979" s="206" t="s">
        <v>121</v>
      </c>
      <c r="K1979" s="206"/>
      <c r="L1979" s="206" t="str">
        <v xml:space="preserve"> 99.75</v>
      </c>
      <c r="M1979" s="206" t="str">
        <v/>
      </c>
    </row>
    <row r="1980" spans="1:13" ht="14.4">
      <c r="A1980" s="199" t="str">
        <f ca="1">IFERROR(__xludf.DUMMYFUNCTION("""COMPUTED_VALUE"""),"SRA")</f>
        <v>SRA</v>
      </c>
      <c r="B1980" s="207" t="str">
        <f ca="1">IFERROR(__xludf.DUMMYFUNCTION("""COMPUTED_VALUE"""),"Collin Christ")</f>
        <v>Collin Christ</v>
      </c>
      <c r="C1980" s="199">
        <f ca="1">IFERROR(__xludf.DUMMYFUNCTION("""COMPUTED_VALUE"""),8)</f>
        <v>8</v>
      </c>
      <c r="D1980" s="199" t="str">
        <f ca="1">IFERROR(__xludf.DUMMYFUNCTION("""COMPUTED_VALUE"""),"B")</f>
        <v>B</v>
      </c>
      <c r="E1980" s="202" t="str">
        <f ca="1">IFERROR(__xludf.DUMMYFUNCTION("""COMPUTED_VALUE"""),"F")</f>
        <v>F</v>
      </c>
      <c r="F1980" s="202" t="str">
        <f ca="1">IFERROR(__xludf.DUMMYFUNCTION("""COMPUTED_VALUE"""),"J")</f>
        <v>J</v>
      </c>
      <c r="G1980" s="202">
        <f ca="1">IFERROR(__xludf.DUMMYFUNCTION("""COMPUTED_VALUE"""),7)</f>
        <v>7</v>
      </c>
      <c r="H1980" s="206"/>
      <c r="I1980" s="206">
        <v>40.049999999999997</v>
      </c>
      <c r="J1980" s="206"/>
      <c r="K1980" s="206" t="s">
        <v>121</v>
      </c>
      <c r="L1980" s="206" t="str">
        <v xml:space="preserve"> 40.05</v>
      </c>
      <c r="M1980" s="206" t="str">
        <v/>
      </c>
    </row>
    <row r="1981" spans="1:13" ht="14.4">
      <c r="A1981" s="199" t="str">
        <f ca="1">IFERROR(__xludf.DUMMYFUNCTION("""COMPUTED_VALUE"""),"SRA")</f>
        <v>SRA</v>
      </c>
      <c r="B1981" s="207" t="str">
        <f ca="1">IFERROR(__xludf.DUMMYFUNCTION("""COMPUTED_VALUE"""),"Finn Jackson")</f>
        <v>Finn Jackson</v>
      </c>
      <c r="C1981" s="199">
        <f ca="1">IFERROR(__xludf.DUMMYFUNCTION("""COMPUTED_VALUE"""),6)</f>
        <v>6</v>
      </c>
      <c r="D1981" s="199" t="str">
        <f ca="1">IFERROR(__xludf.DUMMYFUNCTION("""COMPUTED_VALUE"""),"B")</f>
        <v>B</v>
      </c>
      <c r="E1981" s="202" t="str">
        <f ca="1">IFERROR(__xludf.DUMMYFUNCTION("""COMPUTED_VALUE"""),"F")</f>
        <v>F</v>
      </c>
      <c r="F1981" s="202" t="str">
        <f ca="1">IFERROR(__xludf.DUMMYFUNCTION("""COMPUTED_VALUE"""),"J")</f>
        <v>J</v>
      </c>
      <c r="G1981" s="202">
        <f ca="1">IFERROR(__xludf.DUMMYFUNCTION("""COMPUTED_VALUE"""),7)</f>
        <v>7</v>
      </c>
      <c r="H1981" s="206"/>
      <c r="I1981" s="206"/>
      <c r="J1981" s="206"/>
      <c r="K1981" s="206"/>
      <c r="L1981" s="206" t="str">
        <v/>
      </c>
      <c r="M1981" s="206" t="str">
        <v/>
      </c>
    </row>
    <row r="1982" spans="1:13" ht="14.4">
      <c r="A1982" s="199" t="str">
        <f ca="1">IFERROR(__xludf.DUMMYFUNCTION("""COMPUTED_VALUE"""),"SRA")</f>
        <v>SRA</v>
      </c>
      <c r="B1982" s="207" t="str">
        <f ca="1">IFERROR(__xludf.DUMMYFUNCTION("""COMPUTED_VALUE"""),"Finn Price")</f>
        <v>Finn Price</v>
      </c>
      <c r="C1982" s="199">
        <f ca="1">IFERROR(__xludf.DUMMYFUNCTION("""COMPUTED_VALUE"""),7)</f>
        <v>7</v>
      </c>
      <c r="D1982" s="199" t="str">
        <f ca="1">IFERROR(__xludf.DUMMYFUNCTION("""COMPUTED_VALUE"""),"B")</f>
        <v>B</v>
      </c>
      <c r="E1982" s="202" t="str">
        <f ca="1">IFERROR(__xludf.DUMMYFUNCTION("""COMPUTED_VALUE"""),"F")</f>
        <v>F</v>
      </c>
      <c r="F1982" s="202" t="str">
        <f ca="1">IFERROR(__xludf.DUMMYFUNCTION("""COMPUTED_VALUE"""),"J")</f>
        <v>J</v>
      </c>
      <c r="G1982" s="202">
        <f ca="1">IFERROR(__xludf.DUMMYFUNCTION("""COMPUTED_VALUE"""),7)</f>
        <v>7</v>
      </c>
      <c r="H1982" s="206"/>
      <c r="I1982" s="206">
        <v>18.2</v>
      </c>
      <c r="J1982" s="206"/>
      <c r="K1982" s="206" t="s">
        <v>121</v>
      </c>
      <c r="L1982" s="206" t="str">
        <v xml:space="preserve"> 18.2</v>
      </c>
      <c r="M1982" s="206" t="str">
        <v/>
      </c>
    </row>
    <row r="1983" spans="1:13" ht="14.4">
      <c r="A1983" s="199" t="str">
        <f ca="1">IFERROR(__xludf.DUMMYFUNCTION("""COMPUTED_VALUE"""),"SRA")</f>
        <v>SRA</v>
      </c>
      <c r="B1983" s="207" t="str">
        <f ca="1">IFERROR(__xludf.DUMMYFUNCTION("""COMPUTED_VALUE"""),"Grayson Morrisette")</f>
        <v>Grayson Morrisette</v>
      </c>
      <c r="C1983" s="199">
        <f ca="1">IFERROR(__xludf.DUMMYFUNCTION("""COMPUTED_VALUE"""),10)</f>
        <v>10</v>
      </c>
      <c r="D1983" s="199" t="str">
        <f ca="1">IFERROR(__xludf.DUMMYFUNCTION("""COMPUTED_VALUE"""),"B")</f>
        <v>B</v>
      </c>
      <c r="E1983" s="202" t="str">
        <f ca="1">IFERROR(__xludf.DUMMYFUNCTION("""COMPUTED_VALUE"""),"F")</f>
        <v>F</v>
      </c>
      <c r="F1983" s="202" t="str">
        <f ca="1">IFERROR(__xludf.DUMMYFUNCTION("""COMPUTED_VALUE"""),"J")</f>
        <v>J</v>
      </c>
      <c r="G1983" s="202">
        <f ca="1">IFERROR(__xludf.DUMMYFUNCTION("""COMPUTED_VALUE"""),7)</f>
        <v>7</v>
      </c>
      <c r="H1983" s="206"/>
      <c r="I1983" s="206">
        <v>31.8</v>
      </c>
      <c r="J1983" s="206"/>
      <c r="K1983" s="206" t="s">
        <v>121</v>
      </c>
      <c r="L1983" s="206" t="str">
        <v xml:space="preserve"> 31.8</v>
      </c>
      <c r="M1983" s="206" t="str">
        <v/>
      </c>
    </row>
    <row r="1984" spans="1:13" ht="14.4">
      <c r="A1984" s="199" t="str">
        <f ca="1">IFERROR(__xludf.DUMMYFUNCTION("""COMPUTED_VALUE"""),"SRA")</f>
        <v>SRA</v>
      </c>
      <c r="B1984" s="207" t="str">
        <f ca="1">IFERROR(__xludf.DUMMYFUNCTION("""COMPUTED_VALUE"""),"Henry Foote")</f>
        <v>Henry Foote</v>
      </c>
      <c r="C1984" s="199">
        <f ca="1">IFERROR(__xludf.DUMMYFUNCTION("""COMPUTED_VALUE"""),10)</f>
        <v>10</v>
      </c>
      <c r="D1984" s="199" t="str">
        <f ca="1">IFERROR(__xludf.DUMMYFUNCTION("""COMPUTED_VALUE"""),"B")</f>
        <v>B</v>
      </c>
      <c r="E1984" s="202" t="str">
        <f ca="1">IFERROR(__xludf.DUMMYFUNCTION("""COMPUTED_VALUE"""),"F")</f>
        <v>F</v>
      </c>
      <c r="F1984" s="202" t="str">
        <f ca="1">IFERROR(__xludf.DUMMYFUNCTION("""COMPUTED_VALUE"""),"J")</f>
        <v>J</v>
      </c>
      <c r="G1984" s="202">
        <f ca="1">IFERROR(__xludf.DUMMYFUNCTION("""COMPUTED_VALUE"""),7)</f>
        <v>7</v>
      </c>
      <c r="H1984" s="206"/>
      <c r="I1984" s="206"/>
      <c r="J1984" s="206"/>
      <c r="K1984" s="206"/>
      <c r="L1984" s="206" t="str">
        <v/>
      </c>
      <c r="M1984" s="206" t="str">
        <v/>
      </c>
    </row>
    <row r="1985" spans="1:13" ht="14.4">
      <c r="A1985" s="199" t="str">
        <f ca="1">IFERROR(__xludf.DUMMYFUNCTION("""COMPUTED_VALUE"""),"SRA")</f>
        <v>SRA</v>
      </c>
      <c r="B1985" s="207" t="str">
        <f ca="1">IFERROR(__xludf.DUMMYFUNCTION("""COMPUTED_VALUE"""),"Jacob Cheney")</f>
        <v>Jacob Cheney</v>
      </c>
      <c r="C1985" s="199">
        <f ca="1">IFERROR(__xludf.DUMMYFUNCTION("""COMPUTED_VALUE"""),7)</f>
        <v>7</v>
      </c>
      <c r="D1985" s="199" t="str">
        <f ca="1">IFERROR(__xludf.DUMMYFUNCTION("""COMPUTED_VALUE"""),"B")</f>
        <v>B</v>
      </c>
      <c r="E1985" s="202" t="str">
        <f ca="1">IFERROR(__xludf.DUMMYFUNCTION("""COMPUTED_VALUE"""),"F")</f>
        <v>F</v>
      </c>
      <c r="F1985" s="202" t="str">
        <f ca="1">IFERROR(__xludf.DUMMYFUNCTION("""COMPUTED_VALUE"""),"J")</f>
        <v>J</v>
      </c>
      <c r="G1985" s="202">
        <f ca="1">IFERROR(__xludf.DUMMYFUNCTION("""COMPUTED_VALUE"""),7)</f>
        <v>7</v>
      </c>
      <c r="H1985" s="206"/>
      <c r="I1985" s="206"/>
      <c r="J1985" s="206"/>
      <c r="K1985" s="206"/>
      <c r="L1985" s="206" t="str">
        <v/>
      </c>
      <c r="M1985" s="206" t="str">
        <v/>
      </c>
    </row>
    <row r="1986" spans="1:13" ht="14.4">
      <c r="A1986" s="199" t="str">
        <f ca="1">IFERROR(__xludf.DUMMYFUNCTION("""COMPUTED_VALUE"""),"SRA")</f>
        <v>SRA</v>
      </c>
      <c r="B1986" s="207" t="str">
        <f ca="1">IFERROR(__xludf.DUMMYFUNCTION("""COMPUTED_VALUE"""),"JJ Froemke")</f>
        <v>JJ Froemke</v>
      </c>
      <c r="C1986" s="199">
        <f ca="1">IFERROR(__xludf.DUMMYFUNCTION("""COMPUTED_VALUE"""),10)</f>
        <v>10</v>
      </c>
      <c r="D1986" s="199" t="str">
        <f ca="1">IFERROR(__xludf.DUMMYFUNCTION("""COMPUTED_VALUE"""),"B")</f>
        <v>B</v>
      </c>
      <c r="E1986" s="202" t="str">
        <f ca="1">IFERROR(__xludf.DUMMYFUNCTION("""COMPUTED_VALUE"""),"F")</f>
        <v>F</v>
      </c>
      <c r="F1986" s="202" t="str">
        <f ca="1">IFERROR(__xludf.DUMMYFUNCTION("""COMPUTED_VALUE"""),"J")</f>
        <v>J</v>
      </c>
      <c r="G1986" s="202">
        <f ca="1">IFERROR(__xludf.DUMMYFUNCTION("""COMPUTED_VALUE"""),7)</f>
        <v>7</v>
      </c>
      <c r="H1986" s="206"/>
      <c r="I1986" s="206"/>
      <c r="J1986" s="206"/>
      <c r="K1986" s="206"/>
      <c r="L1986" s="206" t="str">
        <v/>
      </c>
      <c r="M1986" s="206" t="str">
        <v/>
      </c>
    </row>
    <row r="1987" spans="1:13" ht="14.4">
      <c r="A1987" s="199" t="str">
        <f ca="1">IFERROR(__xludf.DUMMYFUNCTION("""COMPUTED_VALUE"""),"SRA")</f>
        <v>SRA</v>
      </c>
      <c r="B1987" s="207" t="str">
        <f ca="1">IFERROR(__xludf.DUMMYFUNCTION("""COMPUTED_VALUE"""),"John Hawkins")</f>
        <v>John Hawkins</v>
      </c>
      <c r="C1987" s="199">
        <f ca="1">IFERROR(__xludf.DUMMYFUNCTION("""COMPUTED_VALUE"""),7)</f>
        <v>7</v>
      </c>
      <c r="D1987" s="199" t="str">
        <f ca="1">IFERROR(__xludf.DUMMYFUNCTION("""COMPUTED_VALUE"""),"B")</f>
        <v>B</v>
      </c>
      <c r="E1987" s="202" t="str">
        <f ca="1">IFERROR(__xludf.DUMMYFUNCTION("""COMPUTED_VALUE"""),"F")</f>
        <v>F</v>
      </c>
      <c r="F1987" s="202" t="str">
        <f ca="1">IFERROR(__xludf.DUMMYFUNCTION("""COMPUTED_VALUE"""),"J")</f>
        <v>J</v>
      </c>
      <c r="G1987" s="202">
        <f ca="1">IFERROR(__xludf.DUMMYFUNCTION("""COMPUTED_VALUE"""),7)</f>
        <v>7</v>
      </c>
      <c r="H1987" s="206"/>
      <c r="I1987" s="206"/>
      <c r="J1987" s="206"/>
      <c r="K1987" s="206"/>
      <c r="L1987" s="206" t="str">
        <v/>
      </c>
      <c r="M1987" s="206" t="str">
        <v/>
      </c>
    </row>
    <row r="1988" spans="1:13" ht="14.4">
      <c r="A1988" s="199" t="str">
        <f ca="1">IFERROR(__xludf.DUMMYFUNCTION("""COMPUTED_VALUE"""),"SRA")</f>
        <v>SRA</v>
      </c>
      <c r="B1988" s="207" t="str">
        <f ca="1">IFERROR(__xludf.DUMMYFUNCTION("""COMPUTED_VALUE"""),"Liam Ganci")</f>
        <v>Liam Ganci</v>
      </c>
      <c r="C1988" s="199">
        <f ca="1">IFERROR(__xludf.DUMMYFUNCTION("""COMPUTED_VALUE"""),9)</f>
        <v>9</v>
      </c>
      <c r="D1988" s="199" t="str">
        <f ca="1">IFERROR(__xludf.DUMMYFUNCTION("""COMPUTED_VALUE"""),"B")</f>
        <v>B</v>
      </c>
      <c r="E1988" s="202" t="str">
        <f ca="1">IFERROR(__xludf.DUMMYFUNCTION("""COMPUTED_VALUE"""),"F")</f>
        <v>F</v>
      </c>
      <c r="F1988" s="202" t="str">
        <f ca="1">IFERROR(__xludf.DUMMYFUNCTION("""COMPUTED_VALUE"""),"J")</f>
        <v>J</v>
      </c>
      <c r="G1988" s="202">
        <f ca="1">IFERROR(__xludf.DUMMYFUNCTION("""COMPUTED_VALUE"""),7)</f>
        <v>7</v>
      </c>
      <c r="H1988" s="206"/>
      <c r="I1988" s="206">
        <v>42.35</v>
      </c>
      <c r="J1988" s="206"/>
      <c r="K1988" s="206" t="s">
        <v>121</v>
      </c>
      <c r="L1988" s="206" t="str">
        <v xml:space="preserve"> 42.35</v>
      </c>
      <c r="M1988" s="206" t="str">
        <v/>
      </c>
    </row>
    <row r="1989" spans="1:13" ht="14.4">
      <c r="A1989" s="199" t="str">
        <f ca="1">IFERROR(__xludf.DUMMYFUNCTION("""COMPUTED_VALUE"""),"SRA")</f>
        <v>SRA</v>
      </c>
      <c r="B1989" s="207" t="str">
        <f ca="1">IFERROR(__xludf.DUMMYFUNCTION("""COMPUTED_VALUE"""),"Liam Hoffman")</f>
        <v>Liam Hoffman</v>
      </c>
      <c r="C1989" s="199">
        <f ca="1">IFERROR(__xludf.DUMMYFUNCTION("""COMPUTED_VALUE"""),10)</f>
        <v>10</v>
      </c>
      <c r="D1989" s="199" t="str">
        <f ca="1">IFERROR(__xludf.DUMMYFUNCTION("""COMPUTED_VALUE"""),"B")</f>
        <v>B</v>
      </c>
      <c r="E1989" s="202" t="str">
        <f ca="1">IFERROR(__xludf.DUMMYFUNCTION("""COMPUTED_VALUE"""),"F")</f>
        <v>F</v>
      </c>
      <c r="F1989" s="202" t="str">
        <f ca="1">IFERROR(__xludf.DUMMYFUNCTION("""COMPUTED_VALUE"""),"J")</f>
        <v>J</v>
      </c>
      <c r="G1989" s="202">
        <f ca="1">IFERROR(__xludf.DUMMYFUNCTION("""COMPUTED_VALUE"""),7)</f>
        <v>7</v>
      </c>
      <c r="H1989" s="206"/>
      <c r="I1989" s="206"/>
      <c r="J1989" s="206"/>
      <c r="K1989" s="206"/>
      <c r="L1989" s="206" t="str">
        <v/>
      </c>
      <c r="M1989" s="206" t="str">
        <v/>
      </c>
    </row>
    <row r="1990" spans="1:13" ht="14.4">
      <c r="A1990" s="199" t="str">
        <f ca="1">IFERROR(__xludf.DUMMYFUNCTION("""COMPUTED_VALUE"""),"SRA")</f>
        <v>SRA</v>
      </c>
      <c r="B1990" s="207" t="str">
        <f ca="1">IFERROR(__xludf.DUMMYFUNCTION("""COMPUTED_VALUE"""),"Luke Bauer")</f>
        <v>Luke Bauer</v>
      </c>
      <c r="C1990" s="199">
        <f ca="1">IFERROR(__xludf.DUMMYFUNCTION("""COMPUTED_VALUE"""),7)</f>
        <v>7</v>
      </c>
      <c r="D1990" s="199" t="str">
        <f ca="1">IFERROR(__xludf.DUMMYFUNCTION("""COMPUTED_VALUE"""),"B")</f>
        <v>B</v>
      </c>
      <c r="E1990" s="202" t="str">
        <f ca="1">IFERROR(__xludf.DUMMYFUNCTION("""COMPUTED_VALUE"""),"F")</f>
        <v>F</v>
      </c>
      <c r="F1990" s="202" t="str">
        <f ca="1">IFERROR(__xludf.DUMMYFUNCTION("""COMPUTED_VALUE"""),"J")</f>
        <v>J</v>
      </c>
      <c r="G1990" s="202">
        <f ca="1">IFERROR(__xludf.DUMMYFUNCTION("""COMPUTED_VALUE"""),7)</f>
        <v>7</v>
      </c>
      <c r="H1990" s="206"/>
      <c r="I1990" s="206"/>
      <c r="J1990" s="206"/>
      <c r="K1990" s="206"/>
      <c r="L1990" s="206" t="str">
        <v/>
      </c>
      <c r="M1990" s="206" t="str">
        <v/>
      </c>
    </row>
    <row r="1991" spans="1:13" ht="14.4">
      <c r="A1991" s="199" t="str">
        <f ca="1">IFERROR(__xludf.DUMMYFUNCTION("""COMPUTED_VALUE"""),"SRA")</f>
        <v>SRA</v>
      </c>
      <c r="B1991" s="207" t="str">
        <f ca="1">IFERROR(__xludf.DUMMYFUNCTION("""COMPUTED_VALUE"""),"Marco Fazio")</f>
        <v>Marco Fazio</v>
      </c>
      <c r="C1991" s="199">
        <f ca="1">IFERROR(__xludf.DUMMYFUNCTION("""COMPUTED_VALUE"""),6)</f>
        <v>6</v>
      </c>
      <c r="D1991" s="199" t="str">
        <f ca="1">IFERROR(__xludf.DUMMYFUNCTION("""COMPUTED_VALUE"""),"B")</f>
        <v>B</v>
      </c>
      <c r="E1991" s="202" t="str">
        <f ca="1">IFERROR(__xludf.DUMMYFUNCTION("""COMPUTED_VALUE"""),"F")</f>
        <v>F</v>
      </c>
      <c r="F1991" s="202" t="str">
        <f ca="1">IFERROR(__xludf.DUMMYFUNCTION("""COMPUTED_VALUE"""),"J")</f>
        <v>J</v>
      </c>
      <c r="G1991" s="202">
        <f ca="1">IFERROR(__xludf.DUMMYFUNCTION("""COMPUTED_VALUE"""),7)</f>
        <v>7</v>
      </c>
      <c r="H1991" s="206"/>
      <c r="I1991" s="206"/>
      <c r="J1991" s="206"/>
      <c r="K1991" s="206"/>
      <c r="L1991" s="206" t="str">
        <v/>
      </c>
      <c r="M1991" s="206" t="str">
        <v/>
      </c>
    </row>
    <row r="1992" spans="1:13" ht="14.4">
      <c r="A1992" s="199" t="str">
        <f ca="1">IFERROR(__xludf.DUMMYFUNCTION("""COMPUTED_VALUE"""),"SRA")</f>
        <v>SRA</v>
      </c>
      <c r="B1992" s="207" t="str">
        <f ca="1">IFERROR(__xludf.DUMMYFUNCTION("""COMPUTED_VALUE"""),"Matteo Fazio")</f>
        <v>Matteo Fazio</v>
      </c>
      <c r="C1992" s="199">
        <f ca="1">IFERROR(__xludf.DUMMYFUNCTION("""COMPUTED_VALUE"""),10)</f>
        <v>10</v>
      </c>
      <c r="D1992" s="199" t="str">
        <f ca="1">IFERROR(__xludf.DUMMYFUNCTION("""COMPUTED_VALUE"""),"B")</f>
        <v>B</v>
      </c>
      <c r="E1992" s="202" t="str">
        <f ca="1">IFERROR(__xludf.DUMMYFUNCTION("""COMPUTED_VALUE"""),"F")</f>
        <v>F</v>
      </c>
      <c r="F1992" s="202" t="str">
        <f ca="1">IFERROR(__xludf.DUMMYFUNCTION("""COMPUTED_VALUE"""),"J")</f>
        <v>J</v>
      </c>
      <c r="G1992" s="202">
        <f ca="1">IFERROR(__xludf.DUMMYFUNCTION("""COMPUTED_VALUE"""),7)</f>
        <v>7</v>
      </c>
      <c r="H1992" s="206"/>
      <c r="I1992" s="206">
        <v>30.2</v>
      </c>
      <c r="J1992" s="206"/>
      <c r="K1992" s="206" t="s">
        <v>121</v>
      </c>
      <c r="L1992" s="206" t="str">
        <v xml:space="preserve"> 30.2</v>
      </c>
      <c r="M1992" s="206" t="str">
        <v/>
      </c>
    </row>
    <row r="1993" spans="1:13" ht="14.4">
      <c r="A1993" s="199" t="str">
        <f ca="1">IFERROR(__xludf.DUMMYFUNCTION("""COMPUTED_VALUE"""),"SRA")</f>
        <v>SRA</v>
      </c>
      <c r="B1993" s="207" t="str">
        <f ca="1">IFERROR(__xludf.DUMMYFUNCTION("""COMPUTED_VALUE"""),"McKay Boyer")</f>
        <v>McKay Boyer</v>
      </c>
      <c r="C1993" s="199">
        <f ca="1">IFERROR(__xludf.DUMMYFUNCTION("""COMPUTED_VALUE"""),8)</f>
        <v>8</v>
      </c>
      <c r="D1993" s="199" t="str">
        <f ca="1">IFERROR(__xludf.DUMMYFUNCTION("""COMPUTED_VALUE"""),"B")</f>
        <v>B</v>
      </c>
      <c r="E1993" s="202" t="str">
        <f ca="1">IFERROR(__xludf.DUMMYFUNCTION("""COMPUTED_VALUE"""),"F")</f>
        <v>F</v>
      </c>
      <c r="F1993" s="202" t="str">
        <f ca="1">IFERROR(__xludf.DUMMYFUNCTION("""COMPUTED_VALUE"""),"J")</f>
        <v>J</v>
      </c>
      <c r="G1993" s="202">
        <f ca="1">IFERROR(__xludf.DUMMYFUNCTION("""COMPUTED_VALUE"""),7)</f>
        <v>7</v>
      </c>
      <c r="H1993" s="206"/>
      <c r="I1993" s="206"/>
      <c r="J1993" s="206"/>
      <c r="K1993" s="206"/>
      <c r="L1993" s="206" t="str">
        <v/>
      </c>
      <c r="M1993" s="206" t="str">
        <v/>
      </c>
    </row>
    <row r="1994" spans="1:13" ht="14.4">
      <c r="A1994" s="199" t="str">
        <f ca="1">IFERROR(__xludf.DUMMYFUNCTION("""COMPUTED_VALUE"""),"SRA")</f>
        <v>SRA</v>
      </c>
      <c r="B1994" s="207" t="str">
        <f ca="1">IFERROR(__xludf.DUMMYFUNCTION("""COMPUTED_VALUE"""),"Noah Moller")</f>
        <v>Noah Moller</v>
      </c>
      <c r="C1994" s="199">
        <f ca="1">IFERROR(__xludf.DUMMYFUNCTION("""COMPUTED_VALUE"""),7)</f>
        <v>7</v>
      </c>
      <c r="D1994" s="199" t="str">
        <f ca="1">IFERROR(__xludf.DUMMYFUNCTION("""COMPUTED_VALUE"""),"B")</f>
        <v>B</v>
      </c>
      <c r="E1994" s="202" t="str">
        <f ca="1">IFERROR(__xludf.DUMMYFUNCTION("""COMPUTED_VALUE"""),"F")</f>
        <v>F</v>
      </c>
      <c r="F1994" s="202" t="str">
        <f ca="1">IFERROR(__xludf.DUMMYFUNCTION("""COMPUTED_VALUE"""),"J")</f>
        <v>J</v>
      </c>
      <c r="G1994" s="202">
        <f ca="1">IFERROR(__xludf.DUMMYFUNCTION("""COMPUTED_VALUE"""),7)</f>
        <v>7</v>
      </c>
      <c r="H1994" s="206"/>
      <c r="I1994" s="206"/>
      <c r="J1994" s="206"/>
      <c r="K1994" s="206"/>
      <c r="L1994" s="206" t="str">
        <v/>
      </c>
      <c r="M1994" s="206" t="str">
        <v/>
      </c>
    </row>
    <row r="1995" spans="1:13" ht="14.4">
      <c r="A1995" s="199" t="str">
        <f ca="1">IFERROR(__xludf.DUMMYFUNCTION("""COMPUTED_VALUE"""),"SRA")</f>
        <v>SRA</v>
      </c>
      <c r="B1995" s="207" t="str">
        <f ca="1">IFERROR(__xludf.DUMMYFUNCTION("""COMPUTED_VALUE"""),"Samuel Kenneally")</f>
        <v>Samuel Kenneally</v>
      </c>
      <c r="C1995" s="199">
        <f ca="1">IFERROR(__xludf.DUMMYFUNCTION("""COMPUTED_VALUE"""),6)</f>
        <v>6</v>
      </c>
      <c r="D1995" s="199" t="str">
        <f ca="1">IFERROR(__xludf.DUMMYFUNCTION("""COMPUTED_VALUE"""),"B")</f>
        <v>B</v>
      </c>
      <c r="E1995" s="202" t="str">
        <f ca="1">IFERROR(__xludf.DUMMYFUNCTION("""COMPUTED_VALUE"""),"F")</f>
        <v>F</v>
      </c>
      <c r="F1995" s="202" t="str">
        <f ca="1">IFERROR(__xludf.DUMMYFUNCTION("""COMPUTED_VALUE"""),"J")</f>
        <v>J</v>
      </c>
      <c r="G1995" s="202">
        <f ca="1">IFERROR(__xludf.DUMMYFUNCTION("""COMPUTED_VALUE"""),7)</f>
        <v>7</v>
      </c>
      <c r="H1995" s="206"/>
      <c r="I1995" s="206"/>
      <c r="J1995" s="206"/>
      <c r="K1995" s="206"/>
      <c r="L1995" s="206" t="str">
        <v/>
      </c>
      <c r="M1995" s="206" t="str">
        <v/>
      </c>
    </row>
    <row r="1996" spans="1:13" ht="14.4">
      <c r="A1996" s="199" t="str">
        <f ca="1">IFERROR(__xludf.DUMMYFUNCTION("""COMPUTED_VALUE"""),"SRA")</f>
        <v>SRA</v>
      </c>
      <c r="B1996" s="207" t="str">
        <f ca="1">IFERROR(__xludf.DUMMYFUNCTION("""COMPUTED_VALUE"""),"Stuart Cox")</f>
        <v>Stuart Cox</v>
      </c>
      <c r="C1996" s="199">
        <f ca="1">IFERROR(__xludf.DUMMYFUNCTION("""COMPUTED_VALUE"""),8)</f>
        <v>8</v>
      </c>
      <c r="D1996" s="199" t="str">
        <f ca="1">IFERROR(__xludf.DUMMYFUNCTION("""COMPUTED_VALUE"""),"B")</f>
        <v>B</v>
      </c>
      <c r="E1996" s="202" t="str">
        <f ca="1">IFERROR(__xludf.DUMMYFUNCTION("""COMPUTED_VALUE"""),"F")</f>
        <v>F</v>
      </c>
      <c r="F1996" s="202" t="str">
        <f ca="1">IFERROR(__xludf.DUMMYFUNCTION("""COMPUTED_VALUE"""),"J")</f>
        <v>J</v>
      </c>
      <c r="G1996" s="202">
        <f ca="1">IFERROR(__xludf.DUMMYFUNCTION("""COMPUTED_VALUE"""),7)</f>
        <v>7</v>
      </c>
      <c r="H1996" s="206"/>
      <c r="I1996" s="206"/>
      <c r="J1996" s="206"/>
      <c r="K1996" s="206"/>
      <c r="L1996" s="206" t="str">
        <v/>
      </c>
      <c r="M1996" s="206" t="str">
        <v/>
      </c>
    </row>
    <row r="1997" spans="1:13" ht="14.4">
      <c r="A1997" s="199" t="str">
        <f ca="1">IFERROR(__xludf.DUMMYFUNCTION("""COMPUTED_VALUE"""),"SRA")</f>
        <v>SRA</v>
      </c>
      <c r="B1997" s="207" t="str">
        <f ca="1">IFERROR(__xludf.DUMMYFUNCTION("""COMPUTED_VALUE"""),"William Lang")</f>
        <v>William Lang</v>
      </c>
      <c r="C1997" s="199">
        <f ca="1">IFERROR(__xludf.DUMMYFUNCTION("""COMPUTED_VALUE"""),10)</f>
        <v>10</v>
      </c>
      <c r="D1997" s="199" t="str">
        <f ca="1">IFERROR(__xludf.DUMMYFUNCTION("""COMPUTED_VALUE"""),"B")</f>
        <v>B</v>
      </c>
      <c r="E1997" s="202" t="str">
        <f ca="1">IFERROR(__xludf.DUMMYFUNCTION("""COMPUTED_VALUE"""),"F")</f>
        <v>F</v>
      </c>
      <c r="F1997" s="202" t="str">
        <f ca="1">IFERROR(__xludf.DUMMYFUNCTION("""COMPUTED_VALUE"""),"J")</f>
        <v>J</v>
      </c>
      <c r="G1997" s="202">
        <f ca="1">IFERROR(__xludf.DUMMYFUNCTION("""COMPUTED_VALUE"""),7)</f>
        <v>7</v>
      </c>
      <c r="H1997" s="206"/>
      <c r="I1997" s="206">
        <v>39.4</v>
      </c>
      <c r="J1997" s="206"/>
      <c r="K1997" s="206" t="s">
        <v>121</v>
      </c>
      <c r="L1997" s="206" t="str">
        <v xml:space="preserve"> 39.4</v>
      </c>
      <c r="M1997" s="206" t="str">
        <v/>
      </c>
    </row>
    <row r="1998" spans="1:13" ht="14.4">
      <c r="A1998" s="199" t="str">
        <f ca="1">IFERROR(__xludf.DUMMYFUNCTION("""COMPUTED_VALUE"""),"SRA")</f>
        <v>SRA</v>
      </c>
      <c r="B1998" s="207" t="str">
        <f ca="1">IFERROR(__xludf.DUMMYFUNCTION("""COMPUTED_VALUE"""),"Brooke Hanig")</f>
        <v>Brooke Hanig</v>
      </c>
      <c r="C1998" s="199">
        <f ca="1">IFERROR(__xludf.DUMMYFUNCTION("""COMPUTED_VALUE"""),6)</f>
        <v>6</v>
      </c>
      <c r="D1998" s="199" t="str">
        <f ca="1">IFERROR(__xludf.DUMMYFUNCTION("""COMPUTED_VALUE"""),"G")</f>
        <v>G</v>
      </c>
      <c r="E1998" s="202" t="str">
        <f ca="1">IFERROR(__xludf.DUMMYFUNCTION("""COMPUTED_VALUE"""),"F")</f>
        <v>F</v>
      </c>
      <c r="F1998" s="202" t="str">
        <f ca="1">IFERROR(__xludf.DUMMYFUNCTION("""COMPUTED_VALUE"""),"J")</f>
        <v>J</v>
      </c>
      <c r="G1998" s="202">
        <f ca="1">IFERROR(__xludf.DUMMYFUNCTION("""COMPUTED_VALUE"""),7)</f>
        <v>7</v>
      </c>
      <c r="H1998" s="206"/>
      <c r="I1998" s="206"/>
      <c r="J1998" s="206"/>
      <c r="K1998" s="206"/>
      <c r="L1998" s="206" t="str">
        <v/>
      </c>
      <c r="M1998" s="206" t="str">
        <v/>
      </c>
    </row>
    <row r="1999" spans="1:13" ht="14.4">
      <c r="A1999" s="199" t="str">
        <f ca="1">IFERROR(__xludf.DUMMYFUNCTION("""COMPUTED_VALUE"""),"SRA")</f>
        <v>SRA</v>
      </c>
      <c r="B1999" s="207" t="str">
        <f ca="1">IFERROR(__xludf.DUMMYFUNCTION("""COMPUTED_VALUE"""),"Camille Upton")</f>
        <v>Camille Upton</v>
      </c>
      <c r="C1999" s="199">
        <f ca="1">IFERROR(__xludf.DUMMYFUNCTION("""COMPUTED_VALUE"""),8)</f>
        <v>8</v>
      </c>
      <c r="D1999" s="199" t="str">
        <f ca="1">IFERROR(__xludf.DUMMYFUNCTION("""COMPUTED_VALUE"""),"G")</f>
        <v>G</v>
      </c>
      <c r="E1999" s="202" t="str">
        <f ca="1">IFERROR(__xludf.DUMMYFUNCTION("""COMPUTED_VALUE"""),"F")</f>
        <v>F</v>
      </c>
      <c r="F1999" s="202" t="str">
        <f ca="1">IFERROR(__xludf.DUMMYFUNCTION("""COMPUTED_VALUE"""),"J")</f>
        <v>J</v>
      </c>
      <c r="G1999" s="202">
        <f ca="1">IFERROR(__xludf.DUMMYFUNCTION("""COMPUTED_VALUE"""),7)</f>
        <v>7</v>
      </c>
      <c r="H1999" s="206"/>
      <c r="I1999" s="206"/>
      <c r="J1999" s="206"/>
      <c r="K1999" s="206"/>
      <c r="L1999" s="206" t="str">
        <v/>
      </c>
      <c r="M1999" s="206" t="str">
        <v/>
      </c>
    </row>
    <row r="2000" spans="1:13" ht="14.4">
      <c r="A2000" s="199" t="str">
        <f ca="1">IFERROR(__xludf.DUMMYFUNCTION("""COMPUTED_VALUE"""),"SRA")</f>
        <v>SRA</v>
      </c>
      <c r="B2000" s="207" t="str">
        <f ca="1">IFERROR(__xludf.DUMMYFUNCTION("""COMPUTED_VALUE"""),"Caroline Baker")</f>
        <v>Caroline Baker</v>
      </c>
      <c r="C2000" s="199">
        <f ca="1">IFERROR(__xludf.DUMMYFUNCTION("""COMPUTED_VALUE"""),6)</f>
        <v>6</v>
      </c>
      <c r="D2000" s="199" t="str">
        <f ca="1">IFERROR(__xludf.DUMMYFUNCTION("""COMPUTED_VALUE"""),"G")</f>
        <v>G</v>
      </c>
      <c r="E2000" s="202" t="str">
        <f ca="1">IFERROR(__xludf.DUMMYFUNCTION("""COMPUTED_VALUE"""),"F")</f>
        <v>F</v>
      </c>
      <c r="F2000" s="202" t="str">
        <f ca="1">IFERROR(__xludf.DUMMYFUNCTION("""COMPUTED_VALUE"""),"J")</f>
        <v>J</v>
      </c>
      <c r="G2000" s="202">
        <f ca="1">IFERROR(__xludf.DUMMYFUNCTION("""COMPUTED_VALUE"""),7)</f>
        <v>7</v>
      </c>
      <c r="H2000" s="206"/>
      <c r="I2000" s="206"/>
      <c r="J2000" s="206"/>
      <c r="K2000" s="206"/>
      <c r="L2000" s="206" t="str">
        <v/>
      </c>
      <c r="M2000" s="206" t="str">
        <v/>
      </c>
    </row>
    <row r="2001" spans="1:13" ht="14.4">
      <c r="A2001" s="199" t="str">
        <f ca="1">IFERROR(__xludf.DUMMYFUNCTION("""COMPUTED_VALUE"""),"SRA")</f>
        <v>SRA</v>
      </c>
      <c r="B2001" s="207" t="str">
        <f ca="1">IFERROR(__xludf.DUMMYFUNCTION("""COMPUTED_VALUE"""),"Claire Cheney")</f>
        <v>Claire Cheney</v>
      </c>
      <c r="C2001" s="199">
        <f ca="1">IFERROR(__xludf.DUMMYFUNCTION("""COMPUTED_VALUE"""),10)</f>
        <v>10</v>
      </c>
      <c r="D2001" s="199" t="str">
        <f ca="1">IFERROR(__xludf.DUMMYFUNCTION("""COMPUTED_VALUE"""),"G")</f>
        <v>G</v>
      </c>
      <c r="E2001" s="202" t="str">
        <f ca="1">IFERROR(__xludf.DUMMYFUNCTION("""COMPUTED_VALUE"""),"F")</f>
        <v>F</v>
      </c>
      <c r="F2001" s="202" t="str">
        <f ca="1">IFERROR(__xludf.DUMMYFUNCTION("""COMPUTED_VALUE"""),"J")</f>
        <v>J</v>
      </c>
      <c r="G2001" s="202">
        <f ca="1">IFERROR(__xludf.DUMMYFUNCTION("""COMPUTED_VALUE"""),7)</f>
        <v>7</v>
      </c>
      <c r="H2001" s="206"/>
      <c r="I2001" s="206"/>
      <c r="J2001" s="206"/>
      <c r="K2001" s="206"/>
      <c r="L2001" s="206" t="str">
        <v/>
      </c>
      <c r="M2001" s="206" t="str">
        <v/>
      </c>
    </row>
    <row r="2002" spans="1:13" ht="14.4">
      <c r="A2002" s="199" t="str">
        <f ca="1">IFERROR(__xludf.DUMMYFUNCTION("""COMPUTED_VALUE"""),"SRA")</f>
        <v>SRA</v>
      </c>
      <c r="B2002" s="207" t="str">
        <f ca="1">IFERROR(__xludf.DUMMYFUNCTION("""COMPUTED_VALUE"""),"Ellie Clark")</f>
        <v>Ellie Clark</v>
      </c>
      <c r="C2002" s="199">
        <f ca="1">IFERROR(__xludf.DUMMYFUNCTION("""COMPUTED_VALUE"""),7)</f>
        <v>7</v>
      </c>
      <c r="D2002" s="199" t="str">
        <f ca="1">IFERROR(__xludf.DUMMYFUNCTION("""COMPUTED_VALUE"""),"G")</f>
        <v>G</v>
      </c>
      <c r="E2002" s="202" t="str">
        <f ca="1">IFERROR(__xludf.DUMMYFUNCTION("""COMPUTED_VALUE"""),"F")</f>
        <v>F</v>
      </c>
      <c r="F2002" s="202" t="str">
        <f ca="1">IFERROR(__xludf.DUMMYFUNCTION("""COMPUTED_VALUE"""),"J")</f>
        <v>J</v>
      </c>
      <c r="G2002" s="202">
        <f ca="1">IFERROR(__xludf.DUMMYFUNCTION("""COMPUTED_VALUE"""),7)</f>
        <v>7</v>
      </c>
      <c r="H2002" s="206"/>
      <c r="I2002" s="206"/>
      <c r="J2002" s="206"/>
      <c r="K2002" s="206"/>
      <c r="L2002" s="206" t="str">
        <v/>
      </c>
      <c r="M2002" s="206" t="str">
        <v/>
      </c>
    </row>
    <row r="2003" spans="1:13" ht="14.4">
      <c r="A2003" s="199" t="str">
        <f ca="1">IFERROR(__xludf.DUMMYFUNCTION("""COMPUTED_VALUE"""),"SRA")</f>
        <v>SRA</v>
      </c>
      <c r="B2003" s="207" t="str">
        <f ca="1">IFERROR(__xludf.DUMMYFUNCTION("""COMPUTED_VALUE"""),"Ellie Elder")</f>
        <v>Ellie Elder</v>
      </c>
      <c r="C2003" s="199">
        <f ca="1">IFERROR(__xludf.DUMMYFUNCTION("""COMPUTED_VALUE"""),9)</f>
        <v>9</v>
      </c>
      <c r="D2003" s="199" t="str">
        <f ca="1">IFERROR(__xludf.DUMMYFUNCTION("""COMPUTED_VALUE"""),"G")</f>
        <v>G</v>
      </c>
      <c r="E2003" s="202" t="str">
        <f ca="1">IFERROR(__xludf.DUMMYFUNCTION("""COMPUTED_VALUE"""),"F")</f>
        <v>F</v>
      </c>
      <c r="F2003" s="202" t="str">
        <f ca="1">IFERROR(__xludf.DUMMYFUNCTION("""COMPUTED_VALUE"""),"J")</f>
        <v>J</v>
      </c>
      <c r="G2003" s="202">
        <f ca="1">IFERROR(__xludf.DUMMYFUNCTION("""COMPUTED_VALUE"""),7)</f>
        <v>7</v>
      </c>
      <c r="H2003" s="206"/>
      <c r="I2003" s="206"/>
      <c r="J2003" s="206"/>
      <c r="K2003" s="206"/>
      <c r="L2003" s="206" t="str">
        <v/>
      </c>
      <c r="M2003" s="206" t="str">
        <v/>
      </c>
    </row>
    <row r="2004" spans="1:13" ht="14.4">
      <c r="A2004" s="199" t="str">
        <f ca="1">IFERROR(__xludf.DUMMYFUNCTION("""COMPUTED_VALUE"""),"SRA")</f>
        <v>SRA</v>
      </c>
      <c r="B2004" s="207" t="str">
        <f ca="1">IFERROR(__xludf.DUMMYFUNCTION("""COMPUTED_VALUE"""),"Evie Ferguson")</f>
        <v>Evie Ferguson</v>
      </c>
      <c r="C2004" s="199">
        <f ca="1">IFERROR(__xludf.DUMMYFUNCTION("""COMPUTED_VALUE"""),7)</f>
        <v>7</v>
      </c>
      <c r="D2004" s="199" t="str">
        <f ca="1">IFERROR(__xludf.DUMMYFUNCTION("""COMPUTED_VALUE"""),"G")</f>
        <v>G</v>
      </c>
      <c r="E2004" s="202" t="str">
        <f ca="1">IFERROR(__xludf.DUMMYFUNCTION("""COMPUTED_VALUE"""),"F")</f>
        <v>F</v>
      </c>
      <c r="F2004" s="202" t="str">
        <f ca="1">IFERROR(__xludf.DUMMYFUNCTION("""COMPUTED_VALUE"""),"J")</f>
        <v>J</v>
      </c>
      <c r="G2004" s="202">
        <f ca="1">IFERROR(__xludf.DUMMYFUNCTION("""COMPUTED_VALUE"""),7)</f>
        <v>7</v>
      </c>
      <c r="H2004" s="206"/>
      <c r="I2004" s="206"/>
      <c r="J2004" s="206"/>
      <c r="K2004" s="206"/>
      <c r="L2004" s="206" t="str">
        <v/>
      </c>
      <c r="M2004" s="206" t="str">
        <v/>
      </c>
    </row>
    <row r="2005" spans="1:13" ht="14.4">
      <c r="A2005" s="199" t="str">
        <f ca="1">IFERROR(__xludf.DUMMYFUNCTION("""COMPUTED_VALUE"""),"SRA")</f>
        <v>SRA</v>
      </c>
      <c r="B2005" s="207" t="str">
        <f ca="1">IFERROR(__xludf.DUMMYFUNCTION("""COMPUTED_VALUE"""),"Julia Rudolph")</f>
        <v>Julia Rudolph</v>
      </c>
      <c r="C2005" s="199">
        <f ca="1">IFERROR(__xludf.DUMMYFUNCTION("""COMPUTED_VALUE"""),6)</f>
        <v>6</v>
      </c>
      <c r="D2005" s="199" t="str">
        <f ca="1">IFERROR(__xludf.DUMMYFUNCTION("""COMPUTED_VALUE"""),"G")</f>
        <v>G</v>
      </c>
      <c r="E2005" s="202" t="str">
        <f ca="1">IFERROR(__xludf.DUMMYFUNCTION("""COMPUTED_VALUE"""),"F")</f>
        <v>F</v>
      </c>
      <c r="F2005" s="202" t="str">
        <f ca="1">IFERROR(__xludf.DUMMYFUNCTION("""COMPUTED_VALUE"""),"J")</f>
        <v>J</v>
      </c>
      <c r="G2005" s="202">
        <f ca="1">IFERROR(__xludf.DUMMYFUNCTION("""COMPUTED_VALUE"""),7)</f>
        <v>7</v>
      </c>
      <c r="H2005" s="206"/>
      <c r="I2005" s="206"/>
      <c r="J2005" s="206"/>
      <c r="K2005" s="206"/>
      <c r="L2005" s="206" t="str">
        <v/>
      </c>
      <c r="M2005" s="206" t="str">
        <v/>
      </c>
    </row>
    <row r="2006" spans="1:13" ht="14.4">
      <c r="A2006" s="199" t="str">
        <f ca="1">IFERROR(__xludf.DUMMYFUNCTION("""COMPUTED_VALUE"""),"SRA")</f>
        <v>SRA</v>
      </c>
      <c r="B2006" s="207" t="str">
        <f ca="1">IFERROR(__xludf.DUMMYFUNCTION("""COMPUTED_VALUE"""),"Leah Staley")</f>
        <v>Leah Staley</v>
      </c>
      <c r="C2006" s="199">
        <f ca="1">IFERROR(__xludf.DUMMYFUNCTION("""COMPUTED_VALUE"""),9)</f>
        <v>9</v>
      </c>
      <c r="D2006" s="199" t="str">
        <f ca="1">IFERROR(__xludf.DUMMYFUNCTION("""COMPUTED_VALUE"""),"G")</f>
        <v>G</v>
      </c>
      <c r="E2006" s="202" t="str">
        <f ca="1">IFERROR(__xludf.DUMMYFUNCTION("""COMPUTED_VALUE"""),"F")</f>
        <v>F</v>
      </c>
      <c r="F2006" s="202" t="str">
        <f ca="1">IFERROR(__xludf.DUMMYFUNCTION("""COMPUTED_VALUE"""),"J")</f>
        <v>J</v>
      </c>
      <c r="G2006" s="202">
        <f ca="1">IFERROR(__xludf.DUMMYFUNCTION("""COMPUTED_VALUE"""),7)</f>
        <v>7</v>
      </c>
      <c r="H2006" s="206"/>
      <c r="I2006" s="206"/>
      <c r="J2006" s="206"/>
      <c r="K2006" s="206"/>
      <c r="L2006" s="206" t="str">
        <v/>
      </c>
      <c r="M2006" s="206" t="str">
        <v/>
      </c>
    </row>
    <row r="2007" spans="1:13" ht="14.4">
      <c r="A2007" s="199" t="str">
        <f ca="1">IFERROR(__xludf.DUMMYFUNCTION("""COMPUTED_VALUE"""),"SRA")</f>
        <v>SRA</v>
      </c>
      <c r="B2007" s="207" t="str">
        <f ca="1">IFERROR(__xludf.DUMMYFUNCTION("""COMPUTED_VALUE"""),"Lena Berry")</f>
        <v>Lena Berry</v>
      </c>
      <c r="C2007" s="199">
        <f ca="1">IFERROR(__xludf.DUMMYFUNCTION("""COMPUTED_VALUE"""),10)</f>
        <v>10</v>
      </c>
      <c r="D2007" s="199" t="str">
        <f ca="1">IFERROR(__xludf.DUMMYFUNCTION("""COMPUTED_VALUE"""),"G")</f>
        <v>G</v>
      </c>
      <c r="E2007" s="202" t="str">
        <f ca="1">IFERROR(__xludf.DUMMYFUNCTION("""COMPUTED_VALUE"""),"F")</f>
        <v>F</v>
      </c>
      <c r="F2007" s="202" t="str">
        <f ca="1">IFERROR(__xludf.DUMMYFUNCTION("""COMPUTED_VALUE"""),"J")</f>
        <v>J</v>
      </c>
      <c r="G2007" s="202">
        <f ca="1">IFERROR(__xludf.DUMMYFUNCTION("""COMPUTED_VALUE"""),7)</f>
        <v>7</v>
      </c>
      <c r="H2007" s="206"/>
      <c r="I2007" s="206"/>
      <c r="J2007" s="206"/>
      <c r="K2007" s="206"/>
      <c r="L2007" s="206" t="str">
        <v/>
      </c>
      <c r="M2007" s="206" t="str">
        <v/>
      </c>
    </row>
    <row r="2008" spans="1:13" ht="14.4">
      <c r="A2008" s="199" t="str">
        <f ca="1">IFERROR(__xludf.DUMMYFUNCTION("""COMPUTED_VALUE"""),"SRA")</f>
        <v>SRA</v>
      </c>
      <c r="B2008" s="207" t="str">
        <f ca="1">IFERROR(__xludf.DUMMYFUNCTION("""COMPUTED_VALUE"""),"Paige Finley")</f>
        <v>Paige Finley</v>
      </c>
      <c r="C2008" s="199">
        <f ca="1">IFERROR(__xludf.DUMMYFUNCTION("""COMPUTED_VALUE"""),10)</f>
        <v>10</v>
      </c>
      <c r="D2008" s="199" t="str">
        <f ca="1">IFERROR(__xludf.DUMMYFUNCTION("""COMPUTED_VALUE"""),"G")</f>
        <v>G</v>
      </c>
      <c r="E2008" s="202" t="str">
        <f ca="1">IFERROR(__xludf.DUMMYFUNCTION("""COMPUTED_VALUE"""),"F")</f>
        <v>F</v>
      </c>
      <c r="F2008" s="202" t="str">
        <f ca="1">IFERROR(__xludf.DUMMYFUNCTION("""COMPUTED_VALUE"""),"J")</f>
        <v>J</v>
      </c>
      <c r="G2008" s="202">
        <f ca="1">IFERROR(__xludf.DUMMYFUNCTION("""COMPUTED_VALUE"""),7)</f>
        <v>7</v>
      </c>
      <c r="H2008" s="206">
        <v>42.45</v>
      </c>
      <c r="I2008" s="206"/>
      <c r="J2008" s="206" t="s">
        <v>121</v>
      </c>
      <c r="K2008" s="206"/>
      <c r="L2008" s="206" t="str">
        <v xml:space="preserve"> 42.45</v>
      </c>
      <c r="M2008" s="206" t="str">
        <v/>
      </c>
    </row>
    <row r="2009" spans="1:13" ht="14.4">
      <c r="A2009" s="199" t="str">
        <f ca="1">IFERROR(__xludf.DUMMYFUNCTION("""COMPUTED_VALUE"""),"SRA")</f>
        <v>SRA</v>
      </c>
      <c r="B2009" s="207" t="str">
        <f ca="1">IFERROR(__xludf.DUMMYFUNCTION("""COMPUTED_VALUE"""),"Penny Cotter")</f>
        <v>Penny Cotter</v>
      </c>
      <c r="C2009" s="199">
        <f ca="1">IFERROR(__xludf.DUMMYFUNCTION("""COMPUTED_VALUE"""),7)</f>
        <v>7</v>
      </c>
      <c r="D2009" s="199" t="str">
        <f ca="1">IFERROR(__xludf.DUMMYFUNCTION("""COMPUTED_VALUE"""),"G")</f>
        <v>G</v>
      </c>
      <c r="E2009" s="202" t="str">
        <f ca="1">IFERROR(__xludf.DUMMYFUNCTION("""COMPUTED_VALUE"""),"F")</f>
        <v>F</v>
      </c>
      <c r="F2009" s="202" t="str">
        <f ca="1">IFERROR(__xludf.DUMMYFUNCTION("""COMPUTED_VALUE"""),"J")</f>
        <v>J</v>
      </c>
      <c r="G2009" s="202">
        <f ca="1">IFERROR(__xludf.DUMMYFUNCTION("""COMPUTED_VALUE"""),7)</f>
        <v>7</v>
      </c>
      <c r="H2009" s="206"/>
      <c r="I2009" s="206"/>
      <c r="J2009" s="206"/>
      <c r="K2009" s="206"/>
      <c r="L2009" s="206" t="str">
        <v/>
      </c>
      <c r="M2009" s="206" t="str">
        <v/>
      </c>
    </row>
    <row r="2010" spans="1:13" ht="14.4">
      <c r="A2010" s="199" t="str">
        <f ca="1">IFERROR(__xludf.DUMMYFUNCTION("""COMPUTED_VALUE"""),"SRA")</f>
        <v>SRA</v>
      </c>
      <c r="B2010" s="207" t="str">
        <f ca="1">IFERROR(__xludf.DUMMYFUNCTION("""COMPUTED_VALUE"""),"Ryan Calligaro")</f>
        <v>Ryan Calligaro</v>
      </c>
      <c r="C2010" s="199">
        <f ca="1">IFERROR(__xludf.DUMMYFUNCTION("""COMPUTED_VALUE"""),13)</f>
        <v>13</v>
      </c>
      <c r="D2010" s="199" t="str">
        <f ca="1">IFERROR(__xludf.DUMMYFUNCTION("""COMPUTED_VALUE"""),"B")</f>
        <v>B</v>
      </c>
      <c r="E2010" s="202" t="str">
        <f ca="1">IFERROR(__xludf.DUMMYFUNCTION("""COMPUTED_VALUE"""),"I")</f>
        <v>I</v>
      </c>
      <c r="F2010" s="202" t="str">
        <f ca="1">IFERROR(__xludf.DUMMYFUNCTION("""COMPUTED_VALUE"""),"S")</f>
        <v>S</v>
      </c>
      <c r="G2010" s="202">
        <f ca="1">IFERROR(__xludf.DUMMYFUNCTION("""COMPUTED_VALUE"""),7)</f>
        <v>7</v>
      </c>
      <c r="H2010" s="206"/>
      <c r="I2010" s="206">
        <v>119.6</v>
      </c>
      <c r="J2010" s="206"/>
      <c r="K2010" s="206" t="s">
        <v>121</v>
      </c>
      <c r="L2010" s="206" t="str">
        <v xml:space="preserve"> 119.6</v>
      </c>
      <c r="M2010" s="206" t="str">
        <v/>
      </c>
    </row>
    <row r="2011" spans="1:13" ht="14.4">
      <c r="A2011" s="199" t="str">
        <f ca="1">IFERROR(__xludf.DUMMYFUNCTION("""COMPUTED_VALUE"""),"SRA")</f>
        <v>SRA</v>
      </c>
      <c r="B2011" s="207" t="str">
        <f ca="1">IFERROR(__xludf.DUMMYFUNCTION("""COMPUTED_VALUE"""),"Analia Boyer")</f>
        <v>Analia Boyer</v>
      </c>
      <c r="C2011" s="199">
        <f ca="1">IFERROR(__xludf.DUMMYFUNCTION("""COMPUTED_VALUE"""),14)</f>
        <v>14</v>
      </c>
      <c r="D2011" s="199" t="str">
        <f ca="1">IFERROR(__xludf.DUMMYFUNCTION("""COMPUTED_VALUE"""),"G")</f>
        <v>G</v>
      </c>
      <c r="E2011" s="202" t="str">
        <f ca="1">IFERROR(__xludf.DUMMYFUNCTION("""COMPUTED_VALUE"""),"I")</f>
        <v>I</v>
      </c>
      <c r="F2011" s="202" t="str">
        <f ca="1">IFERROR(__xludf.DUMMYFUNCTION("""COMPUTED_VALUE"""),"S")</f>
        <v>S</v>
      </c>
      <c r="G2011" s="202">
        <f ca="1">IFERROR(__xludf.DUMMYFUNCTION("""COMPUTED_VALUE"""),7)</f>
        <v>7</v>
      </c>
      <c r="H2011" s="206"/>
      <c r="I2011" s="206"/>
      <c r="J2011" s="206"/>
      <c r="K2011" s="206"/>
      <c r="L2011" s="206" t="str">
        <v/>
      </c>
      <c r="M2011" s="206" t="str">
        <v/>
      </c>
    </row>
    <row r="2012" spans="1:13" ht="14.4">
      <c r="A2012" s="199" t="str">
        <f ca="1">IFERROR(__xludf.DUMMYFUNCTION("""COMPUTED_VALUE"""),"SRA")</f>
        <v>SRA</v>
      </c>
      <c r="B2012" s="207" t="str">
        <f ca="1">IFERROR(__xludf.DUMMYFUNCTION("""COMPUTED_VALUE"""),"Avery Garr")</f>
        <v>Avery Garr</v>
      </c>
      <c r="C2012" s="199">
        <f ca="1">IFERROR(__xludf.DUMMYFUNCTION("""COMPUTED_VALUE"""),13)</f>
        <v>13</v>
      </c>
      <c r="D2012" s="199" t="str">
        <f ca="1">IFERROR(__xludf.DUMMYFUNCTION("""COMPUTED_VALUE"""),"G")</f>
        <v>G</v>
      </c>
      <c r="E2012" s="202" t="str">
        <f ca="1">IFERROR(__xludf.DUMMYFUNCTION("""COMPUTED_VALUE"""),"I")</f>
        <v>I</v>
      </c>
      <c r="F2012" s="202" t="str">
        <f ca="1">IFERROR(__xludf.DUMMYFUNCTION("""COMPUTED_VALUE"""),"S")</f>
        <v>S</v>
      </c>
      <c r="G2012" s="202">
        <f ca="1">IFERROR(__xludf.DUMMYFUNCTION("""COMPUTED_VALUE"""),7)</f>
        <v>7</v>
      </c>
      <c r="H2012" s="206">
        <v>84.75</v>
      </c>
      <c r="I2012" s="206"/>
      <c r="J2012" s="206" t="s">
        <v>121</v>
      </c>
      <c r="K2012" s="206"/>
      <c r="L2012" s="206" t="str">
        <v xml:space="preserve"> 84.75</v>
      </c>
      <c r="M2012" s="206" t="str">
        <v/>
      </c>
    </row>
    <row r="2013" spans="1:13" ht="14.4">
      <c r="A2013" s="199" t="str">
        <f ca="1">IFERROR(__xludf.DUMMYFUNCTION("""COMPUTED_VALUE"""),"SRA")</f>
        <v>SRA</v>
      </c>
      <c r="B2013" s="207" t="str">
        <f ca="1">IFERROR(__xludf.DUMMYFUNCTION("""COMPUTED_VALUE"""),"Isabelle Fazio")</f>
        <v>Isabelle Fazio</v>
      </c>
      <c r="C2013" s="199">
        <f ca="1">IFERROR(__xludf.DUMMYFUNCTION("""COMPUTED_VALUE"""),13)</f>
        <v>13</v>
      </c>
      <c r="D2013" s="199" t="str">
        <f ca="1">IFERROR(__xludf.DUMMYFUNCTION("""COMPUTED_VALUE"""),"G")</f>
        <v>G</v>
      </c>
      <c r="E2013" s="202" t="str">
        <f ca="1">IFERROR(__xludf.DUMMYFUNCTION("""COMPUTED_VALUE"""),"I")</f>
        <v>I</v>
      </c>
      <c r="F2013" s="202" t="str">
        <f ca="1">IFERROR(__xludf.DUMMYFUNCTION("""COMPUTED_VALUE"""),"S")</f>
        <v>S</v>
      </c>
      <c r="G2013" s="202">
        <f ca="1">IFERROR(__xludf.DUMMYFUNCTION("""COMPUTED_VALUE"""),7)</f>
        <v>7</v>
      </c>
      <c r="H2013" s="206"/>
      <c r="I2013" s="206"/>
      <c r="J2013" s="206"/>
      <c r="K2013" s="206"/>
      <c r="L2013" s="206" t="str">
        <v/>
      </c>
      <c r="M2013" s="206" t="str">
        <v/>
      </c>
    </row>
    <row r="2014" spans="1:13" ht="14.4">
      <c r="A2014" s="199" t="str">
        <f ca="1">IFERROR(__xludf.DUMMYFUNCTION("""COMPUTED_VALUE"""),"SRA")</f>
        <v>SRA</v>
      </c>
      <c r="B2014" s="207" t="str">
        <f ca="1">IFERROR(__xludf.DUMMYFUNCTION("""COMPUTED_VALUE"""),"Lily Ross")</f>
        <v>Lily Ross</v>
      </c>
      <c r="C2014" s="199">
        <f ca="1">IFERROR(__xludf.DUMMYFUNCTION("""COMPUTED_VALUE"""),13)</f>
        <v>13</v>
      </c>
      <c r="D2014" s="199" t="str">
        <f ca="1">IFERROR(__xludf.DUMMYFUNCTION("""COMPUTED_VALUE"""),"G")</f>
        <v>G</v>
      </c>
      <c r="E2014" s="202" t="str">
        <f ca="1">IFERROR(__xludf.DUMMYFUNCTION("""COMPUTED_VALUE"""),"I")</f>
        <v>I</v>
      </c>
      <c r="F2014" s="202" t="str">
        <f ca="1">IFERROR(__xludf.DUMMYFUNCTION("""COMPUTED_VALUE"""),"S")</f>
        <v>S</v>
      </c>
      <c r="G2014" s="202">
        <f ca="1">IFERROR(__xludf.DUMMYFUNCTION("""COMPUTED_VALUE"""),7)</f>
        <v>7</v>
      </c>
      <c r="H2014" s="206">
        <v>100.15</v>
      </c>
      <c r="I2014" s="206"/>
      <c r="J2014" s="206" t="s">
        <v>121</v>
      </c>
      <c r="K2014" s="206"/>
      <c r="L2014" s="206" t="str">
        <v xml:space="preserve"> 100.15</v>
      </c>
      <c r="M2014" s="206" t="str">
        <v/>
      </c>
    </row>
    <row r="2015" spans="1:13" ht="14.4">
      <c r="A2015" s="199" t="str">
        <f ca="1">IFERROR(__xludf.DUMMYFUNCTION("""COMPUTED_VALUE"""),"SRA")</f>
        <v>SRA</v>
      </c>
      <c r="B2015" s="207" t="str">
        <f ca="1">IFERROR(__xludf.DUMMYFUNCTION("""COMPUTED_VALUE"""),"Maya Boyer")</f>
        <v>Maya Boyer</v>
      </c>
      <c r="C2015" s="199">
        <f ca="1">IFERROR(__xludf.DUMMYFUNCTION("""COMPUTED_VALUE"""),13)</f>
        <v>13</v>
      </c>
      <c r="D2015" s="199" t="str">
        <f ca="1">IFERROR(__xludf.DUMMYFUNCTION("""COMPUTED_VALUE"""),"G")</f>
        <v>G</v>
      </c>
      <c r="E2015" s="202" t="str">
        <f ca="1">IFERROR(__xludf.DUMMYFUNCTION("""COMPUTED_VALUE"""),"I")</f>
        <v>I</v>
      </c>
      <c r="F2015" s="202" t="str">
        <f ca="1">IFERROR(__xludf.DUMMYFUNCTION("""COMPUTED_VALUE"""),"S")</f>
        <v>S</v>
      </c>
      <c r="G2015" s="202">
        <f ca="1">IFERROR(__xludf.DUMMYFUNCTION("""COMPUTED_VALUE"""),7)</f>
        <v>7</v>
      </c>
      <c r="H2015" s="206"/>
      <c r="I2015" s="206"/>
      <c r="J2015" s="206"/>
      <c r="K2015" s="206"/>
      <c r="L2015" s="206" t="str">
        <v/>
      </c>
      <c r="M2015" s="206" t="str">
        <v/>
      </c>
    </row>
    <row r="2016" spans="1:13" ht="14.4">
      <c r="A2016" s="199" t="str">
        <f ca="1">IFERROR(__xludf.DUMMYFUNCTION("""COMPUTED_VALUE"""),"SRA")</f>
        <v>SRA</v>
      </c>
      <c r="B2016" s="207" t="str">
        <f ca="1">IFERROR(__xludf.DUMMYFUNCTION("""COMPUTED_VALUE"""),"Sophia Ary")</f>
        <v>Sophia Ary</v>
      </c>
      <c r="C2016" s="199">
        <f ca="1">IFERROR(__xludf.DUMMYFUNCTION("""COMPUTED_VALUE"""),13)</f>
        <v>13</v>
      </c>
      <c r="D2016" s="199" t="str">
        <f ca="1">IFERROR(__xludf.DUMMYFUNCTION("""COMPUTED_VALUE"""),"G")</f>
        <v>G</v>
      </c>
      <c r="E2016" s="202" t="str">
        <f ca="1">IFERROR(__xludf.DUMMYFUNCTION("""COMPUTED_VALUE"""),"I")</f>
        <v>I</v>
      </c>
      <c r="F2016" s="202" t="str">
        <f ca="1">IFERROR(__xludf.DUMMYFUNCTION("""COMPUTED_VALUE"""),"S")</f>
        <v>S</v>
      </c>
      <c r="G2016" s="202">
        <f ca="1">IFERROR(__xludf.DUMMYFUNCTION("""COMPUTED_VALUE"""),7)</f>
        <v>7</v>
      </c>
      <c r="H2016" s="206"/>
      <c r="I2016" s="206"/>
      <c r="J2016" s="206"/>
      <c r="K2016" s="206"/>
      <c r="L2016" s="206" t="str">
        <v/>
      </c>
      <c r="M2016" s="206" t="str">
        <v/>
      </c>
    </row>
    <row r="2017" spans="1:13" ht="14.4">
      <c r="A2017" s="199" t="str">
        <f ca="1">IFERROR(__xludf.DUMMYFUNCTION("""COMPUTED_VALUE"""),"SRA")</f>
        <v>SRA</v>
      </c>
      <c r="B2017" s="207" t="str">
        <f ca="1">IFERROR(__xludf.DUMMYFUNCTION("""COMPUTED_VALUE"""),"Aelan Elder")</f>
        <v>Aelan Elder</v>
      </c>
      <c r="C2017" s="199">
        <f ca="1">IFERROR(__xludf.DUMMYFUNCTION("""COMPUTED_VALUE"""),12)</f>
        <v>12</v>
      </c>
      <c r="D2017" s="199" t="str">
        <f ca="1">IFERROR(__xludf.DUMMYFUNCTION("""COMPUTED_VALUE"""),"B")</f>
        <v>B</v>
      </c>
      <c r="E2017" s="202" t="str">
        <f ca="1">IFERROR(__xludf.DUMMYFUNCTION("""COMPUTED_VALUE"""),"J")</f>
        <v>J</v>
      </c>
      <c r="F2017" s="202" t="str">
        <f ca="1">IFERROR(__xludf.DUMMYFUNCTION("""COMPUTED_VALUE"""),"I")</f>
        <v>I</v>
      </c>
      <c r="G2017" s="202">
        <f ca="1">IFERROR(__xludf.DUMMYFUNCTION("""COMPUTED_VALUE"""),7)</f>
        <v>7</v>
      </c>
      <c r="H2017" s="206"/>
      <c r="I2017" s="206">
        <v>67</v>
      </c>
      <c r="J2017" s="206"/>
      <c r="K2017" s="206" t="s">
        <v>121</v>
      </c>
      <c r="L2017" s="206" t="str">
        <v xml:space="preserve"> 67</v>
      </c>
      <c r="M2017" s="206" t="str">
        <v/>
      </c>
    </row>
    <row r="2018" spans="1:13" ht="14.4">
      <c r="A2018" s="199" t="str">
        <f ca="1">IFERROR(__xludf.DUMMYFUNCTION("""COMPUTED_VALUE"""),"SRA")</f>
        <v>SRA</v>
      </c>
      <c r="B2018" s="207" t="str">
        <f ca="1">IFERROR(__xludf.DUMMYFUNCTION("""COMPUTED_VALUE"""),"Andrew O'Dea")</f>
        <v>Andrew O'Dea</v>
      </c>
      <c r="C2018" s="199">
        <f ca="1">IFERROR(__xludf.DUMMYFUNCTION("""COMPUTED_VALUE"""),11)</f>
        <v>11</v>
      </c>
      <c r="D2018" s="199" t="str">
        <f ca="1">IFERROR(__xludf.DUMMYFUNCTION("""COMPUTED_VALUE"""),"B")</f>
        <v>B</v>
      </c>
      <c r="E2018" s="202" t="str">
        <f ca="1">IFERROR(__xludf.DUMMYFUNCTION("""COMPUTED_VALUE"""),"J")</f>
        <v>J</v>
      </c>
      <c r="F2018" s="202" t="str">
        <f ca="1">IFERROR(__xludf.DUMMYFUNCTION("""COMPUTED_VALUE"""),"I")</f>
        <v>I</v>
      </c>
      <c r="G2018" s="202">
        <f ca="1">IFERROR(__xludf.DUMMYFUNCTION("""COMPUTED_VALUE"""),7)</f>
        <v>7</v>
      </c>
      <c r="H2018" s="206"/>
      <c r="I2018" s="206"/>
      <c r="J2018" s="206"/>
      <c r="K2018" s="206"/>
      <c r="L2018" s="206" t="str">
        <v/>
      </c>
      <c r="M2018" s="206" t="str">
        <v/>
      </c>
    </row>
    <row r="2019" spans="1:13" ht="14.4">
      <c r="A2019" s="199" t="str">
        <f ca="1">IFERROR(__xludf.DUMMYFUNCTION("""COMPUTED_VALUE"""),"SRA")</f>
        <v>SRA</v>
      </c>
      <c r="B2019" s="207" t="str">
        <f ca="1">IFERROR(__xludf.DUMMYFUNCTION("""COMPUTED_VALUE"""),"Kayden Deitchman")</f>
        <v>Kayden Deitchman</v>
      </c>
      <c r="C2019" s="199">
        <f ca="1">IFERROR(__xludf.DUMMYFUNCTION("""COMPUTED_VALUE"""),12)</f>
        <v>12</v>
      </c>
      <c r="D2019" s="199" t="str">
        <f ca="1">IFERROR(__xludf.DUMMYFUNCTION("""COMPUTED_VALUE"""),"B")</f>
        <v>B</v>
      </c>
      <c r="E2019" s="202" t="str">
        <f ca="1">IFERROR(__xludf.DUMMYFUNCTION("""COMPUTED_VALUE"""),"J")</f>
        <v>J</v>
      </c>
      <c r="F2019" s="202" t="str">
        <f ca="1">IFERROR(__xludf.DUMMYFUNCTION("""COMPUTED_VALUE"""),"I")</f>
        <v>I</v>
      </c>
      <c r="G2019" s="202">
        <f ca="1">IFERROR(__xludf.DUMMYFUNCTION("""COMPUTED_VALUE"""),7)</f>
        <v>7</v>
      </c>
      <c r="H2019" s="206"/>
      <c r="I2019" s="206"/>
      <c r="J2019" s="206"/>
      <c r="K2019" s="206"/>
      <c r="L2019" s="206" t="str">
        <v/>
      </c>
      <c r="M2019" s="206" t="str">
        <v/>
      </c>
    </row>
    <row r="2020" spans="1:13" ht="14.4">
      <c r="A2020" s="199" t="str">
        <f ca="1">IFERROR(__xludf.DUMMYFUNCTION("""COMPUTED_VALUE"""),"SRA")</f>
        <v>SRA</v>
      </c>
      <c r="B2020" s="207" t="str">
        <f ca="1">IFERROR(__xludf.DUMMYFUNCTION("""COMPUTED_VALUE"""),"Wesley Ferguson")</f>
        <v>Wesley Ferguson</v>
      </c>
      <c r="C2020" s="199">
        <f ca="1">IFERROR(__xludf.DUMMYFUNCTION("""COMPUTED_VALUE"""),12)</f>
        <v>12</v>
      </c>
      <c r="D2020" s="199" t="str">
        <f ca="1">IFERROR(__xludf.DUMMYFUNCTION("""COMPUTED_VALUE"""),"B")</f>
        <v>B</v>
      </c>
      <c r="E2020" s="202" t="str">
        <f ca="1">IFERROR(__xludf.DUMMYFUNCTION("""COMPUTED_VALUE"""),"J")</f>
        <v>J</v>
      </c>
      <c r="F2020" s="202" t="str">
        <f ca="1">IFERROR(__xludf.DUMMYFUNCTION("""COMPUTED_VALUE"""),"I")</f>
        <v>I</v>
      </c>
      <c r="G2020" s="202">
        <f ca="1">IFERROR(__xludf.DUMMYFUNCTION("""COMPUTED_VALUE"""),7)</f>
        <v>7</v>
      </c>
      <c r="H2020" s="206"/>
      <c r="I2020" s="206">
        <v>44.6</v>
      </c>
      <c r="J2020" s="206"/>
      <c r="K2020" s="206" t="s">
        <v>121</v>
      </c>
      <c r="L2020" s="206" t="str">
        <v xml:space="preserve"> 44.6</v>
      </c>
      <c r="M2020" s="206" t="str">
        <v/>
      </c>
    </row>
    <row r="2021" spans="1:13" ht="14.4">
      <c r="A2021" s="199" t="str">
        <f ca="1">IFERROR(__xludf.DUMMYFUNCTION("""COMPUTED_VALUE"""),"SRA")</f>
        <v>SRA</v>
      </c>
      <c r="B2021" s="207" t="str">
        <f ca="1">IFERROR(__xludf.DUMMYFUNCTION("""COMPUTED_VALUE"""),"Aysel El Bourini")</f>
        <v>Aysel El Bourini</v>
      </c>
      <c r="C2021" s="199">
        <f ca="1">IFERROR(__xludf.DUMMYFUNCTION("""COMPUTED_VALUE"""),11)</f>
        <v>11</v>
      </c>
      <c r="D2021" s="199" t="str">
        <f ca="1">IFERROR(__xludf.DUMMYFUNCTION("""COMPUTED_VALUE"""),"G")</f>
        <v>G</v>
      </c>
      <c r="E2021" s="202" t="str">
        <f ca="1">IFERROR(__xludf.DUMMYFUNCTION("""COMPUTED_VALUE"""),"J")</f>
        <v>J</v>
      </c>
      <c r="F2021" s="202" t="str">
        <f ca="1">IFERROR(__xludf.DUMMYFUNCTION("""COMPUTED_VALUE"""),"I")</f>
        <v>I</v>
      </c>
      <c r="G2021" s="202">
        <f ca="1">IFERROR(__xludf.DUMMYFUNCTION("""COMPUTED_VALUE"""),7)</f>
        <v>7</v>
      </c>
      <c r="H2021" s="206">
        <v>46.3</v>
      </c>
      <c r="I2021" s="206"/>
      <c r="J2021" s="206" t="s">
        <v>121</v>
      </c>
      <c r="K2021" s="206"/>
      <c r="L2021" s="206" t="str">
        <v xml:space="preserve"> 46.3</v>
      </c>
      <c r="M2021" s="206" t="str">
        <v/>
      </c>
    </row>
    <row r="2022" spans="1:13" ht="14.4">
      <c r="A2022" s="199" t="str">
        <f ca="1">IFERROR(__xludf.DUMMYFUNCTION("""COMPUTED_VALUE"""),"SRA")</f>
        <v>SRA</v>
      </c>
      <c r="B2022" s="207" t="str">
        <f ca="1">IFERROR(__xludf.DUMMYFUNCTION("""COMPUTED_VALUE"""),"Charlotte Garr")</f>
        <v>Charlotte Garr</v>
      </c>
      <c r="C2022" s="199">
        <f ca="1">IFERROR(__xludf.DUMMYFUNCTION("""COMPUTED_VALUE"""),11)</f>
        <v>11</v>
      </c>
      <c r="D2022" s="199" t="str">
        <f ca="1">IFERROR(__xludf.DUMMYFUNCTION("""COMPUTED_VALUE"""),"G")</f>
        <v>G</v>
      </c>
      <c r="E2022" s="202" t="str">
        <f ca="1">IFERROR(__xludf.DUMMYFUNCTION("""COMPUTED_VALUE"""),"J")</f>
        <v>J</v>
      </c>
      <c r="F2022" s="202" t="str">
        <f ca="1">IFERROR(__xludf.DUMMYFUNCTION("""COMPUTED_VALUE"""),"I")</f>
        <v>I</v>
      </c>
      <c r="G2022" s="202">
        <f ca="1">IFERROR(__xludf.DUMMYFUNCTION("""COMPUTED_VALUE"""),7)</f>
        <v>7</v>
      </c>
      <c r="H2022" s="206"/>
      <c r="I2022" s="206"/>
      <c r="J2022" s="206"/>
      <c r="K2022" s="206"/>
      <c r="L2022" s="206" t="str">
        <v/>
      </c>
      <c r="M2022" s="206" t="str">
        <v/>
      </c>
    </row>
    <row r="2023" spans="1:13" ht="14.4">
      <c r="A2023" s="199" t="str">
        <f ca="1">IFERROR(__xludf.DUMMYFUNCTION("""COMPUTED_VALUE"""),"SRA")</f>
        <v>SRA</v>
      </c>
      <c r="B2023" s="207" t="str">
        <f ca="1">IFERROR(__xludf.DUMMYFUNCTION("""COMPUTED_VALUE"""),"Debbie Burke")</f>
        <v>Debbie Burke</v>
      </c>
      <c r="C2023" s="199">
        <f ca="1">IFERROR(__xludf.DUMMYFUNCTION("""COMPUTED_VALUE"""),12)</f>
        <v>12</v>
      </c>
      <c r="D2023" s="199" t="str">
        <f ca="1">IFERROR(__xludf.DUMMYFUNCTION("""COMPUTED_VALUE"""),"G")</f>
        <v>G</v>
      </c>
      <c r="E2023" s="202" t="str">
        <f ca="1">IFERROR(__xludf.DUMMYFUNCTION("""COMPUTED_VALUE"""),"J")</f>
        <v>J</v>
      </c>
      <c r="F2023" s="202" t="str">
        <f ca="1">IFERROR(__xludf.DUMMYFUNCTION("""COMPUTED_VALUE"""),"I")</f>
        <v>I</v>
      </c>
      <c r="G2023" s="202">
        <f ca="1">IFERROR(__xludf.DUMMYFUNCTION("""COMPUTED_VALUE"""),7)</f>
        <v>7</v>
      </c>
      <c r="H2023" s="206">
        <v>79.150000000000006</v>
      </c>
      <c r="I2023" s="206"/>
      <c r="J2023" s="206" t="s">
        <v>121</v>
      </c>
      <c r="K2023" s="206"/>
      <c r="L2023" s="206" t="str">
        <v xml:space="preserve"> 79.15</v>
      </c>
      <c r="M2023" s="206" t="str">
        <v/>
      </c>
    </row>
    <row r="2024" spans="1:13" ht="14.4">
      <c r="A2024" s="201" t="str">
        <f ca="1">IFERROR(__xludf.DUMMYFUNCTION("""COMPUTED_VALUE"""),"SRA")</f>
        <v>SRA</v>
      </c>
      <c r="B2024" s="209" t="str">
        <f ca="1">IFERROR(__xludf.DUMMYFUNCTION("""COMPUTED_VALUE"""),"Delaney Dean")</f>
        <v>Delaney Dean</v>
      </c>
      <c r="C2024" s="201">
        <f ca="1">IFERROR(__xludf.DUMMYFUNCTION("""COMPUTED_VALUE"""),12)</f>
        <v>12</v>
      </c>
      <c r="D2024" s="201" t="str">
        <f ca="1">IFERROR(__xludf.DUMMYFUNCTION("""COMPUTED_VALUE"""),"G")</f>
        <v>G</v>
      </c>
      <c r="E2024" s="202" t="str">
        <f ca="1">IFERROR(__xludf.DUMMYFUNCTION("""COMPUTED_VALUE"""),"J")</f>
        <v>J</v>
      </c>
      <c r="F2024" s="210" t="str">
        <f ca="1">IFERROR(__xludf.DUMMYFUNCTION("""COMPUTED_VALUE"""),"I")</f>
        <v>I</v>
      </c>
      <c r="G2024" s="210">
        <f ca="1">IFERROR(__xludf.DUMMYFUNCTION("""COMPUTED_VALUE"""),7)</f>
        <v>7</v>
      </c>
      <c r="H2024" s="206">
        <v>72.75</v>
      </c>
      <c r="I2024" s="206"/>
      <c r="J2024" s="206" t="s">
        <v>123</v>
      </c>
      <c r="K2024" s="206"/>
      <c r="L2024" s="206" t="str">
        <v xml:space="preserve"> -72.75</v>
      </c>
      <c r="M2024" s="206" t="str">
        <v>^</v>
      </c>
    </row>
    <row r="2025" spans="1:13" ht="14.4">
      <c r="A2025" s="201" t="str">
        <f ca="1">IFERROR(__xludf.DUMMYFUNCTION("""COMPUTED_VALUE"""),"SRA")</f>
        <v>SRA</v>
      </c>
      <c r="B2025" s="209" t="str">
        <f ca="1">IFERROR(__xludf.DUMMYFUNCTION("""COMPUTED_VALUE"""),"Ellery Fjeld")</f>
        <v>Ellery Fjeld</v>
      </c>
      <c r="C2025" s="201">
        <f ca="1">IFERROR(__xludf.DUMMYFUNCTION("""COMPUTED_VALUE"""),11)</f>
        <v>11</v>
      </c>
      <c r="D2025" s="201" t="str">
        <f ca="1">IFERROR(__xludf.DUMMYFUNCTION("""COMPUTED_VALUE"""),"G")</f>
        <v>G</v>
      </c>
      <c r="E2025" s="202" t="str">
        <f ca="1">IFERROR(__xludf.DUMMYFUNCTION("""COMPUTED_VALUE"""),"J")</f>
        <v>J</v>
      </c>
      <c r="F2025" s="210" t="str">
        <f ca="1">IFERROR(__xludf.DUMMYFUNCTION("""COMPUTED_VALUE"""),"I")</f>
        <v>I</v>
      </c>
      <c r="G2025" s="210">
        <f ca="1">IFERROR(__xludf.DUMMYFUNCTION("""COMPUTED_VALUE"""),7)</f>
        <v>7</v>
      </c>
      <c r="H2025" s="206"/>
      <c r="I2025" s="206"/>
      <c r="J2025" s="206"/>
      <c r="K2025" s="206"/>
      <c r="L2025" s="206" t="str">
        <v/>
      </c>
      <c r="M2025" s="206" t="str">
        <v/>
      </c>
    </row>
    <row r="2026" spans="1:13" ht="14.4">
      <c r="A2026" s="201" t="str">
        <f ca="1">IFERROR(__xludf.DUMMYFUNCTION("""COMPUTED_VALUE"""),"SRA")</f>
        <v>SRA</v>
      </c>
      <c r="B2026" s="209" t="str">
        <f ca="1">IFERROR(__xludf.DUMMYFUNCTION("""COMPUTED_VALUE"""),"Mackenzie Garr")</f>
        <v>Mackenzie Garr</v>
      </c>
      <c r="C2026" s="201">
        <f ca="1">IFERROR(__xludf.DUMMYFUNCTION("""COMPUTED_VALUE"""),11)</f>
        <v>11</v>
      </c>
      <c r="D2026" s="201" t="str">
        <f ca="1">IFERROR(__xludf.DUMMYFUNCTION("""COMPUTED_VALUE"""),"G")</f>
        <v>G</v>
      </c>
      <c r="E2026" s="202" t="str">
        <f ca="1">IFERROR(__xludf.DUMMYFUNCTION("""COMPUTED_VALUE"""),"J")</f>
        <v>J</v>
      </c>
      <c r="F2026" s="210" t="str">
        <f ca="1">IFERROR(__xludf.DUMMYFUNCTION("""COMPUTED_VALUE"""),"I")</f>
        <v>I</v>
      </c>
      <c r="G2026" s="210">
        <f ca="1">IFERROR(__xludf.DUMMYFUNCTION("""COMPUTED_VALUE"""),7)</f>
        <v>7</v>
      </c>
      <c r="H2026" s="206"/>
      <c r="I2026" s="206"/>
      <c r="J2026" s="206"/>
      <c r="K2026" s="206"/>
      <c r="L2026" s="206" t="str">
        <v/>
      </c>
      <c r="M2026" s="206" t="str">
        <v/>
      </c>
    </row>
    <row r="2027" spans="1:13" ht="14.4">
      <c r="A2027" s="201" t="str">
        <f ca="1">IFERROR(__xludf.DUMMYFUNCTION("""COMPUTED_VALUE"""),"SRA")</f>
        <v>SRA</v>
      </c>
      <c r="B2027" s="209" t="str">
        <f ca="1">IFERROR(__xludf.DUMMYFUNCTION("""COMPUTED_VALUE"""),"Maggie Burke")</f>
        <v>Maggie Burke</v>
      </c>
      <c r="C2027" s="201">
        <f ca="1">IFERROR(__xludf.DUMMYFUNCTION("""COMPUTED_VALUE"""),11)</f>
        <v>11</v>
      </c>
      <c r="D2027" s="201" t="str">
        <f ca="1">IFERROR(__xludf.DUMMYFUNCTION("""COMPUTED_VALUE"""),"G")</f>
        <v>G</v>
      </c>
      <c r="E2027" s="202" t="str">
        <f ca="1">IFERROR(__xludf.DUMMYFUNCTION("""COMPUTED_VALUE"""),"J")</f>
        <v>J</v>
      </c>
      <c r="F2027" s="210" t="str">
        <f ca="1">IFERROR(__xludf.DUMMYFUNCTION("""COMPUTED_VALUE"""),"I")</f>
        <v>I</v>
      </c>
      <c r="G2027" s="210">
        <f ca="1">IFERROR(__xludf.DUMMYFUNCTION("""COMPUTED_VALUE"""),7)</f>
        <v>7</v>
      </c>
      <c r="H2027" s="206">
        <v>66.45</v>
      </c>
      <c r="I2027" s="206"/>
      <c r="J2027" s="206" t="s">
        <v>121</v>
      </c>
      <c r="K2027" s="206"/>
      <c r="L2027" s="206" t="str">
        <v xml:space="preserve"> 66.45</v>
      </c>
      <c r="M2027" s="206" t="str">
        <v/>
      </c>
    </row>
    <row r="2028" spans="1:13" ht="14.4">
      <c r="A2028" s="201" t="str">
        <f ca="1">IFERROR(__xludf.DUMMYFUNCTION("""COMPUTED_VALUE"""),"SRA")</f>
        <v>SRA</v>
      </c>
      <c r="B2028" s="209" t="str">
        <f ca="1">IFERROR(__xludf.DUMMYFUNCTION("""COMPUTED_VALUE"""),"Megan O'Dea")</f>
        <v>Megan O'Dea</v>
      </c>
      <c r="C2028" s="201">
        <f ca="1">IFERROR(__xludf.DUMMYFUNCTION("""COMPUTED_VALUE"""),12)</f>
        <v>12</v>
      </c>
      <c r="D2028" s="201" t="str">
        <f ca="1">IFERROR(__xludf.DUMMYFUNCTION("""COMPUTED_VALUE"""),"G")</f>
        <v>G</v>
      </c>
      <c r="E2028" s="202" t="str">
        <f ca="1">IFERROR(__xludf.DUMMYFUNCTION("""COMPUTED_VALUE"""),"J")</f>
        <v>J</v>
      </c>
      <c r="F2028" s="210" t="str">
        <f ca="1">IFERROR(__xludf.DUMMYFUNCTION("""COMPUTED_VALUE"""),"I")</f>
        <v>I</v>
      </c>
      <c r="G2028" s="210">
        <f ca="1">IFERROR(__xludf.DUMMYFUNCTION("""COMPUTED_VALUE"""),7)</f>
        <v>7</v>
      </c>
      <c r="H2028" s="206"/>
      <c r="I2028" s="206"/>
      <c r="J2028" s="206"/>
      <c r="K2028" s="206"/>
      <c r="L2028" s="206" t="str">
        <v/>
      </c>
      <c r="M2028" s="206" t="str">
        <v/>
      </c>
    </row>
    <row r="2029" spans="1:13" ht="14.4">
      <c r="A2029" s="201" t="str">
        <f ca="1">IFERROR(__xludf.DUMMYFUNCTION("""COMPUTED_VALUE"""),"SRA")</f>
        <v>SRA</v>
      </c>
      <c r="B2029" s="209" t="str">
        <f ca="1">IFERROR(__xludf.DUMMYFUNCTION("""COMPUTED_VALUE"""),"Boede Offringa")</f>
        <v>Boede Offringa</v>
      </c>
      <c r="C2029" s="201">
        <f ca="1">IFERROR(__xludf.DUMMYFUNCTION("""COMPUTED_VALUE"""),17)</f>
        <v>17</v>
      </c>
      <c r="D2029" s="201" t="str">
        <f ca="1">IFERROR(__xludf.DUMMYFUNCTION("""COMPUTED_VALUE"""),"B")</f>
        <v>B</v>
      </c>
      <c r="E2029" s="202" t="str">
        <f ca="1">IFERROR(__xludf.DUMMYFUNCTION("""COMPUTED_VALUE"""),"S")</f>
        <v>S</v>
      </c>
      <c r="F2029" s="210" t="str">
        <f ca="1">IFERROR(__xludf.DUMMYFUNCTION("""COMPUTED_VALUE"""),"S")</f>
        <v>S</v>
      </c>
      <c r="G2029" s="210">
        <f ca="1">IFERROR(__xludf.DUMMYFUNCTION("""COMPUTED_VALUE"""),7)</f>
        <v>7</v>
      </c>
      <c r="H2029" s="206"/>
      <c r="I2029" s="206">
        <v>207.55</v>
      </c>
      <c r="J2029" s="206"/>
      <c r="K2029" s="206" t="s">
        <v>121</v>
      </c>
      <c r="L2029" s="206" t="str">
        <v xml:space="preserve"> 207.55</v>
      </c>
      <c r="M2029" s="206" t="str">
        <v/>
      </c>
    </row>
    <row r="2030" spans="1:13" ht="14.4">
      <c r="A2030" s="201" t="str">
        <f ca="1">IFERROR(__xludf.DUMMYFUNCTION("""COMPUTED_VALUE"""),"SRA")</f>
        <v>SRA</v>
      </c>
      <c r="B2030" s="209" t="str">
        <f ca="1">IFERROR(__xludf.DUMMYFUNCTION("""COMPUTED_VALUE"""),"Dillon Wirth")</f>
        <v>Dillon Wirth</v>
      </c>
      <c r="C2030" s="201">
        <f ca="1">IFERROR(__xludf.DUMMYFUNCTION("""COMPUTED_VALUE"""),18)</f>
        <v>18</v>
      </c>
      <c r="D2030" s="201" t="str">
        <f ca="1">IFERROR(__xludf.DUMMYFUNCTION("""COMPUTED_VALUE"""),"B")</f>
        <v>B</v>
      </c>
      <c r="E2030" s="202" t="str">
        <f ca="1">IFERROR(__xludf.DUMMYFUNCTION("""COMPUTED_VALUE"""),"S")</f>
        <v>S</v>
      </c>
      <c r="F2030" s="210" t="str">
        <f ca="1">IFERROR(__xludf.DUMMYFUNCTION("""COMPUTED_VALUE"""),"S")</f>
        <v>S</v>
      </c>
      <c r="G2030" s="210">
        <f ca="1">IFERROR(__xludf.DUMMYFUNCTION("""COMPUTED_VALUE"""),7)</f>
        <v>7</v>
      </c>
      <c r="H2030" s="206"/>
      <c r="I2030" s="206">
        <v>139</v>
      </c>
      <c r="J2030" s="206"/>
      <c r="K2030" s="206" t="s">
        <v>121</v>
      </c>
      <c r="L2030" s="206" t="str">
        <v xml:space="preserve"> 139</v>
      </c>
      <c r="M2030" s="206" t="str">
        <v/>
      </c>
    </row>
    <row r="2031" spans="1:13" ht="14.4">
      <c r="A2031" s="201" t="str">
        <f ca="1">IFERROR(__xludf.DUMMYFUNCTION("""COMPUTED_VALUE"""),"SRA")</f>
        <v>SRA</v>
      </c>
      <c r="B2031" s="209" t="str">
        <f ca="1">IFERROR(__xludf.DUMMYFUNCTION("""COMPUTED_VALUE"""),"John Dinkel")</f>
        <v>John Dinkel</v>
      </c>
      <c r="C2031" s="201">
        <f ca="1">IFERROR(__xludf.DUMMYFUNCTION("""COMPUTED_VALUE"""),18)</f>
        <v>18</v>
      </c>
      <c r="D2031" s="201" t="str">
        <f ca="1">IFERROR(__xludf.DUMMYFUNCTION("""COMPUTED_VALUE"""),"B")</f>
        <v>B</v>
      </c>
      <c r="E2031" s="202" t="str">
        <f ca="1">IFERROR(__xludf.DUMMYFUNCTION("""COMPUTED_VALUE"""),"S")</f>
        <v>S</v>
      </c>
      <c r="F2031" s="210" t="str">
        <f ca="1">IFERROR(__xludf.DUMMYFUNCTION("""COMPUTED_VALUE"""),"S")</f>
        <v>S</v>
      </c>
      <c r="G2031" s="210">
        <f ca="1">IFERROR(__xludf.DUMMYFUNCTION("""COMPUTED_VALUE"""),7)</f>
        <v>7</v>
      </c>
      <c r="H2031" s="206"/>
      <c r="I2031" s="206">
        <v>175.1</v>
      </c>
      <c r="J2031" s="206"/>
      <c r="K2031" s="206" t="s">
        <v>121</v>
      </c>
      <c r="L2031" s="206" t="str">
        <v xml:space="preserve"> 175.1</v>
      </c>
      <c r="M2031" s="206" t="str">
        <v/>
      </c>
    </row>
    <row r="2032" spans="1:13" ht="14.4">
      <c r="A2032" s="201" t="str">
        <f ca="1">IFERROR(__xludf.DUMMYFUNCTION("""COMPUTED_VALUE"""),"SRA")</f>
        <v>SRA</v>
      </c>
      <c r="B2032" s="209" t="str">
        <f ca="1">IFERROR(__xludf.DUMMYFUNCTION("""COMPUTED_VALUE"""),"Kevin Dinkel")</f>
        <v>Kevin Dinkel</v>
      </c>
      <c r="C2032" s="201">
        <f ca="1">IFERROR(__xludf.DUMMYFUNCTION("""COMPUTED_VALUE"""),18)</f>
        <v>18</v>
      </c>
      <c r="D2032" s="201" t="str">
        <f ca="1">IFERROR(__xludf.DUMMYFUNCTION("""COMPUTED_VALUE"""),"B")</f>
        <v>B</v>
      </c>
      <c r="E2032" s="202" t="str">
        <f ca="1">IFERROR(__xludf.DUMMYFUNCTION("""COMPUTED_VALUE"""),"S")</f>
        <v>S</v>
      </c>
      <c r="F2032" s="210" t="str">
        <f ca="1">IFERROR(__xludf.DUMMYFUNCTION("""COMPUTED_VALUE"""),"S")</f>
        <v>S</v>
      </c>
      <c r="G2032" s="210">
        <f ca="1">IFERROR(__xludf.DUMMYFUNCTION("""COMPUTED_VALUE"""),7)</f>
        <v>7</v>
      </c>
      <c r="H2032" s="206"/>
      <c r="I2032" s="206">
        <v>204.9</v>
      </c>
      <c r="J2032" s="206"/>
      <c r="K2032" s="206" t="s">
        <v>121</v>
      </c>
      <c r="L2032" s="206" t="str">
        <v xml:space="preserve"> 204.9</v>
      </c>
      <c r="M2032" s="206" t="str">
        <v/>
      </c>
    </row>
    <row r="2033" spans="1:13" ht="14.4">
      <c r="A2033" s="201" t="str">
        <f ca="1">IFERROR(__xludf.DUMMYFUNCTION("""COMPUTED_VALUE"""),"SRA")</f>
        <v>SRA</v>
      </c>
      <c r="B2033" s="209" t="str">
        <f ca="1">IFERROR(__xludf.DUMMYFUNCTION("""COMPUTED_VALUE"""),"Allison Ary")</f>
        <v>Allison Ary</v>
      </c>
      <c r="C2033" s="201">
        <f ca="1">IFERROR(__xludf.DUMMYFUNCTION("""COMPUTED_VALUE"""),15)</f>
        <v>15</v>
      </c>
      <c r="D2033" s="201" t="str">
        <f ca="1">IFERROR(__xludf.DUMMYFUNCTION("""COMPUTED_VALUE"""),"G")</f>
        <v>G</v>
      </c>
      <c r="E2033" s="202" t="str">
        <f ca="1">IFERROR(__xludf.DUMMYFUNCTION("""COMPUTED_VALUE"""),"S")</f>
        <v>S</v>
      </c>
      <c r="F2033" s="210" t="str">
        <f ca="1">IFERROR(__xludf.DUMMYFUNCTION("""COMPUTED_VALUE"""),"S")</f>
        <v>S</v>
      </c>
      <c r="G2033" s="210">
        <f ca="1">IFERROR(__xludf.DUMMYFUNCTION("""COMPUTED_VALUE"""),7)</f>
        <v>7</v>
      </c>
      <c r="H2033" s="206">
        <v>131.30000000000001</v>
      </c>
      <c r="I2033" s="206"/>
      <c r="J2033" s="206" t="s">
        <v>121</v>
      </c>
      <c r="K2033" s="206"/>
      <c r="L2033" s="206" t="str">
        <v xml:space="preserve"> 131.3</v>
      </c>
      <c r="M2033" s="206" t="str">
        <v/>
      </c>
    </row>
    <row r="2034" spans="1:13" ht="14.4">
      <c r="A2034" s="201" t="str">
        <f ca="1">IFERROR(__xludf.DUMMYFUNCTION("""COMPUTED_VALUE"""),"SRA")</f>
        <v>SRA</v>
      </c>
      <c r="B2034" s="209" t="str">
        <f ca="1">IFERROR(__xludf.DUMMYFUNCTION("""COMPUTED_VALUE"""),"Amanda Kendrick")</f>
        <v>Amanda Kendrick</v>
      </c>
      <c r="C2034" s="201">
        <f ca="1">IFERROR(__xludf.DUMMYFUNCTION("""COMPUTED_VALUE"""),17)</f>
        <v>17</v>
      </c>
      <c r="D2034" s="201" t="str">
        <f ca="1">IFERROR(__xludf.DUMMYFUNCTION("""COMPUTED_VALUE"""),"G")</f>
        <v>G</v>
      </c>
      <c r="E2034" s="202" t="str">
        <f ca="1">IFERROR(__xludf.DUMMYFUNCTION("""COMPUTED_VALUE"""),"S")</f>
        <v>S</v>
      </c>
      <c r="F2034" s="210" t="str">
        <f ca="1">IFERROR(__xludf.DUMMYFUNCTION("""COMPUTED_VALUE"""),"S")</f>
        <v>S</v>
      </c>
      <c r="G2034" s="210">
        <f ca="1">IFERROR(__xludf.DUMMYFUNCTION("""COMPUTED_VALUE"""),7)</f>
        <v>7</v>
      </c>
      <c r="H2034" s="206">
        <v>125</v>
      </c>
      <c r="I2034" s="206"/>
      <c r="J2034" s="206" t="s">
        <v>121</v>
      </c>
      <c r="K2034" s="206"/>
      <c r="L2034" s="206" t="str">
        <v xml:space="preserve"> 125</v>
      </c>
      <c r="M2034" s="206" t="str">
        <v/>
      </c>
    </row>
    <row r="2035" spans="1:13" ht="14.4">
      <c r="A2035" s="201" t="str">
        <f ca="1">IFERROR(__xludf.DUMMYFUNCTION("""COMPUTED_VALUE"""),"SRA")</f>
        <v>SRA</v>
      </c>
      <c r="B2035" s="209" t="str">
        <f ca="1">IFERROR(__xludf.DUMMYFUNCTION("""COMPUTED_VALUE"""),"Maddi Ross")</f>
        <v>Maddi Ross</v>
      </c>
      <c r="C2035" s="201">
        <f ca="1">IFERROR(__xludf.DUMMYFUNCTION("""COMPUTED_VALUE"""),16)</f>
        <v>16</v>
      </c>
      <c r="D2035" s="201" t="str">
        <f ca="1">IFERROR(__xludf.DUMMYFUNCTION("""COMPUTED_VALUE"""),"G")</f>
        <v>G</v>
      </c>
      <c r="E2035" s="202" t="str">
        <f ca="1">IFERROR(__xludf.DUMMYFUNCTION("""COMPUTED_VALUE"""),"S")</f>
        <v>S</v>
      </c>
      <c r="F2035" s="210" t="str">
        <f ca="1">IFERROR(__xludf.DUMMYFUNCTION("""COMPUTED_VALUE"""),"S")</f>
        <v>S</v>
      </c>
      <c r="G2035" s="210">
        <f ca="1">IFERROR(__xludf.DUMMYFUNCTION("""COMPUTED_VALUE"""),7)</f>
        <v>7</v>
      </c>
      <c r="H2035" s="206">
        <v>131.75</v>
      </c>
      <c r="I2035" s="206"/>
      <c r="J2035" s="206" t="s">
        <v>121</v>
      </c>
      <c r="K2035" s="206"/>
      <c r="L2035" s="206" t="str">
        <v xml:space="preserve"> 131.75</v>
      </c>
      <c r="M2035" s="206" t="str">
        <v/>
      </c>
    </row>
    <row r="2036" spans="1:13" ht="14.4">
      <c r="A2036" s="201" t="str">
        <f ca="1">IFERROR(__xludf.DUMMYFUNCTION("""COMPUTED_VALUE"""),"SRA")</f>
        <v>SRA</v>
      </c>
      <c r="B2036" s="209" t="str">
        <f ca="1">IFERROR(__xludf.DUMMYFUNCTION("""COMPUTED_VALUE"""),"Sarah Fleming")</f>
        <v>Sarah Fleming</v>
      </c>
      <c r="C2036" s="201">
        <f ca="1">IFERROR(__xludf.DUMMYFUNCTION("""COMPUTED_VALUE"""),17)</f>
        <v>17</v>
      </c>
      <c r="D2036" s="201" t="str">
        <f ca="1">IFERROR(__xludf.DUMMYFUNCTION("""COMPUTED_VALUE"""),"G")</f>
        <v>G</v>
      </c>
      <c r="E2036" s="202" t="str">
        <f ca="1">IFERROR(__xludf.DUMMYFUNCTION("""COMPUTED_VALUE"""),"S")</f>
        <v>S</v>
      </c>
      <c r="F2036" s="210" t="str">
        <f ca="1">IFERROR(__xludf.DUMMYFUNCTION("""COMPUTED_VALUE"""),"S")</f>
        <v>S</v>
      </c>
      <c r="G2036" s="210">
        <f ca="1">IFERROR(__xludf.DUMMYFUNCTION("""COMPUTED_VALUE"""),7)</f>
        <v>7</v>
      </c>
      <c r="H2036" s="206">
        <v>136</v>
      </c>
      <c r="I2036" s="206"/>
      <c r="J2036" s="206" t="s">
        <v>121</v>
      </c>
      <c r="K2036" s="206"/>
      <c r="L2036" s="206" t="str">
        <v xml:space="preserve"> 136</v>
      </c>
      <c r="M2036" s="206" t="str">
        <v/>
      </c>
    </row>
    <row r="2037" spans="1:13" ht="14.4">
      <c r="A2037" s="201" t="str">
        <f ca="1">IFERROR(__xludf.DUMMYFUNCTION("""COMPUTED_VALUE"""),"T")</f>
        <v>T</v>
      </c>
      <c r="B2037" s="209" t="str">
        <f ca="1">IFERROR(__xludf.DUMMYFUNCTION("""COMPUTED_VALUE"""),"Aaron Howery")</f>
        <v>Aaron Howery</v>
      </c>
      <c r="C2037" s="201">
        <f ca="1">IFERROR(__xludf.DUMMYFUNCTION("""COMPUTED_VALUE"""),6)</f>
        <v>6</v>
      </c>
      <c r="D2037" s="201" t="str">
        <f ca="1">IFERROR(__xludf.DUMMYFUNCTION("""COMPUTED_VALUE"""),"B")</f>
        <v>B</v>
      </c>
      <c r="E2037" s="202" t="str">
        <f ca="1">IFERROR(__xludf.DUMMYFUNCTION("""COMPUTED_VALUE"""),"F")</f>
        <v>F</v>
      </c>
      <c r="F2037" s="210" t="str">
        <f ca="1">IFERROR(__xludf.DUMMYFUNCTION("""COMPUTED_VALUE"""),"J")</f>
        <v>J</v>
      </c>
      <c r="G2037" s="210">
        <f ca="1">IFERROR(__xludf.DUMMYFUNCTION("""COMPUTED_VALUE"""),4)</f>
        <v>4</v>
      </c>
      <c r="H2037" s="206"/>
      <c r="I2037" s="206"/>
      <c r="J2037" s="206"/>
      <c r="K2037" s="206"/>
      <c r="L2037" s="206" t="str">
        <v/>
      </c>
      <c r="M2037" s="206" t="str">
        <v/>
      </c>
    </row>
    <row r="2038" spans="1:13" ht="14.4">
      <c r="A2038" s="201" t="str">
        <f ca="1">IFERROR(__xludf.DUMMYFUNCTION("""COMPUTED_VALUE"""),"T")</f>
        <v>T</v>
      </c>
      <c r="B2038" s="209" t="str">
        <f ca="1">IFERROR(__xludf.DUMMYFUNCTION("""COMPUTED_VALUE"""),"Aidan Eagan")</f>
        <v>Aidan Eagan</v>
      </c>
      <c r="C2038" s="201">
        <f ca="1">IFERROR(__xludf.DUMMYFUNCTION("""COMPUTED_VALUE"""),9)</f>
        <v>9</v>
      </c>
      <c r="D2038" s="201" t="str">
        <f ca="1">IFERROR(__xludf.DUMMYFUNCTION("""COMPUTED_VALUE"""),"B")</f>
        <v>B</v>
      </c>
      <c r="E2038" s="202" t="str">
        <f ca="1">IFERROR(__xludf.DUMMYFUNCTION("""COMPUTED_VALUE"""),"F")</f>
        <v>F</v>
      </c>
      <c r="F2038" s="210" t="str">
        <f ca="1">IFERROR(__xludf.DUMMYFUNCTION("""COMPUTED_VALUE"""),"J")</f>
        <v>J</v>
      </c>
      <c r="G2038" s="210">
        <f ca="1">IFERROR(__xludf.DUMMYFUNCTION("""COMPUTED_VALUE"""),4)</f>
        <v>4</v>
      </c>
      <c r="H2038" s="206"/>
      <c r="I2038" s="206"/>
      <c r="J2038" s="206"/>
      <c r="K2038" s="206"/>
      <c r="L2038" s="206" t="str">
        <v/>
      </c>
      <c r="M2038" s="206" t="str">
        <v/>
      </c>
    </row>
    <row r="2039" spans="1:13" ht="14.4">
      <c r="A2039" s="201" t="str">
        <f ca="1">IFERROR(__xludf.DUMMYFUNCTION("""COMPUTED_VALUE"""),"T")</f>
        <v>T</v>
      </c>
      <c r="B2039" s="209" t="str">
        <f ca="1">IFERROR(__xludf.DUMMYFUNCTION("""COMPUTED_VALUE"""),"Aiden McFeely")</f>
        <v>Aiden McFeely</v>
      </c>
      <c r="C2039" s="201">
        <f ca="1">IFERROR(__xludf.DUMMYFUNCTION("""COMPUTED_VALUE"""),5)</f>
        <v>5</v>
      </c>
      <c r="D2039" s="201" t="str">
        <f ca="1">IFERROR(__xludf.DUMMYFUNCTION("""COMPUTED_VALUE"""),"B")</f>
        <v>B</v>
      </c>
      <c r="E2039" s="202" t="str">
        <f ca="1">IFERROR(__xludf.DUMMYFUNCTION("""COMPUTED_VALUE"""),"F")</f>
        <v>F</v>
      </c>
      <c r="F2039" s="210" t="str">
        <f ca="1">IFERROR(__xludf.DUMMYFUNCTION("""COMPUTED_VALUE"""),"J")</f>
        <v>J</v>
      </c>
      <c r="G2039" s="210">
        <f ca="1">IFERROR(__xludf.DUMMYFUNCTION("""COMPUTED_VALUE"""),4)</f>
        <v>4</v>
      </c>
      <c r="H2039" s="206"/>
      <c r="I2039" s="206"/>
      <c r="J2039" s="206"/>
      <c r="K2039" s="206"/>
      <c r="L2039" s="206" t="str">
        <v/>
      </c>
      <c r="M2039" s="206" t="str">
        <v/>
      </c>
    </row>
    <row r="2040" spans="1:13" ht="14.4">
      <c r="A2040" s="201" t="str">
        <f ca="1">IFERROR(__xludf.DUMMYFUNCTION("""COMPUTED_VALUE"""),"T")</f>
        <v>T</v>
      </c>
      <c r="B2040" s="209" t="str">
        <f ca="1">IFERROR(__xludf.DUMMYFUNCTION("""COMPUTED_VALUE"""),"Aleko Misitzis")</f>
        <v>Aleko Misitzis</v>
      </c>
      <c r="C2040" s="201">
        <f ca="1">IFERROR(__xludf.DUMMYFUNCTION("""COMPUTED_VALUE"""),7)</f>
        <v>7</v>
      </c>
      <c r="D2040" s="201" t="str">
        <f ca="1">IFERROR(__xludf.DUMMYFUNCTION("""COMPUTED_VALUE"""),"B")</f>
        <v>B</v>
      </c>
      <c r="E2040" s="202" t="str">
        <f ca="1">IFERROR(__xludf.DUMMYFUNCTION("""COMPUTED_VALUE"""),"F")</f>
        <v>F</v>
      </c>
      <c r="F2040" s="210" t="str">
        <f ca="1">IFERROR(__xludf.DUMMYFUNCTION("""COMPUTED_VALUE"""),"J")</f>
        <v>J</v>
      </c>
      <c r="G2040" s="210">
        <f ca="1">IFERROR(__xludf.DUMMYFUNCTION("""COMPUTED_VALUE"""),4)</f>
        <v>4</v>
      </c>
      <c r="H2040" s="206"/>
      <c r="I2040" s="206"/>
      <c r="J2040" s="206"/>
      <c r="K2040" s="206"/>
      <c r="L2040" s="206" t="str">
        <v/>
      </c>
      <c r="M2040" s="206" t="str">
        <v/>
      </c>
    </row>
    <row r="2041" spans="1:13" ht="14.4">
      <c r="A2041" s="201" t="str">
        <f ca="1">IFERROR(__xludf.DUMMYFUNCTION("""COMPUTED_VALUE"""),"T")</f>
        <v>T</v>
      </c>
      <c r="B2041" s="209" t="str">
        <f ca="1">IFERROR(__xludf.DUMMYFUNCTION("""COMPUTED_VALUE"""),"Artemiy Hartingh")</f>
        <v>Artemiy Hartingh</v>
      </c>
      <c r="C2041" s="201">
        <f ca="1">IFERROR(__xludf.DUMMYFUNCTION("""COMPUTED_VALUE"""),10)</f>
        <v>10</v>
      </c>
      <c r="D2041" s="201" t="str">
        <f ca="1">IFERROR(__xludf.DUMMYFUNCTION("""COMPUTED_VALUE"""),"B")</f>
        <v>B</v>
      </c>
      <c r="E2041" s="202" t="str">
        <f ca="1">IFERROR(__xludf.DUMMYFUNCTION("""COMPUTED_VALUE"""),"F")</f>
        <v>F</v>
      </c>
      <c r="F2041" s="210" t="str">
        <f ca="1">IFERROR(__xludf.DUMMYFUNCTION("""COMPUTED_VALUE"""),"J")</f>
        <v>J</v>
      </c>
      <c r="G2041" s="210">
        <f ca="1">IFERROR(__xludf.DUMMYFUNCTION("""COMPUTED_VALUE"""),4)</f>
        <v>4</v>
      </c>
      <c r="H2041" s="206"/>
      <c r="I2041" s="206"/>
      <c r="J2041" s="206"/>
      <c r="K2041" s="206"/>
      <c r="L2041" s="206" t="str">
        <v/>
      </c>
      <c r="M2041" s="206" t="str">
        <v/>
      </c>
    </row>
    <row r="2042" spans="1:13" ht="14.4">
      <c r="A2042" s="201" t="str">
        <f ca="1">IFERROR(__xludf.DUMMYFUNCTION("""COMPUTED_VALUE"""),"T")</f>
        <v>T</v>
      </c>
      <c r="B2042" s="209" t="str">
        <f ca="1">IFERROR(__xludf.DUMMYFUNCTION("""COMPUTED_VALUE"""),"Ben Engola")</f>
        <v>Ben Engola</v>
      </c>
      <c r="C2042" s="201">
        <f ca="1">IFERROR(__xludf.DUMMYFUNCTION("""COMPUTED_VALUE"""),10)</f>
        <v>10</v>
      </c>
      <c r="D2042" s="201" t="str">
        <f ca="1">IFERROR(__xludf.DUMMYFUNCTION("""COMPUTED_VALUE"""),"B")</f>
        <v>B</v>
      </c>
      <c r="E2042" s="202" t="str">
        <f ca="1">IFERROR(__xludf.DUMMYFUNCTION("""COMPUTED_VALUE"""),"F")</f>
        <v>F</v>
      </c>
      <c r="F2042" s="210" t="str">
        <f ca="1">IFERROR(__xludf.DUMMYFUNCTION("""COMPUTED_VALUE"""),"J")</f>
        <v>J</v>
      </c>
      <c r="G2042" s="210">
        <f ca="1">IFERROR(__xludf.DUMMYFUNCTION("""COMPUTED_VALUE"""),4)</f>
        <v>4</v>
      </c>
      <c r="H2042" s="206"/>
      <c r="I2042" s="206">
        <v>42.85</v>
      </c>
      <c r="J2042" s="206"/>
      <c r="K2042" s="206" t="s">
        <v>121</v>
      </c>
      <c r="L2042" s="206" t="str">
        <v xml:space="preserve"> 42.85</v>
      </c>
      <c r="M2042" s="206" t="str">
        <v/>
      </c>
    </row>
    <row r="2043" spans="1:13" ht="14.4">
      <c r="A2043" s="201" t="str">
        <f ca="1">IFERROR(__xludf.DUMMYFUNCTION("""COMPUTED_VALUE"""),"T")</f>
        <v>T</v>
      </c>
      <c r="B2043" s="209" t="str">
        <f ca="1">IFERROR(__xludf.DUMMYFUNCTION("""COMPUTED_VALUE"""),"Benny Edelson")</f>
        <v>Benny Edelson</v>
      </c>
      <c r="C2043" s="201">
        <f ca="1">IFERROR(__xludf.DUMMYFUNCTION("""COMPUTED_VALUE"""),7)</f>
        <v>7</v>
      </c>
      <c r="D2043" s="201" t="str">
        <f ca="1">IFERROR(__xludf.DUMMYFUNCTION("""COMPUTED_VALUE"""),"B")</f>
        <v>B</v>
      </c>
      <c r="E2043" s="202" t="str">
        <f ca="1">IFERROR(__xludf.DUMMYFUNCTION("""COMPUTED_VALUE"""),"F")</f>
        <v>F</v>
      </c>
      <c r="F2043" s="210" t="str">
        <f ca="1">IFERROR(__xludf.DUMMYFUNCTION("""COMPUTED_VALUE"""),"J")</f>
        <v>J</v>
      </c>
      <c r="G2043" s="210">
        <f ca="1">IFERROR(__xludf.DUMMYFUNCTION("""COMPUTED_VALUE"""),4)</f>
        <v>4</v>
      </c>
      <c r="H2043" s="206"/>
      <c r="I2043" s="206"/>
      <c r="J2043" s="206"/>
      <c r="K2043" s="206"/>
      <c r="L2043" s="206" t="str">
        <v/>
      </c>
      <c r="M2043" s="206" t="str">
        <v/>
      </c>
    </row>
    <row r="2044" spans="1:13" ht="14.4">
      <c r="A2044" s="201" t="str">
        <f ca="1">IFERROR(__xludf.DUMMYFUNCTION("""COMPUTED_VALUE"""),"T")</f>
        <v>T</v>
      </c>
      <c r="B2044" s="209" t="str">
        <f ca="1">IFERROR(__xludf.DUMMYFUNCTION("""COMPUTED_VALUE"""),"Bo Shinskie")</f>
        <v>Bo Shinskie</v>
      </c>
      <c r="C2044" s="201">
        <f ca="1">IFERROR(__xludf.DUMMYFUNCTION("""COMPUTED_VALUE"""),6)</f>
        <v>6</v>
      </c>
      <c r="D2044" s="201" t="str">
        <f ca="1">IFERROR(__xludf.DUMMYFUNCTION("""COMPUTED_VALUE"""),"B")</f>
        <v>B</v>
      </c>
      <c r="E2044" s="202" t="str">
        <f ca="1">IFERROR(__xludf.DUMMYFUNCTION("""COMPUTED_VALUE"""),"F")</f>
        <v>F</v>
      </c>
      <c r="F2044" s="210" t="str">
        <f ca="1">IFERROR(__xludf.DUMMYFUNCTION("""COMPUTED_VALUE"""),"J")</f>
        <v>J</v>
      </c>
      <c r="G2044" s="210">
        <f ca="1">IFERROR(__xludf.DUMMYFUNCTION("""COMPUTED_VALUE"""),4)</f>
        <v>4</v>
      </c>
      <c r="H2044" s="206"/>
      <c r="I2044" s="206"/>
      <c r="J2044" s="206"/>
      <c r="K2044" s="206"/>
      <c r="L2044" s="206" t="str">
        <v/>
      </c>
      <c r="M2044" s="206" t="str">
        <v/>
      </c>
    </row>
    <row r="2045" spans="1:13" ht="14.4">
      <c r="A2045" s="201" t="str">
        <f ca="1">IFERROR(__xludf.DUMMYFUNCTION("""COMPUTED_VALUE"""),"T")</f>
        <v>T</v>
      </c>
      <c r="B2045" s="209" t="str">
        <f ca="1">IFERROR(__xludf.DUMMYFUNCTION("""COMPUTED_VALUE"""),"Calian Johnson")</f>
        <v>Calian Johnson</v>
      </c>
      <c r="C2045" s="201">
        <f ca="1">IFERROR(__xludf.DUMMYFUNCTION("""COMPUTED_VALUE"""),9)</f>
        <v>9</v>
      </c>
      <c r="D2045" s="201" t="str">
        <f ca="1">IFERROR(__xludf.DUMMYFUNCTION("""COMPUTED_VALUE"""),"B")</f>
        <v>B</v>
      </c>
      <c r="E2045" s="202" t="str">
        <f ca="1">IFERROR(__xludf.DUMMYFUNCTION("""COMPUTED_VALUE"""),"F")</f>
        <v>F</v>
      </c>
      <c r="F2045" s="210" t="str">
        <f ca="1">IFERROR(__xludf.DUMMYFUNCTION("""COMPUTED_VALUE"""),"J")</f>
        <v>J</v>
      </c>
      <c r="G2045" s="210">
        <f ca="1">IFERROR(__xludf.DUMMYFUNCTION("""COMPUTED_VALUE"""),4)</f>
        <v>4</v>
      </c>
      <c r="H2045" s="206"/>
      <c r="I2045" s="206"/>
      <c r="J2045" s="206"/>
      <c r="K2045" s="206"/>
      <c r="L2045" s="206" t="str">
        <v/>
      </c>
      <c r="M2045" s="206" t="str">
        <v/>
      </c>
    </row>
    <row r="2046" spans="1:13" ht="14.4">
      <c r="A2046" s="201" t="str">
        <f ca="1">IFERROR(__xludf.DUMMYFUNCTION("""COMPUTED_VALUE"""),"T")</f>
        <v>T</v>
      </c>
      <c r="B2046" s="209" t="str">
        <f ca="1">IFERROR(__xludf.DUMMYFUNCTION("""COMPUTED_VALUE"""),"Duncan Kimmett")</f>
        <v>Duncan Kimmett</v>
      </c>
      <c r="C2046" s="201">
        <f ca="1">IFERROR(__xludf.DUMMYFUNCTION("""COMPUTED_VALUE"""),9)</f>
        <v>9</v>
      </c>
      <c r="D2046" s="201" t="str">
        <f ca="1">IFERROR(__xludf.DUMMYFUNCTION("""COMPUTED_VALUE"""),"B")</f>
        <v>B</v>
      </c>
      <c r="E2046" s="202" t="str">
        <f ca="1">IFERROR(__xludf.DUMMYFUNCTION("""COMPUTED_VALUE"""),"F")</f>
        <v>F</v>
      </c>
      <c r="F2046" s="210" t="str">
        <f ca="1">IFERROR(__xludf.DUMMYFUNCTION("""COMPUTED_VALUE"""),"J")</f>
        <v>J</v>
      </c>
      <c r="G2046" s="210">
        <f ca="1">IFERROR(__xludf.DUMMYFUNCTION("""COMPUTED_VALUE"""),4)</f>
        <v>4</v>
      </c>
      <c r="H2046" s="206"/>
      <c r="I2046" s="206"/>
      <c r="J2046" s="206"/>
      <c r="K2046" s="206"/>
      <c r="L2046" s="206" t="str">
        <v/>
      </c>
      <c r="M2046" s="206" t="str">
        <v/>
      </c>
    </row>
    <row r="2047" spans="1:13" ht="14.4">
      <c r="A2047" s="201" t="str">
        <f ca="1">IFERROR(__xludf.DUMMYFUNCTION("""COMPUTED_VALUE"""),"T")</f>
        <v>T</v>
      </c>
      <c r="B2047" s="209" t="str">
        <f ca="1">IFERROR(__xludf.DUMMYFUNCTION("""COMPUTED_VALUE"""),"Isaac Fonner")</f>
        <v>Isaac Fonner</v>
      </c>
      <c r="C2047" s="201">
        <f ca="1">IFERROR(__xludf.DUMMYFUNCTION("""COMPUTED_VALUE"""),10)</f>
        <v>10</v>
      </c>
      <c r="D2047" s="201" t="str">
        <f ca="1">IFERROR(__xludf.DUMMYFUNCTION("""COMPUTED_VALUE"""),"B")</f>
        <v>B</v>
      </c>
      <c r="E2047" s="202" t="str">
        <f ca="1">IFERROR(__xludf.DUMMYFUNCTION("""COMPUTED_VALUE"""),"F")</f>
        <v>F</v>
      </c>
      <c r="F2047" s="210" t="str">
        <f ca="1">IFERROR(__xludf.DUMMYFUNCTION("""COMPUTED_VALUE"""),"J")</f>
        <v>J</v>
      </c>
      <c r="G2047" s="210">
        <f ca="1">IFERROR(__xludf.DUMMYFUNCTION("""COMPUTED_VALUE"""),4)</f>
        <v>4</v>
      </c>
      <c r="H2047" s="206"/>
      <c r="I2047" s="206">
        <v>50.55</v>
      </c>
      <c r="J2047" s="206"/>
      <c r="K2047" s="206" t="s">
        <v>121</v>
      </c>
      <c r="L2047" s="206" t="str">
        <v xml:space="preserve"> 50.55</v>
      </c>
      <c r="M2047" s="206" t="str">
        <v/>
      </c>
    </row>
    <row r="2048" spans="1:13" ht="14.4">
      <c r="A2048" s="201" t="str">
        <f ca="1">IFERROR(__xludf.DUMMYFUNCTION("""COMPUTED_VALUE"""),"T")</f>
        <v>T</v>
      </c>
      <c r="B2048" s="209" t="str">
        <f ca="1">IFERROR(__xludf.DUMMYFUNCTION("""COMPUTED_VALUE"""),"Isaac Shinskie")</f>
        <v>Isaac Shinskie</v>
      </c>
      <c r="C2048" s="201">
        <f ca="1">IFERROR(__xludf.DUMMYFUNCTION("""COMPUTED_VALUE"""),9)</f>
        <v>9</v>
      </c>
      <c r="D2048" s="201" t="str">
        <f ca="1">IFERROR(__xludf.DUMMYFUNCTION("""COMPUTED_VALUE"""),"B")</f>
        <v>B</v>
      </c>
      <c r="E2048" s="202" t="str">
        <f ca="1">IFERROR(__xludf.DUMMYFUNCTION("""COMPUTED_VALUE"""),"F")</f>
        <v>F</v>
      </c>
      <c r="F2048" s="210" t="str">
        <f ca="1">IFERROR(__xludf.DUMMYFUNCTION("""COMPUTED_VALUE"""),"J")</f>
        <v>J</v>
      </c>
      <c r="G2048" s="210">
        <f ca="1">IFERROR(__xludf.DUMMYFUNCTION("""COMPUTED_VALUE"""),4)</f>
        <v>4</v>
      </c>
      <c r="H2048" s="206"/>
      <c r="I2048" s="206">
        <v>47.25</v>
      </c>
      <c r="J2048" s="206"/>
      <c r="K2048" s="206" t="s">
        <v>121</v>
      </c>
      <c r="L2048" s="206" t="str">
        <v xml:space="preserve"> 47.25</v>
      </c>
      <c r="M2048" s="206" t="str">
        <v/>
      </c>
    </row>
    <row r="2049" spans="1:13" ht="14.4">
      <c r="A2049" s="201" t="str">
        <f ca="1">IFERROR(__xludf.DUMMYFUNCTION("""COMPUTED_VALUE"""),"T")</f>
        <v>T</v>
      </c>
      <c r="B2049" s="209" t="str">
        <f ca="1">IFERROR(__xludf.DUMMYFUNCTION("""COMPUTED_VALUE"""),"Josh Edelson")</f>
        <v>Josh Edelson</v>
      </c>
      <c r="C2049" s="201">
        <f ca="1">IFERROR(__xludf.DUMMYFUNCTION("""COMPUTED_VALUE"""),10)</f>
        <v>10</v>
      </c>
      <c r="D2049" s="201" t="str">
        <f ca="1">IFERROR(__xludf.DUMMYFUNCTION("""COMPUTED_VALUE"""),"B")</f>
        <v>B</v>
      </c>
      <c r="E2049" s="202" t="str">
        <f ca="1">IFERROR(__xludf.DUMMYFUNCTION("""COMPUTED_VALUE"""),"F")</f>
        <v>F</v>
      </c>
      <c r="F2049" s="210" t="str">
        <f ca="1">IFERROR(__xludf.DUMMYFUNCTION("""COMPUTED_VALUE"""),"J")</f>
        <v>J</v>
      </c>
      <c r="G2049" s="210">
        <f ca="1">IFERROR(__xludf.DUMMYFUNCTION("""COMPUTED_VALUE"""),4)</f>
        <v>4</v>
      </c>
      <c r="H2049" s="206"/>
      <c r="I2049" s="206"/>
      <c r="J2049" s="206"/>
      <c r="K2049" s="206"/>
      <c r="L2049" s="206" t="str">
        <v/>
      </c>
      <c r="M2049" s="206" t="str">
        <v/>
      </c>
    </row>
    <row r="2050" spans="1:13" ht="14.4">
      <c r="A2050" s="201" t="str">
        <f ca="1">IFERROR(__xludf.DUMMYFUNCTION("""COMPUTED_VALUE"""),"T")</f>
        <v>T</v>
      </c>
      <c r="B2050" s="209" t="str">
        <f ca="1">IFERROR(__xludf.DUMMYFUNCTION("""COMPUTED_VALUE"""),"Madison Regulski")</f>
        <v>Madison Regulski</v>
      </c>
      <c r="C2050" s="201">
        <f ca="1">IFERROR(__xludf.DUMMYFUNCTION("""COMPUTED_VALUE"""),10)</f>
        <v>10</v>
      </c>
      <c r="D2050" s="201" t="str">
        <f ca="1">IFERROR(__xludf.DUMMYFUNCTION("""COMPUTED_VALUE"""),"B")</f>
        <v>B</v>
      </c>
      <c r="E2050" s="202" t="str">
        <f ca="1">IFERROR(__xludf.DUMMYFUNCTION("""COMPUTED_VALUE"""),"F")</f>
        <v>F</v>
      </c>
      <c r="F2050" s="210" t="str">
        <f ca="1">IFERROR(__xludf.DUMMYFUNCTION("""COMPUTED_VALUE"""),"J")</f>
        <v>J</v>
      </c>
      <c r="G2050" s="210">
        <f ca="1">IFERROR(__xludf.DUMMYFUNCTION("""COMPUTED_VALUE"""),4)</f>
        <v>4</v>
      </c>
      <c r="H2050" s="206"/>
      <c r="I2050" s="206"/>
      <c r="J2050" s="206"/>
      <c r="K2050" s="206"/>
      <c r="L2050" s="206" t="str">
        <v/>
      </c>
      <c r="M2050" s="206" t="str">
        <v/>
      </c>
    </row>
    <row r="2051" spans="1:13" ht="14.4">
      <c r="A2051" s="201" t="str">
        <f ca="1">IFERROR(__xludf.DUMMYFUNCTION("""COMPUTED_VALUE"""),"T")</f>
        <v>T</v>
      </c>
      <c r="B2051" s="209" t="str">
        <f ca="1">IFERROR(__xludf.DUMMYFUNCTION("""COMPUTED_VALUE"""),"Max Waisberg")</f>
        <v>Max Waisberg</v>
      </c>
      <c r="C2051" s="201">
        <f ca="1">IFERROR(__xludf.DUMMYFUNCTION("""COMPUTED_VALUE"""),7)</f>
        <v>7</v>
      </c>
      <c r="D2051" s="201" t="str">
        <f ca="1">IFERROR(__xludf.DUMMYFUNCTION("""COMPUTED_VALUE"""),"B")</f>
        <v>B</v>
      </c>
      <c r="E2051" s="202" t="str">
        <f ca="1">IFERROR(__xludf.DUMMYFUNCTION("""COMPUTED_VALUE"""),"F")</f>
        <v>F</v>
      </c>
      <c r="F2051" s="210" t="str">
        <f ca="1">IFERROR(__xludf.DUMMYFUNCTION("""COMPUTED_VALUE"""),"J")</f>
        <v>J</v>
      </c>
      <c r="G2051" s="210">
        <f ca="1">IFERROR(__xludf.DUMMYFUNCTION("""COMPUTED_VALUE"""),4)</f>
        <v>4</v>
      </c>
      <c r="H2051" s="206"/>
      <c r="I2051" s="206"/>
      <c r="J2051" s="206"/>
      <c r="K2051" s="206"/>
      <c r="L2051" s="206" t="str">
        <v/>
      </c>
      <c r="M2051" s="206" t="str">
        <v/>
      </c>
    </row>
    <row r="2052" spans="1:13" ht="14.4">
      <c r="A2052" s="201" t="str">
        <f ca="1">IFERROR(__xludf.DUMMYFUNCTION("""COMPUTED_VALUE"""),"T")</f>
        <v>T</v>
      </c>
      <c r="B2052" s="209" t="str">
        <f ca="1">IFERROR(__xludf.DUMMYFUNCTION("""COMPUTED_VALUE"""),"Nico Gaeta")</f>
        <v>Nico Gaeta</v>
      </c>
      <c r="C2052" s="201">
        <f ca="1">IFERROR(__xludf.DUMMYFUNCTION("""COMPUTED_VALUE"""),7)</f>
        <v>7</v>
      </c>
      <c r="D2052" s="201" t="str">
        <f ca="1">IFERROR(__xludf.DUMMYFUNCTION("""COMPUTED_VALUE"""),"B")</f>
        <v>B</v>
      </c>
      <c r="E2052" s="202" t="str">
        <f ca="1">IFERROR(__xludf.DUMMYFUNCTION("""COMPUTED_VALUE"""),"F")</f>
        <v>F</v>
      </c>
      <c r="F2052" s="210" t="str">
        <f ca="1">IFERROR(__xludf.DUMMYFUNCTION("""COMPUTED_VALUE"""),"J")</f>
        <v>J</v>
      </c>
      <c r="G2052" s="210">
        <f ca="1">IFERROR(__xludf.DUMMYFUNCTION("""COMPUTED_VALUE"""),4)</f>
        <v>4</v>
      </c>
      <c r="H2052" s="206"/>
      <c r="I2052" s="206"/>
      <c r="J2052" s="206"/>
      <c r="K2052" s="206"/>
      <c r="L2052" s="206" t="str">
        <v/>
      </c>
      <c r="M2052" s="206" t="str">
        <v/>
      </c>
    </row>
    <row r="2053" spans="1:13" ht="14.4">
      <c r="A2053" s="201" t="str">
        <f ca="1">IFERROR(__xludf.DUMMYFUNCTION("""COMPUTED_VALUE"""),"T")</f>
        <v>T</v>
      </c>
      <c r="B2053" s="209" t="str">
        <f ca="1">IFERROR(__xludf.DUMMYFUNCTION("""COMPUTED_VALUE"""),"Northe Johnson")</f>
        <v>Northe Johnson</v>
      </c>
      <c r="C2053" s="201">
        <f ca="1">IFERROR(__xludf.DUMMYFUNCTION("""COMPUTED_VALUE"""),8)</f>
        <v>8</v>
      </c>
      <c r="D2053" s="201" t="str">
        <f ca="1">IFERROR(__xludf.DUMMYFUNCTION("""COMPUTED_VALUE"""),"B")</f>
        <v>B</v>
      </c>
      <c r="E2053" s="202" t="str">
        <f ca="1">IFERROR(__xludf.DUMMYFUNCTION("""COMPUTED_VALUE"""),"F")</f>
        <v>F</v>
      </c>
      <c r="F2053" s="210" t="str">
        <f ca="1">IFERROR(__xludf.DUMMYFUNCTION("""COMPUTED_VALUE"""),"J")</f>
        <v>J</v>
      </c>
      <c r="G2053" s="210">
        <f ca="1">IFERROR(__xludf.DUMMYFUNCTION("""COMPUTED_VALUE"""),4)</f>
        <v>4</v>
      </c>
      <c r="H2053" s="206"/>
      <c r="I2053" s="206"/>
      <c r="J2053" s="206"/>
      <c r="K2053" s="206"/>
      <c r="L2053" s="206" t="str">
        <v/>
      </c>
      <c r="M2053" s="206" t="str">
        <v/>
      </c>
    </row>
    <row r="2054" spans="1:13" ht="14.4">
      <c r="A2054" s="201" t="str">
        <f ca="1">IFERROR(__xludf.DUMMYFUNCTION("""COMPUTED_VALUE"""),"T")</f>
        <v>T</v>
      </c>
      <c r="B2054" s="209" t="str">
        <f ca="1">IFERROR(__xludf.DUMMYFUNCTION("""COMPUTED_VALUE"""),"Oliver Katz")</f>
        <v>Oliver Katz</v>
      </c>
      <c r="C2054" s="201">
        <f ca="1">IFERROR(__xludf.DUMMYFUNCTION("""COMPUTED_VALUE"""),9)</f>
        <v>9</v>
      </c>
      <c r="D2054" s="201" t="str">
        <f ca="1">IFERROR(__xludf.DUMMYFUNCTION("""COMPUTED_VALUE"""),"B")</f>
        <v>B</v>
      </c>
      <c r="E2054" s="202" t="str">
        <f ca="1">IFERROR(__xludf.DUMMYFUNCTION("""COMPUTED_VALUE"""),"F")</f>
        <v>F</v>
      </c>
      <c r="F2054" s="210" t="str">
        <f ca="1">IFERROR(__xludf.DUMMYFUNCTION("""COMPUTED_VALUE"""),"J")</f>
        <v>J</v>
      </c>
      <c r="G2054" s="210">
        <f ca="1">IFERROR(__xludf.DUMMYFUNCTION("""COMPUTED_VALUE"""),4)</f>
        <v>4</v>
      </c>
      <c r="H2054" s="206"/>
      <c r="I2054" s="206"/>
      <c r="J2054" s="206"/>
      <c r="K2054" s="206"/>
      <c r="L2054" s="206" t="str">
        <v/>
      </c>
      <c r="M2054" s="206" t="str">
        <v/>
      </c>
    </row>
    <row r="2055" spans="1:13" ht="14.4">
      <c r="A2055" s="201" t="str">
        <f ca="1">IFERROR(__xludf.DUMMYFUNCTION("""COMPUTED_VALUE"""),"T")</f>
        <v>T</v>
      </c>
      <c r="B2055" s="209" t="str">
        <f ca="1">IFERROR(__xludf.DUMMYFUNCTION("""COMPUTED_VALUE"""),"Oliver Waisberg")</f>
        <v>Oliver Waisberg</v>
      </c>
      <c r="C2055" s="201">
        <f ca="1">IFERROR(__xludf.DUMMYFUNCTION("""COMPUTED_VALUE"""),7)</f>
        <v>7</v>
      </c>
      <c r="D2055" s="201" t="str">
        <f ca="1">IFERROR(__xludf.DUMMYFUNCTION("""COMPUTED_VALUE"""),"B")</f>
        <v>B</v>
      </c>
      <c r="E2055" s="202" t="str">
        <f ca="1">IFERROR(__xludf.DUMMYFUNCTION("""COMPUTED_VALUE"""),"F")</f>
        <v>F</v>
      </c>
      <c r="F2055" s="210" t="str">
        <f ca="1">IFERROR(__xludf.DUMMYFUNCTION("""COMPUTED_VALUE"""),"J")</f>
        <v>J</v>
      </c>
      <c r="G2055" s="210">
        <f ca="1">IFERROR(__xludf.DUMMYFUNCTION("""COMPUTED_VALUE"""),4)</f>
        <v>4</v>
      </c>
      <c r="H2055" s="206"/>
      <c r="I2055" s="206"/>
      <c r="J2055" s="206"/>
      <c r="K2055" s="206"/>
      <c r="L2055" s="206" t="str">
        <v/>
      </c>
      <c r="M2055" s="206" t="str">
        <v/>
      </c>
    </row>
    <row r="2056" spans="1:13" ht="14.4">
      <c r="A2056" s="201" t="str">
        <f ca="1">IFERROR(__xludf.DUMMYFUNCTION("""COMPUTED_VALUE"""),"T")</f>
        <v>T</v>
      </c>
      <c r="B2056" s="209" t="str">
        <f ca="1">IFERROR(__xludf.DUMMYFUNCTION("""COMPUTED_VALUE"""),"Owen Glasser")</f>
        <v>Owen Glasser</v>
      </c>
      <c r="C2056" s="201">
        <f ca="1">IFERROR(__xludf.DUMMYFUNCTION("""COMPUTED_VALUE"""),8)</f>
        <v>8</v>
      </c>
      <c r="D2056" s="201" t="str">
        <f ca="1">IFERROR(__xludf.DUMMYFUNCTION("""COMPUTED_VALUE"""),"B")</f>
        <v>B</v>
      </c>
      <c r="E2056" s="202" t="str">
        <f ca="1">IFERROR(__xludf.DUMMYFUNCTION("""COMPUTED_VALUE"""),"F")</f>
        <v>F</v>
      </c>
      <c r="F2056" s="210" t="str">
        <f ca="1">IFERROR(__xludf.DUMMYFUNCTION("""COMPUTED_VALUE"""),"J")</f>
        <v>J</v>
      </c>
      <c r="G2056" s="210">
        <f ca="1">IFERROR(__xludf.DUMMYFUNCTION("""COMPUTED_VALUE"""),4)</f>
        <v>4</v>
      </c>
      <c r="H2056" s="206"/>
      <c r="I2056" s="206"/>
      <c r="J2056" s="206"/>
      <c r="K2056" s="206"/>
      <c r="L2056" s="206" t="str">
        <v/>
      </c>
      <c r="M2056" s="206" t="str">
        <v/>
      </c>
    </row>
    <row r="2057" spans="1:13" ht="14.4">
      <c r="A2057" s="201" t="str">
        <f ca="1">IFERROR(__xludf.DUMMYFUNCTION("""COMPUTED_VALUE"""),"T")</f>
        <v>T</v>
      </c>
      <c r="B2057" s="209" t="str">
        <f ca="1">IFERROR(__xludf.DUMMYFUNCTION("""COMPUTED_VALUE"""),"Parker Smith")</f>
        <v>Parker Smith</v>
      </c>
      <c r="C2057" s="201">
        <f ca="1">IFERROR(__xludf.DUMMYFUNCTION("""COMPUTED_VALUE"""),9)</f>
        <v>9</v>
      </c>
      <c r="D2057" s="201" t="str">
        <f ca="1">IFERROR(__xludf.DUMMYFUNCTION("""COMPUTED_VALUE"""),"B")</f>
        <v>B</v>
      </c>
      <c r="E2057" s="202" t="str">
        <f ca="1">IFERROR(__xludf.DUMMYFUNCTION("""COMPUTED_VALUE"""),"F")</f>
        <v>F</v>
      </c>
      <c r="F2057" s="210" t="str">
        <f ca="1">IFERROR(__xludf.DUMMYFUNCTION("""COMPUTED_VALUE"""),"J")</f>
        <v>J</v>
      </c>
      <c r="G2057" s="210">
        <f ca="1">IFERROR(__xludf.DUMMYFUNCTION("""COMPUTED_VALUE"""),4)</f>
        <v>4</v>
      </c>
      <c r="H2057" s="206"/>
      <c r="I2057" s="206"/>
      <c r="J2057" s="206"/>
      <c r="K2057" s="206"/>
      <c r="L2057" s="206" t="str">
        <v/>
      </c>
      <c r="M2057" s="206" t="str">
        <v/>
      </c>
    </row>
    <row r="2058" spans="1:13" ht="14.4">
      <c r="A2058" s="201" t="str">
        <f ca="1">IFERROR(__xludf.DUMMYFUNCTION("""COMPUTED_VALUE"""),"T")</f>
        <v>T</v>
      </c>
      <c r="B2058" s="209" t="str">
        <f ca="1">IFERROR(__xludf.DUMMYFUNCTION("""COMPUTED_VALUE"""),"Vahn Springer")</f>
        <v>Vahn Springer</v>
      </c>
      <c r="C2058" s="201">
        <f ca="1">IFERROR(__xludf.DUMMYFUNCTION("""COMPUTED_VALUE"""),7)</f>
        <v>7</v>
      </c>
      <c r="D2058" s="201" t="str">
        <f ca="1">IFERROR(__xludf.DUMMYFUNCTION("""COMPUTED_VALUE"""),"B")</f>
        <v>B</v>
      </c>
      <c r="E2058" s="202" t="str">
        <f ca="1">IFERROR(__xludf.DUMMYFUNCTION("""COMPUTED_VALUE"""),"F")</f>
        <v>F</v>
      </c>
      <c r="F2058" s="210" t="str">
        <f ca="1">IFERROR(__xludf.DUMMYFUNCTION("""COMPUTED_VALUE"""),"J")</f>
        <v>J</v>
      </c>
      <c r="G2058" s="210">
        <f ca="1">IFERROR(__xludf.DUMMYFUNCTION("""COMPUTED_VALUE"""),4)</f>
        <v>4</v>
      </c>
      <c r="H2058" s="206"/>
      <c r="I2058" s="206"/>
      <c r="J2058" s="206"/>
      <c r="K2058" s="206"/>
      <c r="L2058" s="206" t="str">
        <v/>
      </c>
      <c r="M2058" s="206" t="str">
        <v/>
      </c>
    </row>
    <row r="2059" spans="1:13" ht="14.4">
      <c r="A2059" s="201" t="str">
        <f ca="1">IFERROR(__xludf.DUMMYFUNCTION("""COMPUTED_VALUE"""),"T")</f>
        <v>T</v>
      </c>
      <c r="B2059" s="209" t="str">
        <f ca="1">IFERROR(__xludf.DUMMYFUNCTION("""COMPUTED_VALUE"""),"Victor Rodriguez")</f>
        <v>Victor Rodriguez</v>
      </c>
      <c r="C2059" s="201">
        <f ca="1">IFERROR(__xludf.DUMMYFUNCTION("""COMPUTED_VALUE"""),7)</f>
        <v>7</v>
      </c>
      <c r="D2059" s="201" t="str">
        <f ca="1">IFERROR(__xludf.DUMMYFUNCTION("""COMPUTED_VALUE"""),"B")</f>
        <v>B</v>
      </c>
      <c r="E2059" s="202" t="str">
        <f ca="1">IFERROR(__xludf.DUMMYFUNCTION("""COMPUTED_VALUE"""),"F")</f>
        <v>F</v>
      </c>
      <c r="F2059" s="210" t="str">
        <f ca="1">IFERROR(__xludf.DUMMYFUNCTION("""COMPUTED_VALUE"""),"J")</f>
        <v>J</v>
      </c>
      <c r="G2059" s="210">
        <f ca="1">IFERROR(__xludf.DUMMYFUNCTION("""COMPUTED_VALUE"""),4)</f>
        <v>4</v>
      </c>
      <c r="H2059" s="206"/>
      <c r="I2059" s="206"/>
      <c r="J2059" s="206"/>
      <c r="K2059" s="206"/>
      <c r="L2059" s="206" t="str">
        <v/>
      </c>
      <c r="M2059" s="206" t="str">
        <v/>
      </c>
    </row>
    <row r="2060" spans="1:13" ht="14.4">
      <c r="A2060" s="201" t="str">
        <f ca="1">IFERROR(__xludf.DUMMYFUNCTION("""COMPUTED_VALUE"""),"T")</f>
        <v>T</v>
      </c>
      <c r="B2060" s="209" t="str">
        <f ca="1">IFERROR(__xludf.DUMMYFUNCTION("""COMPUTED_VALUE"""),"Allegra Han")</f>
        <v>Allegra Han</v>
      </c>
      <c r="C2060" s="201">
        <f ca="1">IFERROR(__xludf.DUMMYFUNCTION("""COMPUTED_VALUE"""),8)</f>
        <v>8</v>
      </c>
      <c r="D2060" s="201" t="str">
        <f ca="1">IFERROR(__xludf.DUMMYFUNCTION("""COMPUTED_VALUE"""),"G")</f>
        <v>G</v>
      </c>
      <c r="E2060" s="202" t="str">
        <f ca="1">IFERROR(__xludf.DUMMYFUNCTION("""COMPUTED_VALUE"""),"F")</f>
        <v>F</v>
      </c>
      <c r="F2060" s="210" t="str">
        <f ca="1">IFERROR(__xludf.DUMMYFUNCTION("""COMPUTED_VALUE"""),"J")</f>
        <v>J</v>
      </c>
      <c r="G2060" s="210">
        <f ca="1">IFERROR(__xludf.DUMMYFUNCTION("""COMPUTED_VALUE"""),4)</f>
        <v>4</v>
      </c>
      <c r="H2060" s="206"/>
      <c r="I2060" s="206"/>
      <c r="J2060" s="206"/>
      <c r="K2060" s="206"/>
      <c r="L2060" s="206" t="str">
        <v/>
      </c>
      <c r="M2060" s="206" t="str">
        <v/>
      </c>
    </row>
    <row r="2061" spans="1:13" ht="14.4">
      <c r="A2061" s="201" t="str">
        <f ca="1">IFERROR(__xludf.DUMMYFUNCTION("""COMPUTED_VALUE"""),"T")</f>
        <v>T</v>
      </c>
      <c r="B2061" s="209" t="str">
        <f ca="1">IFERROR(__xludf.DUMMYFUNCTION("""COMPUTED_VALUE"""),"Annika Patel")</f>
        <v>Annika Patel</v>
      </c>
      <c r="C2061" s="201">
        <f ca="1">IFERROR(__xludf.DUMMYFUNCTION("""COMPUTED_VALUE"""),10)</f>
        <v>10</v>
      </c>
      <c r="D2061" s="201" t="str">
        <f ca="1">IFERROR(__xludf.DUMMYFUNCTION("""COMPUTED_VALUE"""),"G")</f>
        <v>G</v>
      </c>
      <c r="E2061" s="202" t="str">
        <f ca="1">IFERROR(__xludf.DUMMYFUNCTION("""COMPUTED_VALUE"""),"F")</f>
        <v>F</v>
      </c>
      <c r="F2061" s="210" t="str">
        <f ca="1">IFERROR(__xludf.DUMMYFUNCTION("""COMPUTED_VALUE"""),"J")</f>
        <v>J</v>
      </c>
      <c r="G2061" s="210">
        <f ca="1">IFERROR(__xludf.DUMMYFUNCTION("""COMPUTED_VALUE"""),4)</f>
        <v>4</v>
      </c>
      <c r="H2061" s="206"/>
      <c r="I2061" s="206"/>
      <c r="J2061" s="206"/>
      <c r="K2061" s="206"/>
      <c r="L2061" s="206" t="str">
        <v/>
      </c>
      <c r="M2061" s="206" t="str">
        <v/>
      </c>
    </row>
    <row r="2062" spans="1:13" ht="14.4">
      <c r="A2062" s="201" t="str">
        <f ca="1">IFERROR(__xludf.DUMMYFUNCTION("""COMPUTED_VALUE"""),"T")</f>
        <v>T</v>
      </c>
      <c r="B2062" s="209" t="str">
        <f ca="1">IFERROR(__xludf.DUMMYFUNCTION("""COMPUTED_VALUE"""),"Ava Howery")</f>
        <v>Ava Howery</v>
      </c>
      <c r="C2062" s="201">
        <f ca="1">IFERROR(__xludf.DUMMYFUNCTION("""COMPUTED_VALUE"""),8)</f>
        <v>8</v>
      </c>
      <c r="D2062" s="201" t="str">
        <f ca="1">IFERROR(__xludf.DUMMYFUNCTION("""COMPUTED_VALUE"""),"G")</f>
        <v>G</v>
      </c>
      <c r="E2062" s="202" t="str">
        <f ca="1">IFERROR(__xludf.DUMMYFUNCTION("""COMPUTED_VALUE"""),"F")</f>
        <v>F</v>
      </c>
      <c r="F2062" s="210" t="str">
        <f ca="1">IFERROR(__xludf.DUMMYFUNCTION("""COMPUTED_VALUE"""),"J")</f>
        <v>J</v>
      </c>
      <c r="G2062" s="210">
        <f ca="1">IFERROR(__xludf.DUMMYFUNCTION("""COMPUTED_VALUE"""),4)</f>
        <v>4</v>
      </c>
      <c r="H2062" s="206"/>
      <c r="I2062" s="206"/>
      <c r="J2062" s="206"/>
      <c r="K2062" s="206"/>
      <c r="L2062" s="206" t="str">
        <v/>
      </c>
      <c r="M2062" s="206" t="str">
        <v/>
      </c>
    </row>
    <row r="2063" spans="1:13" ht="14.4">
      <c r="A2063" s="201" t="str">
        <f ca="1">IFERROR(__xludf.DUMMYFUNCTION("""COMPUTED_VALUE"""),"T")</f>
        <v>T</v>
      </c>
      <c r="B2063" s="209" t="str">
        <f ca="1">IFERROR(__xludf.DUMMYFUNCTION("""COMPUTED_VALUE"""),"Chaaya Springer")</f>
        <v>Chaaya Springer</v>
      </c>
      <c r="C2063" s="201">
        <f ca="1">IFERROR(__xludf.DUMMYFUNCTION("""COMPUTED_VALUE"""),9)</f>
        <v>9</v>
      </c>
      <c r="D2063" s="201" t="str">
        <f ca="1">IFERROR(__xludf.DUMMYFUNCTION("""COMPUTED_VALUE"""),"G")</f>
        <v>G</v>
      </c>
      <c r="E2063" s="202" t="str">
        <f ca="1">IFERROR(__xludf.DUMMYFUNCTION("""COMPUTED_VALUE"""),"F")</f>
        <v>F</v>
      </c>
      <c r="F2063" s="210" t="str">
        <f ca="1">IFERROR(__xludf.DUMMYFUNCTION("""COMPUTED_VALUE"""),"J")</f>
        <v>J</v>
      </c>
      <c r="G2063" s="210">
        <f ca="1">IFERROR(__xludf.DUMMYFUNCTION("""COMPUTED_VALUE"""),4)</f>
        <v>4</v>
      </c>
      <c r="H2063" s="206">
        <v>66.3</v>
      </c>
      <c r="I2063" s="206"/>
      <c r="J2063" s="206" t="s">
        <v>121</v>
      </c>
      <c r="K2063" s="206"/>
      <c r="L2063" s="206" t="str">
        <v xml:space="preserve"> 66.3</v>
      </c>
      <c r="M2063" s="206" t="str">
        <v/>
      </c>
    </row>
    <row r="2064" spans="1:13" ht="14.4">
      <c r="A2064" s="201" t="str">
        <f ca="1">IFERROR(__xludf.DUMMYFUNCTION("""COMPUTED_VALUE"""),"T")</f>
        <v>T</v>
      </c>
      <c r="B2064" s="209" t="str">
        <f ca="1">IFERROR(__xludf.DUMMYFUNCTION("""COMPUTED_VALUE"""),"Ella Conradt")</f>
        <v>Ella Conradt</v>
      </c>
      <c r="C2064" s="201">
        <f ca="1">IFERROR(__xludf.DUMMYFUNCTION("""COMPUTED_VALUE"""),10)</f>
        <v>10</v>
      </c>
      <c r="D2064" s="201" t="str">
        <f ca="1">IFERROR(__xludf.DUMMYFUNCTION("""COMPUTED_VALUE"""),"G")</f>
        <v>G</v>
      </c>
      <c r="E2064" s="202" t="str">
        <f ca="1">IFERROR(__xludf.DUMMYFUNCTION("""COMPUTED_VALUE"""),"F")</f>
        <v>F</v>
      </c>
      <c r="F2064" s="210" t="str">
        <f ca="1">IFERROR(__xludf.DUMMYFUNCTION("""COMPUTED_VALUE"""),"J")</f>
        <v>J</v>
      </c>
      <c r="G2064" s="210">
        <f ca="1">IFERROR(__xludf.DUMMYFUNCTION("""COMPUTED_VALUE"""),4)</f>
        <v>4</v>
      </c>
      <c r="H2064" s="206"/>
      <c r="I2064" s="206"/>
      <c r="J2064" s="206"/>
      <c r="K2064" s="206"/>
      <c r="L2064" s="206" t="str">
        <v/>
      </c>
      <c r="M2064" s="206" t="str">
        <v/>
      </c>
    </row>
    <row r="2065" spans="1:13" ht="14.4">
      <c r="A2065" s="201" t="str">
        <f ca="1">IFERROR(__xludf.DUMMYFUNCTION("""COMPUTED_VALUE"""),"T")</f>
        <v>T</v>
      </c>
      <c r="B2065" s="209" t="str">
        <f ca="1">IFERROR(__xludf.DUMMYFUNCTION("""COMPUTED_VALUE"""),"Emily Upp")</f>
        <v>Emily Upp</v>
      </c>
      <c r="C2065" s="201">
        <f ca="1">IFERROR(__xludf.DUMMYFUNCTION("""COMPUTED_VALUE"""),10)</f>
        <v>10</v>
      </c>
      <c r="D2065" s="201" t="str">
        <f ca="1">IFERROR(__xludf.DUMMYFUNCTION("""COMPUTED_VALUE"""),"G")</f>
        <v>G</v>
      </c>
      <c r="E2065" s="202" t="str">
        <f ca="1">IFERROR(__xludf.DUMMYFUNCTION("""COMPUTED_VALUE"""),"F")</f>
        <v>F</v>
      </c>
      <c r="F2065" s="210" t="str">
        <f ca="1">IFERROR(__xludf.DUMMYFUNCTION("""COMPUTED_VALUE"""),"J")</f>
        <v>J</v>
      </c>
      <c r="G2065" s="210">
        <f ca="1">IFERROR(__xludf.DUMMYFUNCTION("""COMPUTED_VALUE"""),4)</f>
        <v>4</v>
      </c>
      <c r="H2065" s="206">
        <v>57.9</v>
      </c>
      <c r="I2065" s="206"/>
      <c r="J2065" s="206" t="s">
        <v>121</v>
      </c>
      <c r="K2065" s="206"/>
      <c r="L2065" s="206" t="str">
        <v xml:space="preserve"> 57.9</v>
      </c>
      <c r="M2065" s="206" t="str">
        <v/>
      </c>
    </row>
    <row r="2066" spans="1:13" ht="14.4">
      <c r="A2066" s="201" t="str">
        <f ca="1">IFERROR(__xludf.DUMMYFUNCTION("""COMPUTED_VALUE"""),"T")</f>
        <v>T</v>
      </c>
      <c r="B2066" s="209" t="str">
        <f ca="1">IFERROR(__xludf.DUMMYFUNCTION("""COMPUTED_VALUE"""),"Emily Zellers")</f>
        <v>Emily Zellers</v>
      </c>
      <c r="C2066" s="201">
        <f ca="1">IFERROR(__xludf.DUMMYFUNCTION("""COMPUTED_VALUE"""),10)</f>
        <v>10</v>
      </c>
      <c r="D2066" s="201" t="str">
        <f ca="1">IFERROR(__xludf.DUMMYFUNCTION("""COMPUTED_VALUE"""),"G")</f>
        <v>G</v>
      </c>
      <c r="E2066" s="202" t="str">
        <f ca="1">IFERROR(__xludf.DUMMYFUNCTION("""COMPUTED_VALUE"""),"F")</f>
        <v>F</v>
      </c>
      <c r="F2066" s="210" t="str">
        <f ca="1">IFERROR(__xludf.DUMMYFUNCTION("""COMPUTED_VALUE"""),"J")</f>
        <v>J</v>
      </c>
      <c r="G2066" s="210">
        <f ca="1">IFERROR(__xludf.DUMMYFUNCTION("""COMPUTED_VALUE"""),4)</f>
        <v>4</v>
      </c>
      <c r="H2066" s="206"/>
      <c r="I2066" s="206"/>
      <c r="J2066" s="206"/>
      <c r="K2066" s="206"/>
      <c r="L2066" s="206" t="str">
        <v/>
      </c>
      <c r="M2066" s="206" t="str">
        <v/>
      </c>
    </row>
    <row r="2067" spans="1:13" ht="14.4">
      <c r="A2067" s="201" t="str">
        <f ca="1">IFERROR(__xludf.DUMMYFUNCTION("""COMPUTED_VALUE"""),"T")</f>
        <v>T</v>
      </c>
      <c r="B2067" s="209" t="str">
        <f ca="1">IFERROR(__xludf.DUMMYFUNCTION("""COMPUTED_VALUE"""),"Eve Fath")</f>
        <v>Eve Fath</v>
      </c>
      <c r="C2067" s="201">
        <f ca="1">IFERROR(__xludf.DUMMYFUNCTION("""COMPUTED_VALUE"""),6)</f>
        <v>6</v>
      </c>
      <c r="D2067" s="201" t="str">
        <f ca="1">IFERROR(__xludf.DUMMYFUNCTION("""COMPUTED_VALUE"""),"G")</f>
        <v>G</v>
      </c>
      <c r="E2067" s="202" t="str">
        <f ca="1">IFERROR(__xludf.DUMMYFUNCTION("""COMPUTED_VALUE"""),"F")</f>
        <v>F</v>
      </c>
      <c r="F2067" s="210" t="str">
        <f ca="1">IFERROR(__xludf.DUMMYFUNCTION("""COMPUTED_VALUE"""),"J")</f>
        <v>J</v>
      </c>
      <c r="G2067" s="210">
        <f ca="1">IFERROR(__xludf.DUMMYFUNCTION("""COMPUTED_VALUE"""),4)</f>
        <v>4</v>
      </c>
      <c r="H2067" s="206"/>
      <c r="I2067" s="206"/>
      <c r="J2067" s="206"/>
      <c r="K2067" s="206"/>
      <c r="L2067" s="206" t="str">
        <v/>
      </c>
      <c r="M2067" s="206" t="str">
        <v/>
      </c>
    </row>
    <row r="2068" spans="1:13" ht="14.4">
      <c r="A2068" s="201" t="str">
        <f ca="1">IFERROR(__xludf.DUMMYFUNCTION("""COMPUTED_VALUE"""),"T")</f>
        <v>T</v>
      </c>
      <c r="B2068" s="209" t="str">
        <f ca="1">IFERROR(__xludf.DUMMYFUNCTION("""COMPUTED_VALUE"""),"Francesca Hernandez")</f>
        <v>Francesca Hernandez</v>
      </c>
      <c r="C2068" s="201">
        <f ca="1">IFERROR(__xludf.DUMMYFUNCTION("""COMPUTED_VALUE"""),8)</f>
        <v>8</v>
      </c>
      <c r="D2068" s="201" t="str">
        <f ca="1">IFERROR(__xludf.DUMMYFUNCTION("""COMPUTED_VALUE"""),"G")</f>
        <v>G</v>
      </c>
      <c r="E2068" s="202" t="str">
        <f ca="1">IFERROR(__xludf.DUMMYFUNCTION("""COMPUTED_VALUE"""),"F")</f>
        <v>F</v>
      </c>
      <c r="F2068" s="210" t="str">
        <f ca="1">IFERROR(__xludf.DUMMYFUNCTION("""COMPUTED_VALUE"""),"J")</f>
        <v>J</v>
      </c>
      <c r="G2068" s="210">
        <f ca="1">IFERROR(__xludf.DUMMYFUNCTION("""COMPUTED_VALUE"""),4)</f>
        <v>4</v>
      </c>
      <c r="H2068" s="206"/>
      <c r="I2068" s="206"/>
      <c r="J2068" s="206"/>
      <c r="K2068" s="206"/>
      <c r="L2068" s="206" t="str">
        <v/>
      </c>
      <c r="M2068" s="206" t="str">
        <v/>
      </c>
    </row>
    <row r="2069" spans="1:13" ht="14.4">
      <c r="A2069" s="201" t="str">
        <f ca="1">IFERROR(__xludf.DUMMYFUNCTION("""COMPUTED_VALUE"""),"T")</f>
        <v>T</v>
      </c>
      <c r="B2069" s="209" t="str">
        <f ca="1">IFERROR(__xludf.DUMMYFUNCTION("""COMPUTED_VALUE"""),"Gabi Rodriguez")</f>
        <v>Gabi Rodriguez</v>
      </c>
      <c r="C2069" s="201">
        <f ca="1">IFERROR(__xludf.DUMMYFUNCTION("""COMPUTED_VALUE"""),9)</f>
        <v>9</v>
      </c>
      <c r="D2069" s="201" t="str">
        <f ca="1">IFERROR(__xludf.DUMMYFUNCTION("""COMPUTED_VALUE"""),"G")</f>
        <v>G</v>
      </c>
      <c r="E2069" s="202" t="str">
        <f ca="1">IFERROR(__xludf.DUMMYFUNCTION("""COMPUTED_VALUE"""),"F")</f>
        <v>F</v>
      </c>
      <c r="F2069" s="210" t="str">
        <f ca="1">IFERROR(__xludf.DUMMYFUNCTION("""COMPUTED_VALUE"""),"J")</f>
        <v>J</v>
      </c>
      <c r="G2069" s="210">
        <f ca="1">IFERROR(__xludf.DUMMYFUNCTION("""COMPUTED_VALUE"""),4)</f>
        <v>4</v>
      </c>
      <c r="H2069" s="206"/>
      <c r="I2069" s="206"/>
      <c r="J2069" s="206"/>
      <c r="K2069" s="206"/>
      <c r="L2069" s="206" t="str">
        <v/>
      </c>
      <c r="M2069" s="206" t="str">
        <v/>
      </c>
    </row>
    <row r="2070" spans="1:13" ht="14.4">
      <c r="A2070" s="201" t="str">
        <f ca="1">IFERROR(__xludf.DUMMYFUNCTION("""COMPUTED_VALUE"""),"T")</f>
        <v>T</v>
      </c>
      <c r="B2070" s="209" t="str">
        <f ca="1">IFERROR(__xludf.DUMMYFUNCTION("""COMPUTED_VALUE"""),"Isabella McFeely")</f>
        <v>Isabella McFeely</v>
      </c>
      <c r="C2070" s="201">
        <f ca="1">IFERROR(__xludf.DUMMYFUNCTION("""COMPUTED_VALUE"""),7)</f>
        <v>7</v>
      </c>
      <c r="D2070" s="201" t="str">
        <f ca="1">IFERROR(__xludf.DUMMYFUNCTION("""COMPUTED_VALUE"""),"G")</f>
        <v>G</v>
      </c>
      <c r="E2070" s="202" t="str">
        <f ca="1">IFERROR(__xludf.DUMMYFUNCTION("""COMPUTED_VALUE"""),"F")</f>
        <v>F</v>
      </c>
      <c r="F2070" s="210" t="str">
        <f ca="1">IFERROR(__xludf.DUMMYFUNCTION("""COMPUTED_VALUE"""),"J")</f>
        <v>J</v>
      </c>
      <c r="G2070" s="210">
        <f ca="1">IFERROR(__xludf.DUMMYFUNCTION("""COMPUTED_VALUE"""),4)</f>
        <v>4</v>
      </c>
      <c r="H2070" s="206"/>
      <c r="I2070" s="206"/>
      <c r="J2070" s="206"/>
      <c r="K2070" s="206"/>
      <c r="L2070" s="206" t="str">
        <v/>
      </c>
      <c r="M2070" s="206" t="str">
        <v/>
      </c>
    </row>
    <row r="2071" spans="1:13" ht="14.4">
      <c r="A2071" s="201" t="str">
        <f ca="1">IFERROR(__xludf.DUMMYFUNCTION("""COMPUTED_VALUE"""),"T")</f>
        <v>T</v>
      </c>
      <c r="B2071" s="209" t="str">
        <f ca="1">IFERROR(__xludf.DUMMYFUNCTION("""COMPUTED_VALUE"""),"Julia Clopper")</f>
        <v>Julia Clopper</v>
      </c>
      <c r="C2071" s="201">
        <f ca="1">IFERROR(__xludf.DUMMYFUNCTION("""COMPUTED_VALUE"""),6)</f>
        <v>6</v>
      </c>
      <c r="D2071" s="201" t="str">
        <f ca="1">IFERROR(__xludf.DUMMYFUNCTION("""COMPUTED_VALUE"""),"G")</f>
        <v>G</v>
      </c>
      <c r="E2071" s="202" t="str">
        <f ca="1">IFERROR(__xludf.DUMMYFUNCTION("""COMPUTED_VALUE"""),"F")</f>
        <v>F</v>
      </c>
      <c r="F2071" s="210" t="str">
        <f ca="1">IFERROR(__xludf.DUMMYFUNCTION("""COMPUTED_VALUE"""),"J")</f>
        <v>J</v>
      </c>
      <c r="G2071" s="210">
        <f ca="1">IFERROR(__xludf.DUMMYFUNCTION("""COMPUTED_VALUE"""),4)</f>
        <v>4</v>
      </c>
      <c r="H2071" s="206"/>
      <c r="I2071" s="206"/>
      <c r="J2071" s="206"/>
      <c r="K2071" s="206"/>
      <c r="L2071" s="206" t="str">
        <v/>
      </c>
      <c r="M2071" s="206" t="str">
        <v/>
      </c>
    </row>
    <row r="2072" spans="1:13" ht="14.4">
      <c r="A2072" s="201" t="str">
        <f ca="1">IFERROR(__xludf.DUMMYFUNCTION("""COMPUTED_VALUE"""),"T")</f>
        <v>T</v>
      </c>
      <c r="B2072" s="209" t="str">
        <f ca="1">IFERROR(__xludf.DUMMYFUNCTION("""COMPUTED_VALUE"""),"Julia McFeely")</f>
        <v>Julia McFeely</v>
      </c>
      <c r="C2072" s="201">
        <f ca="1">IFERROR(__xludf.DUMMYFUNCTION("""COMPUTED_VALUE"""),7)</f>
        <v>7</v>
      </c>
      <c r="D2072" s="201" t="str">
        <f ca="1">IFERROR(__xludf.DUMMYFUNCTION("""COMPUTED_VALUE"""),"G")</f>
        <v>G</v>
      </c>
      <c r="E2072" s="202" t="str">
        <f ca="1">IFERROR(__xludf.DUMMYFUNCTION("""COMPUTED_VALUE"""),"F")</f>
        <v>F</v>
      </c>
      <c r="F2072" s="210" t="str">
        <f ca="1">IFERROR(__xludf.DUMMYFUNCTION("""COMPUTED_VALUE"""),"J")</f>
        <v>J</v>
      </c>
      <c r="G2072" s="210">
        <f ca="1">IFERROR(__xludf.DUMMYFUNCTION("""COMPUTED_VALUE"""),4)</f>
        <v>4</v>
      </c>
      <c r="H2072" s="206"/>
      <c r="I2072" s="206"/>
      <c r="J2072" s="206"/>
      <c r="K2072" s="206"/>
      <c r="L2072" s="206" t="str">
        <v/>
      </c>
      <c r="M2072" s="206" t="str">
        <v/>
      </c>
    </row>
    <row r="2073" spans="1:13" ht="14.4">
      <c r="A2073" s="201" t="str">
        <f ca="1">IFERROR(__xludf.DUMMYFUNCTION("""COMPUTED_VALUE"""),"T")</f>
        <v>T</v>
      </c>
      <c r="B2073" s="209" t="str">
        <f ca="1">IFERROR(__xludf.DUMMYFUNCTION("""COMPUTED_VALUE"""),"Julia Zellers")</f>
        <v>Julia Zellers</v>
      </c>
      <c r="C2073" s="201">
        <f ca="1">IFERROR(__xludf.DUMMYFUNCTION("""COMPUTED_VALUE"""),7)</f>
        <v>7</v>
      </c>
      <c r="D2073" s="201" t="str">
        <f ca="1">IFERROR(__xludf.DUMMYFUNCTION("""COMPUTED_VALUE"""),"G")</f>
        <v>G</v>
      </c>
      <c r="E2073" s="202" t="str">
        <f ca="1">IFERROR(__xludf.DUMMYFUNCTION("""COMPUTED_VALUE"""),"F")</f>
        <v>F</v>
      </c>
      <c r="F2073" s="210" t="str">
        <f ca="1">IFERROR(__xludf.DUMMYFUNCTION("""COMPUTED_VALUE"""),"J")</f>
        <v>J</v>
      </c>
      <c r="G2073" s="210">
        <f ca="1">IFERROR(__xludf.DUMMYFUNCTION("""COMPUTED_VALUE"""),4)</f>
        <v>4</v>
      </c>
      <c r="H2073" s="206"/>
      <c r="I2073" s="206"/>
      <c r="J2073" s="206"/>
      <c r="K2073" s="206"/>
      <c r="L2073" s="206" t="str">
        <v/>
      </c>
      <c r="M2073" s="206" t="str">
        <v/>
      </c>
    </row>
    <row r="2074" spans="1:13" ht="14.4">
      <c r="A2074" s="201" t="str">
        <f ca="1">IFERROR(__xludf.DUMMYFUNCTION("""COMPUTED_VALUE"""),"T")</f>
        <v>T</v>
      </c>
      <c r="B2074" s="209" t="str">
        <f ca="1">IFERROR(__xludf.DUMMYFUNCTION("""COMPUTED_VALUE"""),"Lauren Clopper")</f>
        <v>Lauren Clopper</v>
      </c>
      <c r="C2074" s="201">
        <f ca="1">IFERROR(__xludf.DUMMYFUNCTION("""COMPUTED_VALUE"""),8)</f>
        <v>8</v>
      </c>
      <c r="D2074" s="201" t="str">
        <f ca="1">IFERROR(__xludf.DUMMYFUNCTION("""COMPUTED_VALUE"""),"G")</f>
        <v>G</v>
      </c>
      <c r="E2074" s="202" t="str">
        <f ca="1">IFERROR(__xludf.DUMMYFUNCTION("""COMPUTED_VALUE"""),"F")</f>
        <v>F</v>
      </c>
      <c r="F2074" s="210" t="str">
        <f ca="1">IFERROR(__xludf.DUMMYFUNCTION("""COMPUTED_VALUE"""),"J")</f>
        <v>J</v>
      </c>
      <c r="G2074" s="210">
        <f ca="1">IFERROR(__xludf.DUMMYFUNCTION("""COMPUTED_VALUE"""),4)</f>
        <v>4</v>
      </c>
      <c r="H2074" s="206"/>
      <c r="I2074" s="206"/>
      <c r="J2074" s="206"/>
      <c r="K2074" s="206"/>
      <c r="L2074" s="206" t="str">
        <v/>
      </c>
      <c r="M2074" s="206" t="str">
        <v/>
      </c>
    </row>
    <row r="2075" spans="1:13" ht="14.4">
      <c r="A2075" s="201" t="str">
        <f ca="1">IFERROR(__xludf.DUMMYFUNCTION("""COMPUTED_VALUE"""),"T")</f>
        <v>T</v>
      </c>
      <c r="B2075" s="209" t="str">
        <f ca="1">IFERROR(__xludf.DUMMYFUNCTION("""COMPUTED_VALUE"""),"Leah Bailey")</f>
        <v>Leah Bailey</v>
      </c>
      <c r="C2075" s="201">
        <f ca="1">IFERROR(__xludf.DUMMYFUNCTION("""COMPUTED_VALUE"""),9)</f>
        <v>9</v>
      </c>
      <c r="D2075" s="201" t="str">
        <f ca="1">IFERROR(__xludf.DUMMYFUNCTION("""COMPUTED_VALUE"""),"G")</f>
        <v>G</v>
      </c>
      <c r="E2075" s="202" t="str">
        <f ca="1">IFERROR(__xludf.DUMMYFUNCTION("""COMPUTED_VALUE"""),"F")</f>
        <v>F</v>
      </c>
      <c r="F2075" s="210" t="str">
        <f ca="1">IFERROR(__xludf.DUMMYFUNCTION("""COMPUTED_VALUE"""),"J")</f>
        <v>J</v>
      </c>
      <c r="G2075" s="210">
        <f ca="1">IFERROR(__xludf.DUMMYFUNCTION("""COMPUTED_VALUE"""),4)</f>
        <v>4</v>
      </c>
      <c r="H2075" s="206">
        <v>64.849999999999994</v>
      </c>
      <c r="I2075" s="206"/>
      <c r="J2075" s="206" t="s">
        <v>121</v>
      </c>
      <c r="K2075" s="206"/>
      <c r="L2075" s="206" t="str">
        <v xml:space="preserve"> 64.85</v>
      </c>
      <c r="M2075" s="206" t="str">
        <v/>
      </c>
    </row>
    <row r="2076" spans="1:13" ht="14.4">
      <c r="A2076" s="201" t="str">
        <f ca="1">IFERROR(__xludf.DUMMYFUNCTION("""COMPUTED_VALUE"""),"T")</f>
        <v>T</v>
      </c>
      <c r="B2076" s="209" t="str">
        <f ca="1">IFERROR(__xludf.DUMMYFUNCTION("""COMPUTED_VALUE"""),"Lola Fontana")</f>
        <v>Lola Fontana</v>
      </c>
      <c r="C2076" s="201">
        <f ca="1">IFERROR(__xludf.DUMMYFUNCTION("""COMPUTED_VALUE"""),8)</f>
        <v>8</v>
      </c>
      <c r="D2076" s="201" t="str">
        <f ca="1">IFERROR(__xludf.DUMMYFUNCTION("""COMPUTED_VALUE"""),"G")</f>
        <v>G</v>
      </c>
      <c r="E2076" s="202" t="str">
        <f ca="1">IFERROR(__xludf.DUMMYFUNCTION("""COMPUTED_VALUE"""),"F")</f>
        <v>F</v>
      </c>
      <c r="F2076" s="210" t="str">
        <f ca="1">IFERROR(__xludf.DUMMYFUNCTION("""COMPUTED_VALUE"""),"J")</f>
        <v>J</v>
      </c>
      <c r="G2076" s="210">
        <f ca="1">IFERROR(__xludf.DUMMYFUNCTION("""COMPUTED_VALUE"""),4)</f>
        <v>4</v>
      </c>
      <c r="H2076" s="206"/>
      <c r="I2076" s="206"/>
      <c r="J2076" s="206"/>
      <c r="K2076" s="206"/>
      <c r="L2076" s="206" t="str">
        <v/>
      </c>
      <c r="M2076" s="206" t="str">
        <v/>
      </c>
    </row>
    <row r="2077" spans="1:13" ht="14.4">
      <c r="A2077" s="201" t="str">
        <f ca="1">IFERROR(__xludf.DUMMYFUNCTION("""COMPUTED_VALUE"""),"T")</f>
        <v>T</v>
      </c>
      <c r="B2077" s="209" t="str">
        <f ca="1">IFERROR(__xludf.DUMMYFUNCTION("""COMPUTED_VALUE"""),"Luci Reynolds")</f>
        <v>Luci Reynolds</v>
      </c>
      <c r="C2077" s="201">
        <f ca="1">IFERROR(__xludf.DUMMYFUNCTION("""COMPUTED_VALUE"""),7)</f>
        <v>7</v>
      </c>
      <c r="D2077" s="201" t="str">
        <f ca="1">IFERROR(__xludf.DUMMYFUNCTION("""COMPUTED_VALUE"""),"G")</f>
        <v>G</v>
      </c>
      <c r="E2077" s="202" t="str">
        <f ca="1">IFERROR(__xludf.DUMMYFUNCTION("""COMPUTED_VALUE"""),"F")</f>
        <v>F</v>
      </c>
      <c r="F2077" s="210" t="str">
        <f ca="1">IFERROR(__xludf.DUMMYFUNCTION("""COMPUTED_VALUE"""),"J")</f>
        <v>J</v>
      </c>
      <c r="G2077" s="210">
        <f ca="1">IFERROR(__xludf.DUMMYFUNCTION("""COMPUTED_VALUE"""),4)</f>
        <v>4</v>
      </c>
      <c r="H2077" s="206"/>
      <c r="I2077" s="206"/>
      <c r="J2077" s="206"/>
      <c r="K2077" s="206"/>
      <c r="L2077" s="206" t="str">
        <v/>
      </c>
      <c r="M2077" s="206" t="str">
        <v/>
      </c>
    </row>
    <row r="2078" spans="1:13" ht="14.4">
      <c r="A2078" s="201" t="str">
        <f ca="1">IFERROR(__xludf.DUMMYFUNCTION("""COMPUTED_VALUE"""),"T")</f>
        <v>T</v>
      </c>
      <c r="B2078" s="209" t="str">
        <f ca="1">IFERROR(__xludf.DUMMYFUNCTION("""COMPUTED_VALUE"""),"Nikitha Rajesh")</f>
        <v>Nikitha Rajesh</v>
      </c>
      <c r="C2078" s="201">
        <f ca="1">IFERROR(__xludf.DUMMYFUNCTION("""COMPUTED_VALUE"""),10)</f>
        <v>10</v>
      </c>
      <c r="D2078" s="201" t="str">
        <f ca="1">IFERROR(__xludf.DUMMYFUNCTION("""COMPUTED_VALUE"""),"G")</f>
        <v>G</v>
      </c>
      <c r="E2078" s="202" t="str">
        <f ca="1">IFERROR(__xludf.DUMMYFUNCTION("""COMPUTED_VALUE"""),"F")</f>
        <v>F</v>
      </c>
      <c r="F2078" s="210" t="str">
        <f ca="1">IFERROR(__xludf.DUMMYFUNCTION("""COMPUTED_VALUE"""),"J")</f>
        <v>J</v>
      </c>
      <c r="G2078" s="210">
        <f ca="1">IFERROR(__xludf.DUMMYFUNCTION("""COMPUTED_VALUE"""),4)</f>
        <v>4</v>
      </c>
      <c r="H2078" s="206"/>
      <c r="I2078" s="206"/>
      <c r="J2078" s="206"/>
      <c r="K2078" s="206"/>
      <c r="L2078" s="206" t="str">
        <v/>
      </c>
      <c r="M2078" s="206" t="str">
        <v/>
      </c>
    </row>
    <row r="2079" spans="1:13" ht="14.4">
      <c r="A2079" s="201" t="str">
        <f ca="1">IFERROR(__xludf.DUMMYFUNCTION("""COMPUTED_VALUE"""),"T")</f>
        <v>T</v>
      </c>
      <c r="B2079" s="209" t="str">
        <f ca="1">IFERROR(__xludf.DUMMYFUNCTION("""COMPUTED_VALUE"""),"Nora Hall")</f>
        <v>Nora Hall</v>
      </c>
      <c r="C2079" s="201">
        <f ca="1">IFERROR(__xludf.DUMMYFUNCTION("""COMPUTED_VALUE"""),8)</f>
        <v>8</v>
      </c>
      <c r="D2079" s="201" t="str">
        <f ca="1">IFERROR(__xludf.DUMMYFUNCTION("""COMPUTED_VALUE"""),"G")</f>
        <v>G</v>
      </c>
      <c r="E2079" s="202" t="str">
        <f ca="1">IFERROR(__xludf.DUMMYFUNCTION("""COMPUTED_VALUE"""),"F")</f>
        <v>F</v>
      </c>
      <c r="F2079" s="210" t="str">
        <f ca="1">IFERROR(__xludf.DUMMYFUNCTION("""COMPUTED_VALUE"""),"J")</f>
        <v>J</v>
      </c>
      <c r="G2079" s="210">
        <f ca="1">IFERROR(__xludf.DUMMYFUNCTION("""COMPUTED_VALUE"""),4)</f>
        <v>4</v>
      </c>
      <c r="H2079" s="206">
        <v>43.2</v>
      </c>
      <c r="I2079" s="206"/>
      <c r="J2079" s="206" t="s">
        <v>121</v>
      </c>
      <c r="K2079" s="206"/>
      <c r="L2079" s="206" t="str">
        <v xml:space="preserve"> 43.2</v>
      </c>
      <c r="M2079" s="206" t="str">
        <v/>
      </c>
    </row>
    <row r="2080" spans="1:13" ht="14.4">
      <c r="A2080" s="201" t="str">
        <f ca="1">IFERROR(__xludf.DUMMYFUNCTION("""COMPUTED_VALUE"""),"T")</f>
        <v>T</v>
      </c>
      <c r="B2080" s="209" t="str">
        <f ca="1">IFERROR(__xludf.DUMMYFUNCTION("""COMPUTED_VALUE"""),"Rayna Patel")</f>
        <v>Rayna Patel</v>
      </c>
      <c r="C2080" s="201">
        <f ca="1">IFERROR(__xludf.DUMMYFUNCTION("""COMPUTED_VALUE"""),10)</f>
        <v>10</v>
      </c>
      <c r="D2080" s="201" t="str">
        <f ca="1">IFERROR(__xludf.DUMMYFUNCTION("""COMPUTED_VALUE"""),"G")</f>
        <v>G</v>
      </c>
      <c r="E2080" s="202" t="str">
        <f ca="1">IFERROR(__xludf.DUMMYFUNCTION("""COMPUTED_VALUE"""),"F")</f>
        <v>F</v>
      </c>
      <c r="F2080" s="210" t="str">
        <f ca="1">IFERROR(__xludf.DUMMYFUNCTION("""COMPUTED_VALUE"""),"J")</f>
        <v>J</v>
      </c>
      <c r="G2080" s="210">
        <f ca="1">IFERROR(__xludf.DUMMYFUNCTION("""COMPUTED_VALUE"""),4)</f>
        <v>4</v>
      </c>
      <c r="H2080" s="206"/>
      <c r="I2080" s="206"/>
      <c r="J2080" s="206"/>
      <c r="K2080" s="206"/>
      <c r="L2080" s="206" t="str">
        <v/>
      </c>
      <c r="M2080" s="206" t="str">
        <v/>
      </c>
    </row>
    <row r="2081" spans="1:13" ht="14.4">
      <c r="A2081" s="201" t="str">
        <f ca="1">IFERROR(__xludf.DUMMYFUNCTION("""COMPUTED_VALUE"""),"T")</f>
        <v>T</v>
      </c>
      <c r="B2081" s="209" t="str">
        <f ca="1">IFERROR(__xludf.DUMMYFUNCTION("""COMPUTED_VALUE"""),"Sophie Paz")</f>
        <v>Sophie Paz</v>
      </c>
      <c r="C2081" s="201">
        <f ca="1">IFERROR(__xludf.DUMMYFUNCTION("""COMPUTED_VALUE"""),9)</f>
        <v>9</v>
      </c>
      <c r="D2081" s="201" t="str">
        <f ca="1">IFERROR(__xludf.DUMMYFUNCTION("""COMPUTED_VALUE"""),"G")</f>
        <v>G</v>
      </c>
      <c r="E2081" s="202" t="str">
        <f ca="1">IFERROR(__xludf.DUMMYFUNCTION("""COMPUTED_VALUE"""),"F")</f>
        <v>F</v>
      </c>
      <c r="F2081" s="210" t="str">
        <f ca="1">IFERROR(__xludf.DUMMYFUNCTION("""COMPUTED_VALUE"""),"J")</f>
        <v>J</v>
      </c>
      <c r="G2081" s="210">
        <f ca="1">IFERROR(__xludf.DUMMYFUNCTION("""COMPUTED_VALUE"""),4)</f>
        <v>4</v>
      </c>
      <c r="H2081" s="206"/>
      <c r="I2081" s="206"/>
      <c r="J2081" s="206"/>
      <c r="K2081" s="206"/>
      <c r="L2081" s="206" t="str">
        <v/>
      </c>
      <c r="M2081" s="206" t="str">
        <v/>
      </c>
    </row>
    <row r="2082" spans="1:13" ht="14.4">
      <c r="A2082" s="201" t="str">
        <f ca="1">IFERROR(__xludf.DUMMYFUNCTION("""COMPUTED_VALUE"""),"T")</f>
        <v>T</v>
      </c>
      <c r="B2082" s="209" t="str">
        <f ca="1">IFERROR(__xludf.DUMMYFUNCTION("""COMPUTED_VALUE"""),"Vicki Waisberg")</f>
        <v>Vicki Waisberg</v>
      </c>
      <c r="C2082" s="201">
        <f ca="1">IFERROR(__xludf.DUMMYFUNCTION("""COMPUTED_VALUE"""),10)</f>
        <v>10</v>
      </c>
      <c r="D2082" s="201" t="str">
        <f ca="1">IFERROR(__xludf.DUMMYFUNCTION("""COMPUTED_VALUE"""),"G")</f>
        <v>G</v>
      </c>
      <c r="E2082" s="202" t="str">
        <f ca="1">IFERROR(__xludf.DUMMYFUNCTION("""COMPUTED_VALUE"""),"F")</f>
        <v>F</v>
      </c>
      <c r="F2082" s="210" t="str">
        <f ca="1">IFERROR(__xludf.DUMMYFUNCTION("""COMPUTED_VALUE"""),"J")</f>
        <v>J</v>
      </c>
      <c r="G2082" s="210">
        <f ca="1">IFERROR(__xludf.DUMMYFUNCTION("""COMPUTED_VALUE"""),4)</f>
        <v>4</v>
      </c>
      <c r="H2082" s="206"/>
      <c r="I2082" s="206"/>
      <c r="J2082" s="206"/>
      <c r="K2082" s="206"/>
      <c r="L2082" s="206" t="str">
        <v/>
      </c>
      <c r="M2082" s="206" t="str">
        <v/>
      </c>
    </row>
    <row r="2083" spans="1:13" ht="14.4">
      <c r="A2083" s="201" t="str">
        <f ca="1">IFERROR(__xludf.DUMMYFUNCTION("""COMPUTED_VALUE"""),"T")</f>
        <v>T</v>
      </c>
      <c r="B2083" s="209" t="str">
        <f ca="1">IFERROR(__xludf.DUMMYFUNCTION("""COMPUTED_VALUE"""),"Zoe Misitzis")</f>
        <v>Zoe Misitzis</v>
      </c>
      <c r="C2083" s="201">
        <f ca="1">IFERROR(__xludf.DUMMYFUNCTION("""COMPUTED_VALUE"""),9)</f>
        <v>9</v>
      </c>
      <c r="D2083" s="201" t="str">
        <f ca="1">IFERROR(__xludf.DUMMYFUNCTION("""COMPUTED_VALUE"""),"G")</f>
        <v>G</v>
      </c>
      <c r="E2083" s="202" t="str">
        <f ca="1">IFERROR(__xludf.DUMMYFUNCTION("""COMPUTED_VALUE"""),"F")</f>
        <v>F</v>
      </c>
      <c r="F2083" s="210" t="str">
        <f ca="1">IFERROR(__xludf.DUMMYFUNCTION("""COMPUTED_VALUE"""),"J")</f>
        <v>J</v>
      </c>
      <c r="G2083" s="210">
        <f ca="1">IFERROR(__xludf.DUMMYFUNCTION("""COMPUTED_VALUE"""),4)</f>
        <v>4</v>
      </c>
      <c r="H2083" s="206"/>
      <c r="I2083" s="206"/>
      <c r="J2083" s="206"/>
      <c r="K2083" s="206"/>
      <c r="L2083" s="206" t="str">
        <v/>
      </c>
      <c r="M2083" s="206" t="str">
        <v/>
      </c>
    </row>
    <row r="2084" spans="1:13" ht="14.4">
      <c r="A2084" s="201" t="str">
        <f ca="1">IFERROR(__xludf.DUMMYFUNCTION("""COMPUTED_VALUE"""),"T")</f>
        <v>T</v>
      </c>
      <c r="B2084" s="209" t="str">
        <f ca="1">IFERROR(__xludf.DUMMYFUNCTION("""COMPUTED_VALUE"""),"Austin Conradt")</f>
        <v>Austin Conradt</v>
      </c>
      <c r="C2084" s="201">
        <f ca="1">IFERROR(__xludf.DUMMYFUNCTION("""COMPUTED_VALUE"""),13)</f>
        <v>13</v>
      </c>
      <c r="D2084" s="201" t="str">
        <f ca="1">IFERROR(__xludf.DUMMYFUNCTION("""COMPUTED_VALUE"""),"B")</f>
        <v>B</v>
      </c>
      <c r="E2084" s="202" t="str">
        <f ca="1">IFERROR(__xludf.DUMMYFUNCTION("""COMPUTED_VALUE"""),"I")</f>
        <v>I</v>
      </c>
      <c r="F2084" s="210" t="str">
        <f ca="1">IFERROR(__xludf.DUMMYFUNCTION("""COMPUTED_VALUE"""),"S")</f>
        <v>S</v>
      </c>
      <c r="G2084" s="210">
        <f ca="1">IFERROR(__xludf.DUMMYFUNCTION("""COMPUTED_VALUE"""),4)</f>
        <v>4</v>
      </c>
      <c r="H2084" s="206"/>
      <c r="I2084" s="206"/>
      <c r="J2084" s="206"/>
      <c r="K2084" s="206"/>
      <c r="L2084" s="206" t="str">
        <v/>
      </c>
      <c r="M2084" s="206" t="str">
        <v/>
      </c>
    </row>
    <row r="2085" spans="1:13" ht="14.4">
      <c r="A2085" s="201" t="str">
        <f ca="1">IFERROR(__xludf.DUMMYFUNCTION("""COMPUTED_VALUE"""),"T")</f>
        <v>T</v>
      </c>
      <c r="B2085" s="209" t="str">
        <f ca="1">IFERROR(__xludf.DUMMYFUNCTION("""COMPUTED_VALUE"""),"Jaiden Saran")</f>
        <v>Jaiden Saran</v>
      </c>
      <c r="C2085" s="201">
        <f ca="1">IFERROR(__xludf.DUMMYFUNCTION("""COMPUTED_VALUE"""),13)</f>
        <v>13</v>
      </c>
      <c r="D2085" s="201" t="str">
        <f ca="1">IFERROR(__xludf.DUMMYFUNCTION("""COMPUTED_VALUE"""),"B")</f>
        <v>B</v>
      </c>
      <c r="E2085" s="202" t="str">
        <f ca="1">IFERROR(__xludf.DUMMYFUNCTION("""COMPUTED_VALUE"""),"I")</f>
        <v>I</v>
      </c>
      <c r="F2085" s="210" t="str">
        <f ca="1">IFERROR(__xludf.DUMMYFUNCTION("""COMPUTED_VALUE"""),"S")</f>
        <v>S</v>
      </c>
      <c r="G2085" s="210">
        <f ca="1">IFERROR(__xludf.DUMMYFUNCTION("""COMPUTED_VALUE"""),4)</f>
        <v>4</v>
      </c>
      <c r="H2085" s="206"/>
      <c r="I2085" s="206">
        <v>127.75</v>
      </c>
      <c r="J2085" s="206"/>
      <c r="K2085" s="206" t="s">
        <v>121</v>
      </c>
      <c r="L2085" s="206" t="str">
        <v xml:space="preserve"> 127.75</v>
      </c>
      <c r="M2085" s="206" t="str">
        <v/>
      </c>
    </row>
    <row r="2086" spans="1:13" ht="14.4">
      <c r="A2086" s="201" t="str">
        <f ca="1">IFERROR(__xludf.DUMMYFUNCTION("""COMPUTED_VALUE"""),"T")</f>
        <v>T</v>
      </c>
      <c r="B2086" s="209" t="str">
        <f ca="1">IFERROR(__xludf.DUMMYFUNCTION("""COMPUTED_VALUE"""),"Justin Upp")</f>
        <v>Justin Upp</v>
      </c>
      <c r="C2086" s="201">
        <f ca="1">IFERROR(__xludf.DUMMYFUNCTION("""COMPUTED_VALUE"""),13)</f>
        <v>13</v>
      </c>
      <c r="D2086" s="201" t="str">
        <f ca="1">IFERROR(__xludf.DUMMYFUNCTION("""COMPUTED_VALUE"""),"B")</f>
        <v>B</v>
      </c>
      <c r="E2086" s="202" t="str">
        <f ca="1">IFERROR(__xludf.DUMMYFUNCTION("""COMPUTED_VALUE"""),"I")</f>
        <v>I</v>
      </c>
      <c r="F2086" s="210" t="str">
        <f ca="1">IFERROR(__xludf.DUMMYFUNCTION("""COMPUTED_VALUE"""),"S")</f>
        <v>S</v>
      </c>
      <c r="G2086" s="210">
        <f ca="1">IFERROR(__xludf.DUMMYFUNCTION("""COMPUTED_VALUE"""),4)</f>
        <v>4</v>
      </c>
      <c r="H2086" s="206"/>
      <c r="I2086" s="206">
        <v>143.85</v>
      </c>
      <c r="J2086" s="206"/>
      <c r="K2086" s="206" t="s">
        <v>121</v>
      </c>
      <c r="L2086" s="206" t="str">
        <v xml:space="preserve"> 143.85</v>
      </c>
      <c r="M2086" s="206" t="str">
        <v/>
      </c>
    </row>
    <row r="2087" spans="1:13" ht="14.4">
      <c r="A2087" s="201" t="str">
        <f ca="1">IFERROR(__xludf.DUMMYFUNCTION("""COMPUTED_VALUE"""),"T")</f>
        <v>T</v>
      </c>
      <c r="B2087" s="209" t="str">
        <f ca="1">IFERROR(__xludf.DUMMYFUNCTION("""COMPUTED_VALUE"""),"Mateo Carranza")</f>
        <v>Mateo Carranza</v>
      </c>
      <c r="C2087" s="201">
        <f ca="1">IFERROR(__xludf.DUMMYFUNCTION("""COMPUTED_VALUE"""),13)</f>
        <v>13</v>
      </c>
      <c r="D2087" s="201" t="str">
        <f ca="1">IFERROR(__xludf.DUMMYFUNCTION("""COMPUTED_VALUE"""),"B")</f>
        <v>B</v>
      </c>
      <c r="E2087" s="202" t="str">
        <f ca="1">IFERROR(__xludf.DUMMYFUNCTION("""COMPUTED_VALUE"""),"I")</f>
        <v>I</v>
      </c>
      <c r="F2087" s="210" t="str">
        <f ca="1">IFERROR(__xludf.DUMMYFUNCTION("""COMPUTED_VALUE"""),"S")</f>
        <v>S</v>
      </c>
      <c r="G2087" s="210">
        <f ca="1">IFERROR(__xludf.DUMMYFUNCTION("""COMPUTED_VALUE"""),4)</f>
        <v>4</v>
      </c>
      <c r="H2087" s="206"/>
      <c r="I2087" s="206"/>
      <c r="J2087" s="206"/>
      <c r="K2087" s="206"/>
      <c r="L2087" s="206" t="str">
        <v/>
      </c>
      <c r="M2087" s="206" t="str">
        <v/>
      </c>
    </row>
    <row r="2088" spans="1:13" ht="14.4">
      <c r="A2088" s="201" t="str">
        <f ca="1">IFERROR(__xludf.DUMMYFUNCTION("""COMPUTED_VALUE"""),"T")</f>
        <v>T</v>
      </c>
      <c r="B2088" s="209" t="str">
        <f ca="1">IFERROR(__xludf.DUMMYFUNCTION("""COMPUTED_VALUE"""),"Ryan Clopper")</f>
        <v>Ryan Clopper</v>
      </c>
      <c r="C2088" s="201">
        <f ca="1">IFERROR(__xludf.DUMMYFUNCTION("""COMPUTED_VALUE"""),13)</f>
        <v>13</v>
      </c>
      <c r="D2088" s="201" t="str">
        <f ca="1">IFERROR(__xludf.DUMMYFUNCTION("""COMPUTED_VALUE"""),"B")</f>
        <v>B</v>
      </c>
      <c r="E2088" s="202" t="str">
        <f ca="1">IFERROR(__xludf.DUMMYFUNCTION("""COMPUTED_VALUE"""),"I")</f>
        <v>I</v>
      </c>
      <c r="F2088" s="210" t="str">
        <f ca="1">IFERROR(__xludf.DUMMYFUNCTION("""COMPUTED_VALUE"""),"S")</f>
        <v>S</v>
      </c>
      <c r="G2088" s="210">
        <f ca="1">IFERROR(__xludf.DUMMYFUNCTION("""COMPUTED_VALUE"""),4)</f>
        <v>4</v>
      </c>
      <c r="H2088" s="206"/>
      <c r="I2088" s="206"/>
      <c r="J2088" s="206"/>
      <c r="K2088" s="206"/>
      <c r="L2088" s="206" t="str">
        <v/>
      </c>
      <c r="M2088" s="206" t="str">
        <v/>
      </c>
    </row>
    <row r="2089" spans="1:13" ht="14.4">
      <c r="A2089" s="201" t="str">
        <f ca="1">IFERROR(__xludf.DUMMYFUNCTION("""COMPUTED_VALUE"""),"T")</f>
        <v>T</v>
      </c>
      <c r="B2089" s="209" t="str">
        <f ca="1">IFERROR(__xludf.DUMMYFUNCTION("""COMPUTED_VALUE"""),"Callie Kimmett")</f>
        <v>Callie Kimmett</v>
      </c>
      <c r="C2089" s="201">
        <f ca="1">IFERROR(__xludf.DUMMYFUNCTION("""COMPUTED_VALUE"""),13)</f>
        <v>13</v>
      </c>
      <c r="D2089" s="201" t="str">
        <f ca="1">IFERROR(__xludf.DUMMYFUNCTION("""COMPUTED_VALUE"""),"G")</f>
        <v>G</v>
      </c>
      <c r="E2089" s="202" t="str">
        <f ca="1">IFERROR(__xludf.DUMMYFUNCTION("""COMPUTED_VALUE"""),"I")</f>
        <v>I</v>
      </c>
      <c r="F2089" s="210" t="str">
        <f ca="1">IFERROR(__xludf.DUMMYFUNCTION("""COMPUTED_VALUE"""),"S")</f>
        <v>S</v>
      </c>
      <c r="G2089" s="210">
        <f ca="1">IFERROR(__xludf.DUMMYFUNCTION("""COMPUTED_VALUE"""),4)</f>
        <v>4</v>
      </c>
      <c r="H2089" s="206"/>
      <c r="I2089" s="206"/>
      <c r="J2089" s="206"/>
      <c r="K2089" s="206"/>
      <c r="L2089" s="206" t="str">
        <v/>
      </c>
      <c r="M2089" s="206" t="str">
        <v/>
      </c>
    </row>
    <row r="2090" spans="1:13" ht="14.4">
      <c r="A2090" s="201" t="str">
        <f ca="1">IFERROR(__xludf.DUMMYFUNCTION("""COMPUTED_VALUE"""),"T")</f>
        <v>T</v>
      </c>
      <c r="B2090" s="209" t="str">
        <f ca="1">IFERROR(__xludf.DUMMYFUNCTION("""COMPUTED_VALUE"""),"Chloe Harrington")</f>
        <v>Chloe Harrington</v>
      </c>
      <c r="C2090" s="201">
        <f ca="1">IFERROR(__xludf.DUMMYFUNCTION("""COMPUTED_VALUE"""),13)</f>
        <v>13</v>
      </c>
      <c r="D2090" s="201" t="str">
        <f ca="1">IFERROR(__xludf.DUMMYFUNCTION("""COMPUTED_VALUE"""),"G")</f>
        <v>G</v>
      </c>
      <c r="E2090" s="202" t="str">
        <f ca="1">IFERROR(__xludf.DUMMYFUNCTION("""COMPUTED_VALUE"""),"I")</f>
        <v>I</v>
      </c>
      <c r="F2090" s="210" t="str">
        <f ca="1">IFERROR(__xludf.DUMMYFUNCTION("""COMPUTED_VALUE"""),"S")</f>
        <v>S</v>
      </c>
      <c r="G2090" s="210">
        <f ca="1">IFERROR(__xludf.DUMMYFUNCTION("""COMPUTED_VALUE"""),4)</f>
        <v>4</v>
      </c>
      <c r="H2090" s="206"/>
      <c r="I2090" s="206"/>
      <c r="J2090" s="206"/>
      <c r="K2090" s="206"/>
      <c r="L2090" s="206" t="str">
        <v/>
      </c>
      <c r="M2090" s="206" t="str">
        <v/>
      </c>
    </row>
    <row r="2091" spans="1:13" ht="14.4">
      <c r="A2091" s="201" t="str">
        <f ca="1">IFERROR(__xludf.DUMMYFUNCTION("""COMPUTED_VALUE"""),"T")</f>
        <v>T</v>
      </c>
      <c r="B2091" s="209" t="str">
        <f ca="1">IFERROR(__xludf.DUMMYFUNCTION("""COMPUTED_VALUE"""),"Grace D'Alessandris")</f>
        <v>Grace D'Alessandris</v>
      </c>
      <c r="C2091" s="201">
        <f ca="1">IFERROR(__xludf.DUMMYFUNCTION("""COMPUTED_VALUE"""),13)</f>
        <v>13</v>
      </c>
      <c r="D2091" s="201" t="str">
        <f ca="1">IFERROR(__xludf.DUMMYFUNCTION("""COMPUTED_VALUE"""),"G")</f>
        <v>G</v>
      </c>
      <c r="E2091" s="202" t="str">
        <f ca="1">IFERROR(__xludf.DUMMYFUNCTION("""COMPUTED_VALUE"""),"I")</f>
        <v>I</v>
      </c>
      <c r="F2091" s="210" t="str">
        <f ca="1">IFERROR(__xludf.DUMMYFUNCTION("""COMPUTED_VALUE"""),"S")</f>
        <v>S</v>
      </c>
      <c r="G2091" s="210">
        <f ca="1">IFERROR(__xludf.DUMMYFUNCTION("""COMPUTED_VALUE"""),4)</f>
        <v>4</v>
      </c>
      <c r="H2091" s="206"/>
      <c r="I2091" s="206"/>
      <c r="J2091" s="206"/>
      <c r="K2091" s="206"/>
      <c r="L2091" s="206" t="str">
        <v/>
      </c>
      <c r="M2091" s="206" t="str">
        <v/>
      </c>
    </row>
    <row r="2092" spans="1:13" ht="14.4">
      <c r="A2092" s="201" t="str">
        <f ca="1">IFERROR(__xludf.DUMMYFUNCTION("""COMPUTED_VALUE"""),"T")</f>
        <v>T</v>
      </c>
      <c r="B2092" s="209" t="str">
        <f ca="1">IFERROR(__xludf.DUMMYFUNCTION("""COMPUTED_VALUE"""),"Libby Hall")</f>
        <v>Libby Hall</v>
      </c>
      <c r="C2092" s="201">
        <f ca="1">IFERROR(__xludf.DUMMYFUNCTION("""COMPUTED_VALUE"""),14)</f>
        <v>14</v>
      </c>
      <c r="D2092" s="201" t="str">
        <f ca="1">IFERROR(__xludf.DUMMYFUNCTION("""COMPUTED_VALUE"""),"G")</f>
        <v>G</v>
      </c>
      <c r="E2092" s="202" t="str">
        <f ca="1">IFERROR(__xludf.DUMMYFUNCTION("""COMPUTED_VALUE"""),"I")</f>
        <v>I</v>
      </c>
      <c r="F2092" s="210" t="str">
        <f ca="1">IFERROR(__xludf.DUMMYFUNCTION("""COMPUTED_VALUE"""),"S")</f>
        <v>S</v>
      </c>
      <c r="G2092" s="210">
        <f ca="1">IFERROR(__xludf.DUMMYFUNCTION("""COMPUTED_VALUE"""),4)</f>
        <v>4</v>
      </c>
      <c r="H2092" s="206">
        <v>144.4</v>
      </c>
      <c r="I2092" s="206"/>
      <c r="J2092" s="206" t="s">
        <v>121</v>
      </c>
      <c r="K2092" s="206"/>
      <c r="L2092" s="206" t="str">
        <v xml:space="preserve"> 144.4</v>
      </c>
      <c r="M2092" s="206" t="str">
        <v/>
      </c>
    </row>
    <row r="2093" spans="1:13" ht="14.4">
      <c r="A2093" s="201" t="str">
        <f ca="1">IFERROR(__xludf.DUMMYFUNCTION("""COMPUTED_VALUE"""),"T")</f>
        <v>T</v>
      </c>
      <c r="B2093" s="209" t="str">
        <f ca="1">IFERROR(__xludf.DUMMYFUNCTION("""COMPUTED_VALUE"""),"Maura Leonard")</f>
        <v>Maura Leonard</v>
      </c>
      <c r="C2093" s="201">
        <f ca="1">IFERROR(__xludf.DUMMYFUNCTION("""COMPUTED_VALUE"""),13)</f>
        <v>13</v>
      </c>
      <c r="D2093" s="201" t="str">
        <f ca="1">IFERROR(__xludf.DUMMYFUNCTION("""COMPUTED_VALUE"""),"G")</f>
        <v>G</v>
      </c>
      <c r="E2093" s="202" t="str">
        <f ca="1">IFERROR(__xludf.DUMMYFUNCTION("""COMPUTED_VALUE"""),"I")</f>
        <v>I</v>
      </c>
      <c r="F2093" s="210" t="str">
        <f ca="1">IFERROR(__xludf.DUMMYFUNCTION("""COMPUTED_VALUE"""),"S")</f>
        <v>S</v>
      </c>
      <c r="G2093" s="210">
        <f ca="1">IFERROR(__xludf.DUMMYFUNCTION("""COMPUTED_VALUE"""),4)</f>
        <v>4</v>
      </c>
      <c r="H2093" s="206"/>
      <c r="I2093" s="206"/>
      <c r="J2093" s="206"/>
      <c r="K2093" s="206"/>
      <c r="L2093" s="206" t="str">
        <v/>
      </c>
      <c r="M2093" s="206" t="str">
        <v/>
      </c>
    </row>
    <row r="2094" spans="1:13" ht="14.4">
      <c r="A2094" s="201" t="str">
        <f ca="1">IFERROR(__xludf.DUMMYFUNCTION("""COMPUTED_VALUE"""),"T")</f>
        <v>T</v>
      </c>
      <c r="B2094" s="209" t="str">
        <f ca="1">IFERROR(__xludf.DUMMYFUNCTION("""COMPUTED_VALUE"""),"Sandi Schneider")</f>
        <v>Sandi Schneider</v>
      </c>
      <c r="C2094" s="201">
        <f ca="1">IFERROR(__xludf.DUMMYFUNCTION("""COMPUTED_VALUE"""),13)</f>
        <v>13</v>
      </c>
      <c r="D2094" s="201" t="str">
        <f ca="1">IFERROR(__xludf.DUMMYFUNCTION("""COMPUTED_VALUE"""),"G")</f>
        <v>G</v>
      </c>
      <c r="E2094" s="202" t="str">
        <f ca="1">IFERROR(__xludf.DUMMYFUNCTION("""COMPUTED_VALUE"""),"I")</f>
        <v>I</v>
      </c>
      <c r="F2094" s="210" t="str">
        <f ca="1">IFERROR(__xludf.DUMMYFUNCTION("""COMPUTED_VALUE"""),"S")</f>
        <v>S</v>
      </c>
      <c r="G2094" s="210">
        <f ca="1">IFERROR(__xludf.DUMMYFUNCTION("""COMPUTED_VALUE"""),4)</f>
        <v>4</v>
      </c>
      <c r="H2094" s="206"/>
      <c r="I2094" s="206"/>
      <c r="J2094" s="206"/>
      <c r="K2094" s="206"/>
      <c r="L2094" s="206" t="str">
        <v/>
      </c>
      <c r="M2094" s="206" t="str">
        <v/>
      </c>
    </row>
    <row r="2095" spans="1:13" ht="14.4">
      <c r="A2095" s="201" t="str">
        <f ca="1">IFERROR(__xludf.DUMMYFUNCTION("""COMPUTED_VALUE"""),"T")</f>
        <v>T</v>
      </c>
      <c r="B2095" s="209" t="str">
        <f ca="1">IFERROR(__xludf.DUMMYFUNCTION("""COMPUTED_VALUE"""),"Alex Paz")</f>
        <v>Alex Paz</v>
      </c>
      <c r="C2095" s="201">
        <f ca="1">IFERROR(__xludf.DUMMYFUNCTION("""COMPUTED_VALUE"""),11)</f>
        <v>11</v>
      </c>
      <c r="D2095" s="201" t="str">
        <f ca="1">IFERROR(__xludf.DUMMYFUNCTION("""COMPUTED_VALUE"""),"B")</f>
        <v>B</v>
      </c>
      <c r="E2095" s="202" t="str">
        <f ca="1">IFERROR(__xludf.DUMMYFUNCTION("""COMPUTED_VALUE"""),"J")</f>
        <v>J</v>
      </c>
      <c r="F2095" s="210" t="str">
        <f ca="1">IFERROR(__xludf.DUMMYFUNCTION("""COMPUTED_VALUE"""),"I")</f>
        <v>I</v>
      </c>
      <c r="G2095" s="210">
        <f ca="1">IFERROR(__xludf.DUMMYFUNCTION("""COMPUTED_VALUE"""),4)</f>
        <v>4</v>
      </c>
      <c r="H2095" s="206"/>
      <c r="I2095" s="206"/>
      <c r="J2095" s="206"/>
      <c r="K2095" s="206"/>
      <c r="L2095" s="206" t="str">
        <v/>
      </c>
      <c r="M2095" s="206" t="str">
        <v/>
      </c>
    </row>
    <row r="2096" spans="1:13" ht="14.4">
      <c r="A2096" s="201" t="str">
        <f ca="1">IFERROR(__xludf.DUMMYFUNCTION("""COMPUTED_VALUE"""),"T")</f>
        <v>T</v>
      </c>
      <c r="B2096" s="209" t="str">
        <f ca="1">IFERROR(__xludf.DUMMYFUNCTION("""COMPUTED_VALUE"""),"Austen Kimmett")</f>
        <v>Austen Kimmett</v>
      </c>
      <c r="C2096" s="201">
        <f ca="1">IFERROR(__xludf.DUMMYFUNCTION("""COMPUTED_VALUE"""),12)</f>
        <v>12</v>
      </c>
      <c r="D2096" s="201" t="str">
        <f ca="1">IFERROR(__xludf.DUMMYFUNCTION("""COMPUTED_VALUE"""),"B")</f>
        <v>B</v>
      </c>
      <c r="E2096" s="202" t="str">
        <f ca="1">IFERROR(__xludf.DUMMYFUNCTION("""COMPUTED_VALUE"""),"J")</f>
        <v>J</v>
      </c>
      <c r="F2096" s="210" t="str">
        <f ca="1">IFERROR(__xludf.DUMMYFUNCTION("""COMPUTED_VALUE"""),"I")</f>
        <v>I</v>
      </c>
      <c r="G2096" s="210">
        <f ca="1">IFERROR(__xludf.DUMMYFUNCTION("""COMPUTED_VALUE"""),4)</f>
        <v>4</v>
      </c>
      <c r="H2096" s="206"/>
      <c r="I2096" s="206"/>
      <c r="J2096" s="206"/>
      <c r="K2096" s="206"/>
      <c r="L2096" s="206" t="str">
        <v/>
      </c>
      <c r="M2096" s="206" t="str">
        <v/>
      </c>
    </row>
    <row r="2097" spans="1:13" ht="14.4">
      <c r="A2097" s="201" t="str">
        <f ca="1">IFERROR(__xludf.DUMMYFUNCTION("""COMPUTED_VALUE"""),"T")</f>
        <v>T</v>
      </c>
      <c r="B2097" s="209" t="str">
        <f ca="1">IFERROR(__xludf.DUMMYFUNCTION("""COMPUTED_VALUE"""),"Bruce McIntyre")</f>
        <v>Bruce McIntyre</v>
      </c>
      <c r="C2097" s="201">
        <f ca="1">IFERROR(__xludf.DUMMYFUNCTION("""COMPUTED_VALUE"""),11)</f>
        <v>11</v>
      </c>
      <c r="D2097" s="201" t="str">
        <f ca="1">IFERROR(__xludf.DUMMYFUNCTION("""COMPUTED_VALUE"""),"B")</f>
        <v>B</v>
      </c>
      <c r="E2097" s="202" t="str">
        <f ca="1">IFERROR(__xludf.DUMMYFUNCTION("""COMPUTED_VALUE"""),"J")</f>
        <v>J</v>
      </c>
      <c r="F2097" s="210" t="str">
        <f ca="1">IFERROR(__xludf.DUMMYFUNCTION("""COMPUTED_VALUE"""),"I")</f>
        <v>I</v>
      </c>
      <c r="G2097" s="210">
        <f ca="1">IFERROR(__xludf.DUMMYFUNCTION("""COMPUTED_VALUE"""),4)</f>
        <v>4</v>
      </c>
      <c r="H2097" s="206"/>
      <c r="I2097" s="206"/>
      <c r="J2097" s="206"/>
      <c r="K2097" s="206"/>
      <c r="L2097" s="206" t="str">
        <v/>
      </c>
      <c r="M2097" s="206" t="str">
        <v/>
      </c>
    </row>
    <row r="2098" spans="1:13" ht="14.4">
      <c r="A2098" s="201" t="str">
        <f ca="1">IFERROR(__xludf.DUMMYFUNCTION("""COMPUTED_VALUE"""),"T")</f>
        <v>T</v>
      </c>
      <c r="B2098" s="209" t="str">
        <f ca="1">IFERROR(__xludf.DUMMYFUNCTION("""COMPUTED_VALUE"""),"Harrison Schneider")</f>
        <v>Harrison Schneider</v>
      </c>
      <c r="C2098" s="201">
        <f ca="1">IFERROR(__xludf.DUMMYFUNCTION("""COMPUTED_VALUE"""),11)</f>
        <v>11</v>
      </c>
      <c r="D2098" s="201" t="str">
        <f ca="1">IFERROR(__xludf.DUMMYFUNCTION("""COMPUTED_VALUE"""),"B")</f>
        <v>B</v>
      </c>
      <c r="E2098" s="202" t="str">
        <f ca="1">IFERROR(__xludf.DUMMYFUNCTION("""COMPUTED_VALUE"""),"J")</f>
        <v>J</v>
      </c>
      <c r="F2098" s="210" t="str">
        <f ca="1">IFERROR(__xludf.DUMMYFUNCTION("""COMPUTED_VALUE"""),"I")</f>
        <v>I</v>
      </c>
      <c r="G2098" s="210">
        <f ca="1">IFERROR(__xludf.DUMMYFUNCTION("""COMPUTED_VALUE"""),4)</f>
        <v>4</v>
      </c>
      <c r="H2098" s="206"/>
      <c r="I2098" s="206"/>
      <c r="J2098" s="206"/>
      <c r="K2098" s="206"/>
      <c r="L2098" s="206" t="str">
        <v/>
      </c>
      <c r="M2098" s="206" t="str">
        <v/>
      </c>
    </row>
    <row r="2099" spans="1:13" ht="14.4">
      <c r="A2099" s="201" t="str">
        <f ca="1">IFERROR(__xludf.DUMMYFUNCTION("""COMPUTED_VALUE"""),"T")</f>
        <v>T</v>
      </c>
      <c r="B2099" s="209" t="str">
        <f ca="1">IFERROR(__xludf.DUMMYFUNCTION("""COMPUTED_VALUE"""),"Henry Sanford")</f>
        <v>Henry Sanford</v>
      </c>
      <c r="C2099" s="201">
        <f ca="1">IFERROR(__xludf.DUMMYFUNCTION("""COMPUTED_VALUE"""),11)</f>
        <v>11</v>
      </c>
      <c r="D2099" s="201" t="str">
        <f ca="1">IFERROR(__xludf.DUMMYFUNCTION("""COMPUTED_VALUE"""),"B")</f>
        <v>B</v>
      </c>
      <c r="E2099" s="202" t="str">
        <f ca="1">IFERROR(__xludf.DUMMYFUNCTION("""COMPUTED_VALUE"""),"J")</f>
        <v>J</v>
      </c>
      <c r="F2099" s="210" t="str">
        <f ca="1">IFERROR(__xludf.DUMMYFUNCTION("""COMPUTED_VALUE"""),"I")</f>
        <v>I</v>
      </c>
      <c r="G2099" s="210">
        <f ca="1">IFERROR(__xludf.DUMMYFUNCTION("""COMPUTED_VALUE"""),4)</f>
        <v>4</v>
      </c>
      <c r="H2099" s="206"/>
      <c r="I2099" s="206"/>
      <c r="J2099" s="206"/>
      <c r="K2099" s="206"/>
      <c r="L2099" s="206" t="str">
        <v/>
      </c>
      <c r="M2099" s="206" t="str">
        <v/>
      </c>
    </row>
    <row r="2100" spans="1:13" ht="14.4">
      <c r="A2100" s="201" t="str">
        <f ca="1">IFERROR(__xludf.DUMMYFUNCTION("""COMPUTED_VALUE"""),"T")</f>
        <v>T</v>
      </c>
      <c r="B2100" s="209" t="str">
        <f ca="1">IFERROR(__xludf.DUMMYFUNCTION("""COMPUTED_VALUE"""),"Jackson Thomas")</f>
        <v>Jackson Thomas</v>
      </c>
      <c r="C2100" s="201">
        <f ca="1">IFERROR(__xludf.DUMMYFUNCTION("""COMPUTED_VALUE"""),11)</f>
        <v>11</v>
      </c>
      <c r="D2100" s="201" t="str">
        <f ca="1">IFERROR(__xludf.DUMMYFUNCTION("""COMPUTED_VALUE"""),"B")</f>
        <v>B</v>
      </c>
      <c r="E2100" s="202" t="str">
        <f ca="1">IFERROR(__xludf.DUMMYFUNCTION("""COMPUTED_VALUE"""),"J")</f>
        <v>J</v>
      </c>
      <c r="F2100" s="210" t="str">
        <f ca="1">IFERROR(__xludf.DUMMYFUNCTION("""COMPUTED_VALUE"""),"I")</f>
        <v>I</v>
      </c>
      <c r="G2100" s="210">
        <f ca="1">IFERROR(__xludf.DUMMYFUNCTION("""COMPUTED_VALUE"""),4)</f>
        <v>4</v>
      </c>
      <c r="H2100" s="206"/>
      <c r="I2100" s="206">
        <v>127.15</v>
      </c>
      <c r="J2100" s="206"/>
      <c r="K2100" s="206" t="s">
        <v>121</v>
      </c>
      <c r="L2100" s="206" t="str">
        <v xml:space="preserve"> 127.15</v>
      </c>
      <c r="M2100" s="206" t="str">
        <v/>
      </c>
    </row>
    <row r="2101" spans="1:13" ht="14.4">
      <c r="A2101" s="201" t="str">
        <f ca="1">IFERROR(__xludf.DUMMYFUNCTION("""COMPUTED_VALUE"""),"T")</f>
        <v>T</v>
      </c>
      <c r="B2101" s="209" t="str">
        <f ca="1">IFERROR(__xludf.DUMMYFUNCTION("""COMPUTED_VALUE"""),"Jacob Hall")</f>
        <v>Jacob Hall</v>
      </c>
      <c r="C2101" s="201">
        <f ca="1">IFERROR(__xludf.DUMMYFUNCTION("""COMPUTED_VALUE"""),11)</f>
        <v>11</v>
      </c>
      <c r="D2101" s="201" t="str">
        <f ca="1">IFERROR(__xludf.DUMMYFUNCTION("""COMPUTED_VALUE"""),"B")</f>
        <v>B</v>
      </c>
      <c r="E2101" s="202" t="str">
        <f ca="1">IFERROR(__xludf.DUMMYFUNCTION("""COMPUTED_VALUE"""),"J")</f>
        <v>J</v>
      </c>
      <c r="F2101" s="210" t="str">
        <f ca="1">IFERROR(__xludf.DUMMYFUNCTION("""COMPUTED_VALUE"""),"I")</f>
        <v>I</v>
      </c>
      <c r="G2101" s="210">
        <f ca="1">IFERROR(__xludf.DUMMYFUNCTION("""COMPUTED_VALUE"""),4)</f>
        <v>4</v>
      </c>
      <c r="H2101" s="206"/>
      <c r="I2101" s="206"/>
      <c r="J2101" s="206"/>
      <c r="K2101" s="206"/>
      <c r="L2101" s="206" t="str">
        <v/>
      </c>
      <c r="M2101" s="206" t="str">
        <v/>
      </c>
    </row>
    <row r="2102" spans="1:13" ht="14.4">
      <c r="A2102" s="201" t="str">
        <f ca="1">IFERROR(__xludf.DUMMYFUNCTION("""COMPUTED_VALUE"""),"T")</f>
        <v>T</v>
      </c>
      <c r="B2102" s="209" t="str">
        <f ca="1">IFERROR(__xludf.DUMMYFUNCTION("""COMPUTED_VALUE"""),"Jacob Regulski")</f>
        <v>Jacob Regulski</v>
      </c>
      <c r="C2102" s="201">
        <f ca="1">IFERROR(__xludf.DUMMYFUNCTION("""COMPUTED_VALUE"""),12)</f>
        <v>12</v>
      </c>
      <c r="D2102" s="201" t="str">
        <f ca="1">IFERROR(__xludf.DUMMYFUNCTION("""COMPUTED_VALUE"""),"B")</f>
        <v>B</v>
      </c>
      <c r="E2102" s="202" t="str">
        <f ca="1">IFERROR(__xludf.DUMMYFUNCTION("""COMPUTED_VALUE"""),"J")</f>
        <v>J</v>
      </c>
      <c r="F2102" s="210" t="str">
        <f ca="1">IFERROR(__xludf.DUMMYFUNCTION("""COMPUTED_VALUE"""),"I")</f>
        <v>I</v>
      </c>
      <c r="G2102" s="210">
        <f ca="1">IFERROR(__xludf.DUMMYFUNCTION("""COMPUTED_VALUE"""),4)</f>
        <v>4</v>
      </c>
      <c r="H2102" s="206"/>
      <c r="I2102" s="206"/>
      <c r="J2102" s="206"/>
      <c r="K2102" s="206"/>
      <c r="L2102" s="206" t="str">
        <v/>
      </c>
      <c r="M2102" s="206" t="str">
        <v/>
      </c>
    </row>
    <row r="2103" spans="1:13" ht="14.4">
      <c r="A2103" s="201" t="str">
        <f ca="1">IFERROR(__xludf.DUMMYFUNCTION("""COMPUTED_VALUE"""),"T")</f>
        <v>T</v>
      </c>
      <c r="B2103" s="209" t="str">
        <f ca="1">IFERROR(__xludf.DUMMYFUNCTION("""COMPUTED_VALUE"""),"Jakob Workman")</f>
        <v>Jakob Workman</v>
      </c>
      <c r="C2103" s="201">
        <f ca="1">IFERROR(__xludf.DUMMYFUNCTION("""COMPUTED_VALUE"""),11)</f>
        <v>11</v>
      </c>
      <c r="D2103" s="201" t="str">
        <f ca="1">IFERROR(__xludf.DUMMYFUNCTION("""COMPUTED_VALUE"""),"B")</f>
        <v>B</v>
      </c>
      <c r="E2103" s="202" t="str">
        <f ca="1">IFERROR(__xludf.DUMMYFUNCTION("""COMPUTED_VALUE"""),"J")</f>
        <v>J</v>
      </c>
      <c r="F2103" s="210" t="str">
        <f ca="1">IFERROR(__xludf.DUMMYFUNCTION("""COMPUTED_VALUE"""),"I")</f>
        <v>I</v>
      </c>
      <c r="G2103" s="210">
        <f ca="1">IFERROR(__xludf.DUMMYFUNCTION("""COMPUTED_VALUE"""),4)</f>
        <v>4</v>
      </c>
      <c r="H2103" s="206"/>
      <c r="I2103" s="206">
        <v>69.599999999999994</v>
      </c>
      <c r="J2103" s="206"/>
      <c r="K2103" s="206" t="s">
        <v>121</v>
      </c>
      <c r="L2103" s="206" t="str">
        <v xml:space="preserve"> 69.6</v>
      </c>
      <c r="M2103" s="206" t="str">
        <v/>
      </c>
    </row>
    <row r="2104" spans="1:13" ht="14.4">
      <c r="A2104" s="201" t="str">
        <f ca="1">IFERROR(__xludf.DUMMYFUNCTION("""COMPUTED_VALUE"""),"T")</f>
        <v>T</v>
      </c>
      <c r="B2104" s="209" t="str">
        <f ca="1">IFERROR(__xludf.DUMMYFUNCTION("""COMPUTED_VALUE"""),"Lincoln Tillemann")</f>
        <v>Lincoln Tillemann</v>
      </c>
      <c r="C2104" s="201">
        <f ca="1">IFERROR(__xludf.DUMMYFUNCTION("""COMPUTED_VALUE"""),11)</f>
        <v>11</v>
      </c>
      <c r="D2104" s="201" t="str">
        <f ca="1">IFERROR(__xludf.DUMMYFUNCTION("""COMPUTED_VALUE"""),"B")</f>
        <v>B</v>
      </c>
      <c r="E2104" s="202" t="str">
        <f ca="1">IFERROR(__xludf.DUMMYFUNCTION("""COMPUTED_VALUE"""),"J")</f>
        <v>J</v>
      </c>
      <c r="F2104" s="210" t="str">
        <f ca="1">IFERROR(__xludf.DUMMYFUNCTION("""COMPUTED_VALUE"""),"I")</f>
        <v>I</v>
      </c>
      <c r="G2104" s="210">
        <f ca="1">IFERROR(__xludf.DUMMYFUNCTION("""COMPUTED_VALUE"""),4)</f>
        <v>4</v>
      </c>
      <c r="H2104" s="206"/>
      <c r="I2104" s="206"/>
      <c r="J2104" s="206"/>
      <c r="K2104" s="206"/>
      <c r="L2104" s="206" t="str">
        <v/>
      </c>
      <c r="M2104" s="206" t="str">
        <v/>
      </c>
    </row>
    <row r="2105" spans="1:13" ht="14.4">
      <c r="A2105" s="201" t="str">
        <f ca="1">IFERROR(__xludf.DUMMYFUNCTION("""COMPUTED_VALUE"""),"T")</f>
        <v>T</v>
      </c>
      <c r="B2105" s="209" t="str">
        <f ca="1">IFERROR(__xludf.DUMMYFUNCTION("""COMPUTED_VALUE"""),"Teddy Angelides")</f>
        <v>Teddy Angelides</v>
      </c>
      <c r="C2105" s="201">
        <f ca="1">IFERROR(__xludf.DUMMYFUNCTION("""COMPUTED_VALUE"""),12)</f>
        <v>12</v>
      </c>
      <c r="D2105" s="201" t="str">
        <f ca="1">IFERROR(__xludf.DUMMYFUNCTION("""COMPUTED_VALUE"""),"B")</f>
        <v>B</v>
      </c>
      <c r="E2105" s="202" t="str">
        <f ca="1">IFERROR(__xludf.DUMMYFUNCTION("""COMPUTED_VALUE"""),"J")</f>
        <v>J</v>
      </c>
      <c r="F2105" s="210" t="str">
        <f ca="1">IFERROR(__xludf.DUMMYFUNCTION("""COMPUTED_VALUE"""),"I")</f>
        <v>I</v>
      </c>
      <c r="G2105" s="210">
        <f ca="1">IFERROR(__xludf.DUMMYFUNCTION("""COMPUTED_VALUE"""),4)</f>
        <v>4</v>
      </c>
      <c r="H2105" s="206"/>
      <c r="I2105" s="206">
        <v>84.7</v>
      </c>
      <c r="J2105" s="206"/>
      <c r="K2105" s="206" t="s">
        <v>121</v>
      </c>
      <c r="L2105" s="206" t="str">
        <v xml:space="preserve"> 84.7</v>
      </c>
      <c r="M2105" s="206" t="str">
        <v/>
      </c>
    </row>
    <row r="2106" spans="1:13" ht="14.4">
      <c r="A2106" s="201" t="str">
        <f ca="1">IFERROR(__xludf.DUMMYFUNCTION("""COMPUTED_VALUE"""),"T")</f>
        <v>T</v>
      </c>
      <c r="B2106" s="209" t="str">
        <f ca="1">IFERROR(__xludf.DUMMYFUNCTION("""COMPUTED_VALUE"""),"Erin McGeehan")</f>
        <v>Erin McGeehan</v>
      </c>
      <c r="C2106" s="201">
        <f ca="1">IFERROR(__xludf.DUMMYFUNCTION("""COMPUTED_VALUE"""),12)</f>
        <v>12</v>
      </c>
      <c r="D2106" s="201" t="str">
        <f ca="1">IFERROR(__xludf.DUMMYFUNCTION("""COMPUTED_VALUE"""),"G")</f>
        <v>G</v>
      </c>
      <c r="E2106" s="202" t="str">
        <f ca="1">IFERROR(__xludf.DUMMYFUNCTION("""COMPUTED_VALUE"""),"J")</f>
        <v>J</v>
      </c>
      <c r="F2106" s="210" t="str">
        <f ca="1">IFERROR(__xludf.DUMMYFUNCTION("""COMPUTED_VALUE"""),"I")</f>
        <v>I</v>
      </c>
      <c r="G2106" s="210">
        <f ca="1">IFERROR(__xludf.DUMMYFUNCTION("""COMPUTED_VALUE"""),4)</f>
        <v>4</v>
      </c>
      <c r="H2106" s="206"/>
      <c r="I2106" s="206"/>
      <c r="J2106" s="206"/>
      <c r="K2106" s="206"/>
      <c r="L2106" s="206" t="str">
        <v/>
      </c>
      <c r="M2106" s="206" t="str">
        <v/>
      </c>
    </row>
    <row r="2107" spans="1:13" ht="14.4">
      <c r="A2107" s="201" t="str">
        <f ca="1">IFERROR(__xludf.DUMMYFUNCTION("""COMPUTED_VALUE"""),"T")</f>
        <v>T</v>
      </c>
      <c r="B2107" s="209" t="str">
        <f ca="1">IFERROR(__xludf.DUMMYFUNCTION("""COMPUTED_VALUE"""),"Jaidyn Buday")</f>
        <v>Jaidyn Buday</v>
      </c>
      <c r="C2107" s="201">
        <f ca="1">IFERROR(__xludf.DUMMYFUNCTION("""COMPUTED_VALUE"""),12)</f>
        <v>12</v>
      </c>
      <c r="D2107" s="201" t="str">
        <f ca="1">IFERROR(__xludf.DUMMYFUNCTION("""COMPUTED_VALUE"""),"G")</f>
        <v>G</v>
      </c>
      <c r="E2107" s="202" t="str">
        <f ca="1">IFERROR(__xludf.DUMMYFUNCTION("""COMPUTED_VALUE"""),"J")</f>
        <v>J</v>
      </c>
      <c r="F2107" s="210" t="str">
        <f ca="1">IFERROR(__xludf.DUMMYFUNCTION("""COMPUTED_VALUE"""),"I")</f>
        <v>I</v>
      </c>
      <c r="G2107" s="210">
        <f ca="1">IFERROR(__xludf.DUMMYFUNCTION("""COMPUTED_VALUE"""),4)</f>
        <v>4</v>
      </c>
      <c r="H2107" s="206"/>
      <c r="I2107" s="206"/>
      <c r="J2107" s="206"/>
      <c r="K2107" s="206"/>
      <c r="L2107" s="206" t="str">
        <v/>
      </c>
      <c r="M2107" s="206" t="str">
        <v/>
      </c>
    </row>
    <row r="2108" spans="1:13" ht="14.4">
      <c r="A2108" s="201" t="str">
        <f ca="1">IFERROR(__xludf.DUMMYFUNCTION("""COMPUTED_VALUE"""),"T")</f>
        <v>T</v>
      </c>
      <c r="B2108" s="209" t="str">
        <f ca="1">IFERROR(__xludf.DUMMYFUNCTION("""COMPUTED_VALUE"""),"Joslyn Workman")</f>
        <v>Joslyn Workman</v>
      </c>
      <c r="C2108" s="201">
        <f ca="1">IFERROR(__xludf.DUMMYFUNCTION("""COMPUTED_VALUE"""),11)</f>
        <v>11</v>
      </c>
      <c r="D2108" s="201" t="str">
        <f ca="1">IFERROR(__xludf.DUMMYFUNCTION("""COMPUTED_VALUE"""),"G")</f>
        <v>G</v>
      </c>
      <c r="E2108" s="202" t="str">
        <f ca="1">IFERROR(__xludf.DUMMYFUNCTION("""COMPUTED_VALUE"""),"J")</f>
        <v>J</v>
      </c>
      <c r="F2108" s="210" t="str">
        <f ca="1">IFERROR(__xludf.DUMMYFUNCTION("""COMPUTED_VALUE"""),"I")</f>
        <v>I</v>
      </c>
      <c r="G2108" s="210">
        <f ca="1">IFERROR(__xludf.DUMMYFUNCTION("""COMPUTED_VALUE"""),4)</f>
        <v>4</v>
      </c>
      <c r="H2108" s="206"/>
      <c r="I2108" s="206"/>
      <c r="J2108" s="206"/>
      <c r="K2108" s="206"/>
      <c r="L2108" s="206" t="str">
        <v/>
      </c>
      <c r="M2108" s="206" t="str">
        <v/>
      </c>
    </row>
    <row r="2109" spans="1:13" ht="14.4">
      <c r="A2109" s="201" t="str">
        <f ca="1">IFERROR(__xludf.DUMMYFUNCTION("""COMPUTED_VALUE"""),"T")</f>
        <v>T</v>
      </c>
      <c r="B2109" s="209" t="str">
        <f ca="1">IFERROR(__xludf.DUMMYFUNCTION("""COMPUTED_VALUE"""),"Kate Walters")</f>
        <v>Kate Walters</v>
      </c>
      <c r="C2109" s="201">
        <f ca="1">IFERROR(__xludf.DUMMYFUNCTION("""COMPUTED_VALUE"""),11)</f>
        <v>11</v>
      </c>
      <c r="D2109" s="201" t="str">
        <f ca="1">IFERROR(__xludf.DUMMYFUNCTION("""COMPUTED_VALUE"""),"G")</f>
        <v>G</v>
      </c>
      <c r="E2109" s="202" t="str">
        <f ca="1">IFERROR(__xludf.DUMMYFUNCTION("""COMPUTED_VALUE"""),"J")</f>
        <v>J</v>
      </c>
      <c r="F2109" s="210" t="str">
        <f ca="1">IFERROR(__xludf.DUMMYFUNCTION("""COMPUTED_VALUE"""),"I")</f>
        <v>I</v>
      </c>
      <c r="G2109" s="210">
        <f ca="1">IFERROR(__xludf.DUMMYFUNCTION("""COMPUTED_VALUE"""),4)</f>
        <v>4</v>
      </c>
      <c r="H2109" s="206"/>
      <c r="I2109" s="206"/>
      <c r="J2109" s="206"/>
      <c r="K2109" s="206"/>
      <c r="L2109" s="206" t="str">
        <v/>
      </c>
      <c r="M2109" s="206" t="str">
        <v/>
      </c>
    </row>
    <row r="2110" spans="1:13" ht="14.4">
      <c r="A2110" s="201" t="str">
        <f ca="1">IFERROR(__xludf.DUMMYFUNCTION("""COMPUTED_VALUE"""),"T")</f>
        <v>T</v>
      </c>
      <c r="B2110" s="209" t="str">
        <f ca="1">IFERROR(__xludf.DUMMYFUNCTION("""COMPUTED_VALUE"""),"Maddie Riccardi")</f>
        <v>Maddie Riccardi</v>
      </c>
      <c r="C2110" s="201">
        <f ca="1">IFERROR(__xludf.DUMMYFUNCTION("""COMPUTED_VALUE"""),12)</f>
        <v>12</v>
      </c>
      <c r="D2110" s="201" t="str">
        <f ca="1">IFERROR(__xludf.DUMMYFUNCTION("""COMPUTED_VALUE"""),"G")</f>
        <v>G</v>
      </c>
      <c r="E2110" s="202" t="str">
        <f ca="1">IFERROR(__xludf.DUMMYFUNCTION("""COMPUTED_VALUE"""),"J")</f>
        <v>J</v>
      </c>
      <c r="F2110" s="210" t="str">
        <f ca="1">IFERROR(__xludf.DUMMYFUNCTION("""COMPUTED_VALUE"""),"I")</f>
        <v>I</v>
      </c>
      <c r="G2110" s="210">
        <f ca="1">IFERROR(__xludf.DUMMYFUNCTION("""COMPUTED_VALUE"""),4)</f>
        <v>4</v>
      </c>
      <c r="H2110" s="206"/>
      <c r="I2110" s="206"/>
      <c r="J2110" s="206"/>
      <c r="K2110" s="206"/>
      <c r="L2110" s="206" t="str">
        <v/>
      </c>
      <c r="M2110" s="206" t="str">
        <v/>
      </c>
    </row>
    <row r="2111" spans="1:13" ht="14.4">
      <c r="A2111" s="201" t="str">
        <f ca="1">IFERROR(__xludf.DUMMYFUNCTION("""COMPUTED_VALUE"""),"T")</f>
        <v>T</v>
      </c>
      <c r="B2111" s="209" t="str">
        <f ca="1">IFERROR(__xludf.DUMMYFUNCTION("""COMPUTED_VALUE"""),"Alex Glassman")</f>
        <v>Alex Glassman</v>
      </c>
      <c r="C2111" s="201">
        <f ca="1">IFERROR(__xludf.DUMMYFUNCTION("""COMPUTED_VALUE"""),19)</f>
        <v>19</v>
      </c>
      <c r="D2111" s="201" t="str">
        <f ca="1">IFERROR(__xludf.DUMMYFUNCTION("""COMPUTED_VALUE"""),"B")</f>
        <v>B</v>
      </c>
      <c r="E2111" s="202" t="str">
        <f ca="1">IFERROR(__xludf.DUMMYFUNCTION("""COMPUTED_VALUE"""),"S")</f>
        <v>S</v>
      </c>
      <c r="F2111" s="210" t="str">
        <f ca="1">IFERROR(__xludf.DUMMYFUNCTION("""COMPUTED_VALUE"""),"S")</f>
        <v>S</v>
      </c>
      <c r="G2111" s="210">
        <f ca="1">IFERROR(__xludf.DUMMYFUNCTION("""COMPUTED_VALUE"""),4)</f>
        <v>4</v>
      </c>
      <c r="H2111" s="206"/>
      <c r="I2111" s="206"/>
      <c r="J2111" s="206"/>
      <c r="K2111" s="206"/>
      <c r="L2111" s="206" t="str">
        <v/>
      </c>
      <c r="M2111" s="206" t="str">
        <v/>
      </c>
    </row>
    <row r="2112" spans="1:13" ht="14.4">
      <c r="A2112" s="201" t="str">
        <f ca="1">IFERROR(__xludf.DUMMYFUNCTION("""COMPUTED_VALUE"""),"T")</f>
        <v>T</v>
      </c>
      <c r="B2112" s="209" t="str">
        <f ca="1">IFERROR(__xludf.DUMMYFUNCTION("""COMPUTED_VALUE"""),"Justin Un")</f>
        <v>Justin Un</v>
      </c>
      <c r="C2112" s="201">
        <f ca="1">IFERROR(__xludf.DUMMYFUNCTION("""COMPUTED_VALUE"""),17)</f>
        <v>17</v>
      </c>
      <c r="D2112" s="201" t="str">
        <f ca="1">IFERROR(__xludf.DUMMYFUNCTION("""COMPUTED_VALUE"""),"B")</f>
        <v>B</v>
      </c>
      <c r="E2112" s="202" t="str">
        <f ca="1">IFERROR(__xludf.DUMMYFUNCTION("""COMPUTED_VALUE"""),"S")</f>
        <v>S</v>
      </c>
      <c r="F2112" s="210" t="str">
        <f ca="1">IFERROR(__xludf.DUMMYFUNCTION("""COMPUTED_VALUE"""),"S")</f>
        <v>S</v>
      </c>
      <c r="G2112" s="210">
        <f ca="1">IFERROR(__xludf.DUMMYFUNCTION("""COMPUTED_VALUE"""),4)</f>
        <v>4</v>
      </c>
      <c r="H2112" s="206"/>
      <c r="I2112" s="206"/>
      <c r="J2112" s="206"/>
      <c r="K2112" s="206"/>
      <c r="L2112" s="206" t="str">
        <v/>
      </c>
      <c r="M2112" s="206" t="str">
        <v/>
      </c>
    </row>
    <row r="2113" spans="1:13" ht="14.4">
      <c r="A2113" s="201" t="str">
        <f ca="1">IFERROR(__xludf.DUMMYFUNCTION("""COMPUTED_VALUE"""),"T")</f>
        <v>T</v>
      </c>
      <c r="B2113" s="209" t="str">
        <f ca="1">IFERROR(__xludf.DUMMYFUNCTION("""COMPUTED_VALUE"""),"Riya Saran")</f>
        <v>Riya Saran</v>
      </c>
      <c r="C2113" s="201">
        <f ca="1">IFERROR(__xludf.DUMMYFUNCTION("""COMPUTED_VALUE"""),18)</f>
        <v>18</v>
      </c>
      <c r="D2113" s="201" t="str">
        <f ca="1">IFERROR(__xludf.DUMMYFUNCTION("""COMPUTED_VALUE"""),"G")</f>
        <v>G</v>
      </c>
      <c r="E2113" s="202" t="str">
        <f ca="1">IFERROR(__xludf.DUMMYFUNCTION("""COMPUTED_VALUE"""),"S")</f>
        <v>S</v>
      </c>
      <c r="F2113" s="210" t="str">
        <f ca="1">IFERROR(__xludf.DUMMYFUNCTION("""COMPUTED_VALUE"""),"S")</f>
        <v>S</v>
      </c>
      <c r="G2113" s="210">
        <f ca="1">IFERROR(__xludf.DUMMYFUNCTION("""COMPUTED_VALUE"""),4)</f>
        <v>4</v>
      </c>
      <c r="H2113" s="206">
        <v>185.15</v>
      </c>
      <c r="I2113" s="206"/>
      <c r="J2113" s="206" t="s">
        <v>121</v>
      </c>
      <c r="K2113" s="206"/>
      <c r="L2113" s="206" t="str">
        <v xml:space="preserve"> 185.15</v>
      </c>
      <c r="M2113" s="206" t="str">
        <v/>
      </c>
    </row>
    <row r="2114" spans="1:13" ht="14.4">
      <c r="A2114" s="201" t="str">
        <f ca="1">IFERROR(__xludf.DUMMYFUNCTION("""COMPUTED_VALUE"""),"T")</f>
        <v>T</v>
      </c>
      <c r="B2114" s="209" t="str">
        <f ca="1">IFERROR(__xludf.DUMMYFUNCTION("""COMPUTED_VALUE"""),"Sarina Saran")</f>
        <v>Sarina Saran</v>
      </c>
      <c r="C2114" s="201">
        <f ca="1">IFERROR(__xludf.DUMMYFUNCTION("""COMPUTED_VALUE"""),16)</f>
        <v>16</v>
      </c>
      <c r="D2114" s="201" t="str">
        <f ca="1">IFERROR(__xludf.DUMMYFUNCTION("""COMPUTED_VALUE"""),"G")</f>
        <v>G</v>
      </c>
      <c r="E2114" s="202" t="str">
        <f ca="1">IFERROR(__xludf.DUMMYFUNCTION("""COMPUTED_VALUE"""),"S")</f>
        <v>S</v>
      </c>
      <c r="F2114" s="210" t="str">
        <f ca="1">IFERROR(__xludf.DUMMYFUNCTION("""COMPUTED_VALUE"""),"S")</f>
        <v>S</v>
      </c>
      <c r="G2114" s="210">
        <f ca="1">IFERROR(__xludf.DUMMYFUNCTION("""COMPUTED_VALUE"""),4)</f>
        <v>4</v>
      </c>
      <c r="H2114" s="206">
        <v>176.65</v>
      </c>
      <c r="I2114" s="206"/>
      <c r="J2114" s="206" t="s">
        <v>121</v>
      </c>
      <c r="K2114" s="206"/>
      <c r="L2114" s="206" t="str">
        <v xml:space="preserve"> 176.65</v>
      </c>
      <c r="M2114" s="206" t="str">
        <v/>
      </c>
    </row>
    <row r="2115" spans="1:13" ht="14.4">
      <c r="A2115" s="201" t="str">
        <f ca="1">IFERROR(__xludf.DUMMYFUNCTION("""COMPUTED_VALUE"""),"THA")</f>
        <v>THA</v>
      </c>
      <c r="B2115" s="209" t="str">
        <f ca="1">IFERROR(__xludf.DUMMYFUNCTION("""COMPUTED_VALUE"""),"Callum Pitera")</f>
        <v>Callum Pitera</v>
      </c>
      <c r="C2115" s="201">
        <f ca="1">IFERROR(__xludf.DUMMYFUNCTION("""COMPUTED_VALUE"""),7)</f>
        <v>7</v>
      </c>
      <c r="D2115" s="201" t="str">
        <f ca="1">IFERROR(__xludf.DUMMYFUNCTION("""COMPUTED_VALUE"""),"B")</f>
        <v>B</v>
      </c>
      <c r="E2115" s="202" t="str">
        <f ca="1">IFERROR(__xludf.DUMMYFUNCTION("""COMPUTED_VALUE"""),"F")</f>
        <v>F</v>
      </c>
      <c r="F2115" s="210" t="str">
        <f ca="1">IFERROR(__xludf.DUMMYFUNCTION("""COMPUTED_VALUE"""),"J")</f>
        <v>J</v>
      </c>
      <c r="G2115" s="210">
        <f ca="1">IFERROR(__xludf.DUMMYFUNCTION("""COMPUTED_VALUE"""),1)</f>
        <v>1</v>
      </c>
      <c r="H2115" s="206"/>
      <c r="I2115" s="206"/>
      <c r="J2115" s="206"/>
      <c r="K2115" s="206"/>
      <c r="L2115" s="206" t="str">
        <v/>
      </c>
      <c r="M2115" s="206" t="str">
        <v/>
      </c>
    </row>
    <row r="2116" spans="1:13" ht="14.4">
      <c r="A2116" s="201" t="str">
        <f ca="1">IFERROR(__xludf.DUMMYFUNCTION("""COMPUTED_VALUE"""),"THA")</f>
        <v>THA</v>
      </c>
      <c r="B2116" s="209" t="str">
        <f ca="1">IFERROR(__xludf.DUMMYFUNCTION("""COMPUTED_VALUE"""),"Cameron Pitera")</f>
        <v>Cameron Pitera</v>
      </c>
      <c r="C2116" s="201">
        <f ca="1">IFERROR(__xludf.DUMMYFUNCTION("""COMPUTED_VALUE"""),8)</f>
        <v>8</v>
      </c>
      <c r="D2116" s="201" t="str">
        <f ca="1">IFERROR(__xludf.DUMMYFUNCTION("""COMPUTED_VALUE"""),"B")</f>
        <v>B</v>
      </c>
      <c r="E2116" s="202" t="str">
        <f ca="1">IFERROR(__xludf.DUMMYFUNCTION("""COMPUTED_VALUE"""),"F")</f>
        <v>F</v>
      </c>
      <c r="F2116" s="210" t="str">
        <f ca="1">IFERROR(__xludf.DUMMYFUNCTION("""COMPUTED_VALUE"""),"J")</f>
        <v>J</v>
      </c>
      <c r="G2116" s="210">
        <f ca="1">IFERROR(__xludf.DUMMYFUNCTION("""COMPUTED_VALUE"""),1)</f>
        <v>1</v>
      </c>
      <c r="H2116" s="206"/>
      <c r="I2116" s="206"/>
      <c r="J2116" s="206"/>
      <c r="K2116" s="206"/>
      <c r="L2116" s="206" t="str">
        <v/>
      </c>
      <c r="M2116" s="206" t="str">
        <v/>
      </c>
    </row>
    <row r="2117" spans="1:13" ht="14.4">
      <c r="A2117" s="201" t="str">
        <f ca="1">IFERROR(__xludf.DUMMYFUNCTION("""COMPUTED_VALUE"""),"THA")</f>
        <v>THA</v>
      </c>
      <c r="B2117" s="209" t="str">
        <f ca="1">IFERROR(__xludf.DUMMYFUNCTION("""COMPUTED_VALUE"""),"Daniel Gardner")</f>
        <v>Daniel Gardner</v>
      </c>
      <c r="C2117" s="201">
        <f ca="1">IFERROR(__xludf.DUMMYFUNCTION("""COMPUTED_VALUE"""),7)</f>
        <v>7</v>
      </c>
      <c r="D2117" s="201" t="str">
        <f ca="1">IFERROR(__xludf.DUMMYFUNCTION("""COMPUTED_VALUE"""),"B")</f>
        <v>B</v>
      </c>
      <c r="E2117" s="202" t="str">
        <f ca="1">IFERROR(__xludf.DUMMYFUNCTION("""COMPUTED_VALUE"""),"F")</f>
        <v>F</v>
      </c>
      <c r="F2117" s="210" t="str">
        <f ca="1">IFERROR(__xludf.DUMMYFUNCTION("""COMPUTED_VALUE"""),"J")</f>
        <v>J</v>
      </c>
      <c r="G2117" s="210">
        <f ca="1">IFERROR(__xludf.DUMMYFUNCTION("""COMPUTED_VALUE"""),1)</f>
        <v>1</v>
      </c>
      <c r="H2117" s="206"/>
      <c r="I2117" s="206"/>
      <c r="J2117" s="206"/>
      <c r="K2117" s="206"/>
      <c r="L2117" s="206" t="str">
        <v/>
      </c>
      <c r="M2117" s="206" t="str">
        <v/>
      </c>
    </row>
    <row r="2118" spans="1:13" ht="14.4">
      <c r="A2118" s="201" t="str">
        <f ca="1">IFERROR(__xludf.DUMMYFUNCTION("""COMPUTED_VALUE"""),"THA")</f>
        <v>THA</v>
      </c>
      <c r="B2118" s="209" t="str">
        <f ca="1">IFERROR(__xludf.DUMMYFUNCTION("""COMPUTED_VALUE"""),"Daniel Shang")</f>
        <v>Daniel Shang</v>
      </c>
      <c r="C2118" s="201">
        <f ca="1">IFERROR(__xludf.DUMMYFUNCTION("""COMPUTED_VALUE"""),7)</f>
        <v>7</v>
      </c>
      <c r="D2118" s="201" t="str">
        <f ca="1">IFERROR(__xludf.DUMMYFUNCTION("""COMPUTED_VALUE"""),"B")</f>
        <v>B</v>
      </c>
      <c r="E2118" s="202" t="str">
        <f ca="1">IFERROR(__xludf.DUMMYFUNCTION("""COMPUTED_VALUE"""),"F")</f>
        <v>F</v>
      </c>
      <c r="F2118" s="210" t="str">
        <f ca="1">IFERROR(__xludf.DUMMYFUNCTION("""COMPUTED_VALUE"""),"J")</f>
        <v>J</v>
      </c>
      <c r="G2118" s="210">
        <f ca="1">IFERROR(__xludf.DUMMYFUNCTION("""COMPUTED_VALUE"""),1)</f>
        <v>1</v>
      </c>
      <c r="H2118" s="206"/>
      <c r="I2118" s="206"/>
      <c r="J2118" s="206"/>
      <c r="K2118" s="206"/>
      <c r="L2118" s="206" t="str">
        <v/>
      </c>
      <c r="M2118" s="206" t="str">
        <v/>
      </c>
    </row>
    <row r="2119" spans="1:13" ht="14.4">
      <c r="A2119" s="201" t="str">
        <f ca="1">IFERROR(__xludf.DUMMYFUNCTION("""COMPUTED_VALUE"""),"THA")</f>
        <v>THA</v>
      </c>
      <c r="B2119" s="209" t="str">
        <f ca="1">IFERROR(__xludf.DUMMYFUNCTION("""COMPUTED_VALUE"""),"Ewan Girard")</f>
        <v>Ewan Girard</v>
      </c>
      <c r="C2119" s="201">
        <f ca="1">IFERROR(__xludf.DUMMYFUNCTION("""COMPUTED_VALUE"""),8)</f>
        <v>8</v>
      </c>
      <c r="D2119" s="201" t="str">
        <f ca="1">IFERROR(__xludf.DUMMYFUNCTION("""COMPUTED_VALUE"""),"B")</f>
        <v>B</v>
      </c>
      <c r="E2119" s="202" t="str">
        <f ca="1">IFERROR(__xludf.DUMMYFUNCTION("""COMPUTED_VALUE"""),"F")</f>
        <v>F</v>
      </c>
      <c r="F2119" s="210" t="str">
        <f ca="1">IFERROR(__xludf.DUMMYFUNCTION("""COMPUTED_VALUE"""),"J")</f>
        <v>J</v>
      </c>
      <c r="G2119" s="210">
        <f ca="1">IFERROR(__xludf.DUMMYFUNCTION("""COMPUTED_VALUE"""),1)</f>
        <v>1</v>
      </c>
      <c r="H2119" s="206"/>
      <c r="I2119" s="206">
        <v>26.95</v>
      </c>
      <c r="J2119" s="206"/>
      <c r="K2119" s="206" t="s">
        <v>121</v>
      </c>
      <c r="L2119" s="206" t="str">
        <v xml:space="preserve"> 26.95</v>
      </c>
      <c r="M2119" s="206" t="str">
        <v/>
      </c>
    </row>
    <row r="2120" spans="1:13" ht="14.4">
      <c r="A2120" s="201" t="str">
        <f ca="1">IFERROR(__xludf.DUMMYFUNCTION("""COMPUTED_VALUE"""),"THA")</f>
        <v>THA</v>
      </c>
      <c r="B2120" s="209" t="str">
        <f ca="1">IFERROR(__xludf.DUMMYFUNCTION("""COMPUTED_VALUE"""),"Finlay Sandberg")</f>
        <v>Finlay Sandberg</v>
      </c>
      <c r="C2120" s="201">
        <f ca="1">IFERROR(__xludf.DUMMYFUNCTION("""COMPUTED_VALUE"""),9)</f>
        <v>9</v>
      </c>
      <c r="D2120" s="201" t="str">
        <f ca="1">IFERROR(__xludf.DUMMYFUNCTION("""COMPUTED_VALUE"""),"B")</f>
        <v>B</v>
      </c>
      <c r="E2120" s="202" t="str">
        <f ca="1">IFERROR(__xludf.DUMMYFUNCTION("""COMPUTED_VALUE"""),"F")</f>
        <v>F</v>
      </c>
      <c r="F2120" s="210" t="str">
        <f ca="1">IFERROR(__xludf.DUMMYFUNCTION("""COMPUTED_VALUE"""),"J")</f>
        <v>J</v>
      </c>
      <c r="G2120" s="210">
        <f ca="1">IFERROR(__xludf.DUMMYFUNCTION("""COMPUTED_VALUE"""),1)</f>
        <v>1</v>
      </c>
      <c r="H2120" s="206"/>
      <c r="I2120" s="206"/>
      <c r="J2120" s="206"/>
      <c r="K2120" s="206"/>
      <c r="L2120" s="206" t="str">
        <v/>
      </c>
      <c r="M2120" s="206" t="str">
        <v/>
      </c>
    </row>
    <row r="2121" spans="1:13" ht="14.4">
      <c r="A2121" s="201" t="str">
        <f ca="1">IFERROR(__xludf.DUMMYFUNCTION("""COMPUTED_VALUE"""),"THA")</f>
        <v>THA</v>
      </c>
      <c r="B2121" s="209" t="str">
        <f ca="1">IFERROR(__xludf.DUMMYFUNCTION("""COMPUTED_VALUE"""),"Jasper Eng")</f>
        <v>Jasper Eng</v>
      </c>
      <c r="C2121" s="201">
        <f ca="1">IFERROR(__xludf.DUMMYFUNCTION("""COMPUTED_VALUE"""),10)</f>
        <v>10</v>
      </c>
      <c r="D2121" s="201" t="str">
        <f ca="1">IFERROR(__xludf.DUMMYFUNCTION("""COMPUTED_VALUE"""),"B")</f>
        <v>B</v>
      </c>
      <c r="E2121" s="202" t="str">
        <f ca="1">IFERROR(__xludf.DUMMYFUNCTION("""COMPUTED_VALUE"""),"F")</f>
        <v>F</v>
      </c>
      <c r="F2121" s="210" t="str">
        <f ca="1">IFERROR(__xludf.DUMMYFUNCTION("""COMPUTED_VALUE"""),"J")</f>
        <v>J</v>
      </c>
      <c r="G2121" s="210">
        <f ca="1">IFERROR(__xludf.DUMMYFUNCTION("""COMPUTED_VALUE"""),1)</f>
        <v>1</v>
      </c>
      <c r="H2121" s="206"/>
      <c r="I2121" s="206">
        <v>44.35</v>
      </c>
      <c r="J2121" s="206"/>
      <c r="K2121" s="206" t="s">
        <v>121</v>
      </c>
      <c r="L2121" s="206" t="str">
        <v xml:space="preserve"> 44.35</v>
      </c>
      <c r="M2121" s="206" t="str">
        <v/>
      </c>
    </row>
    <row r="2122" spans="1:13" ht="14.4">
      <c r="A2122" s="201" t="str">
        <f ca="1">IFERROR(__xludf.DUMMYFUNCTION("""COMPUTED_VALUE"""),"THA")</f>
        <v>THA</v>
      </c>
      <c r="B2122" s="209" t="str">
        <f ca="1">IFERROR(__xludf.DUMMYFUNCTION("""COMPUTED_VALUE"""),"Lucas Hanlon")</f>
        <v>Lucas Hanlon</v>
      </c>
      <c r="C2122" s="201">
        <f ca="1">IFERROR(__xludf.DUMMYFUNCTION("""COMPUTED_VALUE"""),9)</f>
        <v>9</v>
      </c>
      <c r="D2122" s="201" t="str">
        <f ca="1">IFERROR(__xludf.DUMMYFUNCTION("""COMPUTED_VALUE"""),"B")</f>
        <v>B</v>
      </c>
      <c r="E2122" s="202" t="str">
        <f ca="1">IFERROR(__xludf.DUMMYFUNCTION("""COMPUTED_VALUE"""),"F")</f>
        <v>F</v>
      </c>
      <c r="F2122" s="210" t="str">
        <f ca="1">IFERROR(__xludf.DUMMYFUNCTION("""COMPUTED_VALUE"""),"J")</f>
        <v>J</v>
      </c>
      <c r="G2122" s="210">
        <f ca="1">IFERROR(__xludf.DUMMYFUNCTION("""COMPUTED_VALUE"""),1)</f>
        <v>1</v>
      </c>
      <c r="H2122" s="206"/>
      <c r="I2122" s="206"/>
      <c r="J2122" s="206"/>
      <c r="K2122" s="206"/>
      <c r="L2122" s="206" t="str">
        <v/>
      </c>
      <c r="M2122" s="206" t="str">
        <v/>
      </c>
    </row>
    <row r="2123" spans="1:13" ht="14.4">
      <c r="A2123" s="201" t="str">
        <f ca="1">IFERROR(__xludf.DUMMYFUNCTION("""COMPUTED_VALUE"""),"THA")</f>
        <v>THA</v>
      </c>
      <c r="B2123" s="209" t="str">
        <f ca="1">IFERROR(__xludf.DUMMYFUNCTION("""COMPUTED_VALUE"""),"Luke Kieffer")</f>
        <v>Luke Kieffer</v>
      </c>
      <c r="C2123" s="201">
        <f ca="1">IFERROR(__xludf.DUMMYFUNCTION("""COMPUTED_VALUE"""),8)</f>
        <v>8</v>
      </c>
      <c r="D2123" s="201" t="str">
        <f ca="1">IFERROR(__xludf.DUMMYFUNCTION("""COMPUTED_VALUE"""),"B")</f>
        <v>B</v>
      </c>
      <c r="E2123" s="202" t="str">
        <f ca="1">IFERROR(__xludf.DUMMYFUNCTION("""COMPUTED_VALUE"""),"F")</f>
        <v>F</v>
      </c>
      <c r="F2123" s="210" t="str">
        <f ca="1">IFERROR(__xludf.DUMMYFUNCTION("""COMPUTED_VALUE"""),"J")</f>
        <v>J</v>
      </c>
      <c r="G2123" s="210">
        <f ca="1">IFERROR(__xludf.DUMMYFUNCTION("""COMPUTED_VALUE"""),1)</f>
        <v>1</v>
      </c>
      <c r="H2123" s="206"/>
      <c r="I2123" s="206"/>
      <c r="J2123" s="206"/>
      <c r="K2123" s="206"/>
      <c r="L2123" s="206" t="str">
        <v/>
      </c>
      <c r="M2123" s="206" t="str">
        <v/>
      </c>
    </row>
    <row r="2124" spans="1:13" ht="14.4">
      <c r="A2124" s="201" t="str">
        <f ca="1">IFERROR(__xludf.DUMMYFUNCTION("""COMPUTED_VALUE"""),"THA")</f>
        <v>THA</v>
      </c>
      <c r="B2124" s="209" t="str">
        <f ca="1">IFERROR(__xludf.DUMMYFUNCTION("""COMPUTED_VALUE"""),"Matthew Gardner")</f>
        <v>Matthew Gardner</v>
      </c>
      <c r="C2124" s="201">
        <f ca="1">IFERROR(__xludf.DUMMYFUNCTION("""COMPUTED_VALUE"""),5)</f>
        <v>5</v>
      </c>
      <c r="D2124" s="201" t="str">
        <f ca="1">IFERROR(__xludf.DUMMYFUNCTION("""COMPUTED_VALUE"""),"B")</f>
        <v>B</v>
      </c>
      <c r="E2124" s="202" t="str">
        <f ca="1">IFERROR(__xludf.DUMMYFUNCTION("""COMPUTED_VALUE"""),"F")</f>
        <v>F</v>
      </c>
      <c r="F2124" s="210" t="str">
        <f ca="1">IFERROR(__xludf.DUMMYFUNCTION("""COMPUTED_VALUE"""),"J")</f>
        <v>J</v>
      </c>
      <c r="G2124" s="210">
        <f ca="1">IFERROR(__xludf.DUMMYFUNCTION("""COMPUTED_VALUE"""),1)</f>
        <v>1</v>
      </c>
      <c r="H2124" s="206"/>
      <c r="I2124" s="206"/>
      <c r="J2124" s="206"/>
      <c r="K2124" s="206"/>
      <c r="L2124" s="206" t="str">
        <v/>
      </c>
      <c r="M2124" s="206" t="str">
        <v/>
      </c>
    </row>
    <row r="2125" spans="1:13" ht="14.4">
      <c r="A2125" s="201" t="str">
        <f ca="1">IFERROR(__xludf.DUMMYFUNCTION("""COMPUTED_VALUE"""),"THA")</f>
        <v>THA</v>
      </c>
      <c r="B2125" s="209" t="str">
        <f ca="1">IFERROR(__xludf.DUMMYFUNCTION("""COMPUTED_VALUE"""),"Owen McKeever")</f>
        <v>Owen McKeever</v>
      </c>
      <c r="C2125" s="201">
        <f ca="1">IFERROR(__xludf.DUMMYFUNCTION("""COMPUTED_VALUE"""),7)</f>
        <v>7</v>
      </c>
      <c r="D2125" s="201" t="str">
        <f ca="1">IFERROR(__xludf.DUMMYFUNCTION("""COMPUTED_VALUE"""),"B")</f>
        <v>B</v>
      </c>
      <c r="E2125" s="202" t="str">
        <f ca="1">IFERROR(__xludf.DUMMYFUNCTION("""COMPUTED_VALUE"""),"F")</f>
        <v>F</v>
      </c>
      <c r="F2125" s="210" t="str">
        <f ca="1">IFERROR(__xludf.DUMMYFUNCTION("""COMPUTED_VALUE"""),"J")</f>
        <v>J</v>
      </c>
      <c r="G2125" s="210">
        <f ca="1">IFERROR(__xludf.DUMMYFUNCTION("""COMPUTED_VALUE"""),1)</f>
        <v>1</v>
      </c>
      <c r="H2125" s="206"/>
      <c r="I2125" s="206">
        <v>19.850000000000001</v>
      </c>
      <c r="J2125" s="206"/>
      <c r="K2125" s="206" t="s">
        <v>121</v>
      </c>
      <c r="L2125" s="206" t="str">
        <v xml:space="preserve"> 19.85</v>
      </c>
      <c r="M2125" s="206" t="str">
        <v/>
      </c>
    </row>
    <row r="2126" spans="1:13" ht="14.4">
      <c r="A2126" s="201" t="str">
        <f ca="1">IFERROR(__xludf.DUMMYFUNCTION("""COMPUTED_VALUE"""),"THA")</f>
        <v>THA</v>
      </c>
      <c r="B2126" s="209" t="str">
        <f ca="1">IFERROR(__xludf.DUMMYFUNCTION("""COMPUTED_VALUE"""),"Peter Lucado")</f>
        <v>Peter Lucado</v>
      </c>
      <c r="C2126" s="201">
        <f ca="1">IFERROR(__xludf.DUMMYFUNCTION("""COMPUTED_VALUE"""),10)</f>
        <v>10</v>
      </c>
      <c r="D2126" s="201" t="str">
        <f ca="1">IFERROR(__xludf.DUMMYFUNCTION("""COMPUTED_VALUE"""),"B")</f>
        <v>B</v>
      </c>
      <c r="E2126" s="202" t="str">
        <f ca="1">IFERROR(__xludf.DUMMYFUNCTION("""COMPUTED_VALUE"""),"F")</f>
        <v>F</v>
      </c>
      <c r="F2126" s="210" t="str">
        <f ca="1">IFERROR(__xludf.DUMMYFUNCTION("""COMPUTED_VALUE"""),"J")</f>
        <v>J</v>
      </c>
      <c r="G2126" s="210">
        <f ca="1">IFERROR(__xludf.DUMMYFUNCTION("""COMPUTED_VALUE"""),1)</f>
        <v>1</v>
      </c>
      <c r="H2126" s="206"/>
      <c r="I2126" s="206">
        <v>52.05</v>
      </c>
      <c r="J2126" s="206"/>
      <c r="K2126" s="206" t="s">
        <v>121</v>
      </c>
      <c r="L2126" s="206" t="str">
        <v xml:space="preserve"> 52.05</v>
      </c>
      <c r="M2126" s="206" t="str">
        <v/>
      </c>
    </row>
    <row r="2127" spans="1:13" ht="14.4">
      <c r="A2127" s="201" t="str">
        <f ca="1">IFERROR(__xludf.DUMMYFUNCTION("""COMPUTED_VALUE"""),"THA")</f>
        <v>THA</v>
      </c>
      <c r="B2127" s="209" t="str">
        <f ca="1">IFERROR(__xludf.DUMMYFUNCTION("""COMPUTED_VALUE"""),"Ainslee Girard")</f>
        <v>Ainslee Girard</v>
      </c>
      <c r="C2127" s="201">
        <f ca="1">IFERROR(__xludf.DUMMYFUNCTION("""COMPUTED_VALUE"""),10)</f>
        <v>10</v>
      </c>
      <c r="D2127" s="201" t="str">
        <f ca="1">IFERROR(__xludf.DUMMYFUNCTION("""COMPUTED_VALUE"""),"G")</f>
        <v>G</v>
      </c>
      <c r="E2127" s="202" t="str">
        <f ca="1">IFERROR(__xludf.DUMMYFUNCTION("""COMPUTED_VALUE"""),"F")</f>
        <v>F</v>
      </c>
      <c r="F2127" s="210" t="str">
        <f ca="1">IFERROR(__xludf.DUMMYFUNCTION("""COMPUTED_VALUE"""),"J")</f>
        <v>J</v>
      </c>
      <c r="G2127" s="210">
        <f ca="1">IFERROR(__xludf.DUMMYFUNCTION("""COMPUTED_VALUE"""),1)</f>
        <v>1</v>
      </c>
      <c r="H2127" s="206">
        <v>49.3</v>
      </c>
      <c r="I2127" s="206"/>
      <c r="J2127" s="206" t="s">
        <v>121</v>
      </c>
      <c r="K2127" s="206"/>
      <c r="L2127" s="206" t="str">
        <v xml:space="preserve"> 49.3</v>
      </c>
      <c r="M2127" s="206" t="str">
        <v/>
      </c>
    </row>
    <row r="2128" spans="1:13" ht="14.4">
      <c r="A2128" s="201" t="str">
        <f ca="1">IFERROR(__xludf.DUMMYFUNCTION("""COMPUTED_VALUE"""),"THA")</f>
        <v>THA</v>
      </c>
      <c r="B2128" s="209" t="str">
        <f ca="1">IFERROR(__xludf.DUMMYFUNCTION("""COMPUTED_VALUE"""),"Audrey Shifflett")</f>
        <v>Audrey Shifflett</v>
      </c>
      <c r="C2128" s="201">
        <f ca="1">IFERROR(__xludf.DUMMYFUNCTION("""COMPUTED_VALUE"""),10)</f>
        <v>10</v>
      </c>
      <c r="D2128" s="201" t="str">
        <f ca="1">IFERROR(__xludf.DUMMYFUNCTION("""COMPUTED_VALUE"""),"G")</f>
        <v>G</v>
      </c>
      <c r="E2128" s="202" t="str">
        <f ca="1">IFERROR(__xludf.DUMMYFUNCTION("""COMPUTED_VALUE"""),"F")</f>
        <v>F</v>
      </c>
      <c r="F2128" s="210" t="str">
        <f ca="1">IFERROR(__xludf.DUMMYFUNCTION("""COMPUTED_VALUE"""),"J")</f>
        <v>J</v>
      </c>
      <c r="G2128" s="210">
        <f ca="1">IFERROR(__xludf.DUMMYFUNCTION("""COMPUTED_VALUE"""),1)</f>
        <v>1</v>
      </c>
      <c r="H2128" s="206"/>
      <c r="I2128" s="206"/>
      <c r="J2128" s="206"/>
      <c r="K2128" s="206"/>
      <c r="L2128" s="206" t="str">
        <v/>
      </c>
      <c r="M2128" s="206" t="str">
        <v/>
      </c>
    </row>
    <row r="2129" spans="1:13" ht="14.4">
      <c r="A2129" s="201" t="str">
        <f ca="1">IFERROR(__xludf.DUMMYFUNCTION("""COMPUTED_VALUE"""),"THA")</f>
        <v>THA</v>
      </c>
      <c r="B2129" s="209" t="str">
        <f ca="1">IFERROR(__xludf.DUMMYFUNCTION("""COMPUTED_VALUE"""),"Ava McKeever")</f>
        <v>Ava McKeever</v>
      </c>
      <c r="C2129" s="201">
        <f ca="1">IFERROR(__xludf.DUMMYFUNCTION("""COMPUTED_VALUE"""),10)</f>
        <v>10</v>
      </c>
      <c r="D2129" s="201" t="str">
        <f ca="1">IFERROR(__xludf.DUMMYFUNCTION("""COMPUTED_VALUE"""),"G")</f>
        <v>G</v>
      </c>
      <c r="E2129" s="202" t="str">
        <f ca="1">IFERROR(__xludf.DUMMYFUNCTION("""COMPUTED_VALUE"""),"F")</f>
        <v>F</v>
      </c>
      <c r="F2129" s="210" t="str">
        <f ca="1">IFERROR(__xludf.DUMMYFUNCTION("""COMPUTED_VALUE"""),"J")</f>
        <v>J</v>
      </c>
      <c r="G2129" s="210">
        <f ca="1">IFERROR(__xludf.DUMMYFUNCTION("""COMPUTED_VALUE"""),1)</f>
        <v>1</v>
      </c>
      <c r="H2129" s="206">
        <v>29.55</v>
      </c>
      <c r="I2129" s="206"/>
      <c r="J2129" s="206" t="s">
        <v>121</v>
      </c>
      <c r="K2129" s="206"/>
      <c r="L2129" s="206" t="str">
        <v xml:space="preserve"> 29.55</v>
      </c>
      <c r="M2129" s="206" t="str">
        <v/>
      </c>
    </row>
    <row r="2130" spans="1:13" ht="14.4">
      <c r="A2130" s="201" t="str">
        <f ca="1">IFERROR(__xludf.DUMMYFUNCTION("""COMPUTED_VALUE"""),"THA")</f>
        <v>THA</v>
      </c>
      <c r="B2130" s="209" t="str">
        <f ca="1">IFERROR(__xludf.DUMMYFUNCTION("""COMPUTED_VALUE"""),"Eleanor Albosta")</f>
        <v>Eleanor Albosta</v>
      </c>
      <c r="C2130" s="201">
        <f ca="1">IFERROR(__xludf.DUMMYFUNCTION("""COMPUTED_VALUE"""),8)</f>
        <v>8</v>
      </c>
      <c r="D2130" s="201" t="str">
        <f ca="1">IFERROR(__xludf.DUMMYFUNCTION("""COMPUTED_VALUE"""),"G")</f>
        <v>G</v>
      </c>
      <c r="E2130" s="202" t="str">
        <f ca="1">IFERROR(__xludf.DUMMYFUNCTION("""COMPUTED_VALUE"""),"F")</f>
        <v>F</v>
      </c>
      <c r="F2130" s="210" t="str">
        <f ca="1">IFERROR(__xludf.DUMMYFUNCTION("""COMPUTED_VALUE"""),"J")</f>
        <v>J</v>
      </c>
      <c r="G2130" s="210">
        <f ca="1">IFERROR(__xludf.DUMMYFUNCTION("""COMPUTED_VALUE"""),1)</f>
        <v>1</v>
      </c>
      <c r="H2130" s="206">
        <v>32.950000000000003</v>
      </c>
      <c r="I2130" s="206"/>
      <c r="J2130" s="206" t="s">
        <v>121</v>
      </c>
      <c r="K2130" s="206"/>
      <c r="L2130" s="206" t="str">
        <v xml:space="preserve"> 32.95</v>
      </c>
      <c r="M2130" s="206" t="str">
        <v/>
      </c>
    </row>
    <row r="2131" spans="1:13" ht="14.4">
      <c r="A2131" s="201" t="str">
        <f ca="1">IFERROR(__xludf.DUMMYFUNCTION("""COMPUTED_VALUE"""),"THA")</f>
        <v>THA</v>
      </c>
      <c r="B2131" s="209" t="str">
        <f ca="1">IFERROR(__xludf.DUMMYFUNCTION("""COMPUTED_VALUE"""),"Gabopha So")</f>
        <v>Gabopha So</v>
      </c>
      <c r="C2131" s="201">
        <f ca="1">IFERROR(__xludf.DUMMYFUNCTION("""COMPUTED_VALUE"""),10)</f>
        <v>10</v>
      </c>
      <c r="D2131" s="201" t="str">
        <f ca="1">IFERROR(__xludf.DUMMYFUNCTION("""COMPUTED_VALUE"""),"G")</f>
        <v>G</v>
      </c>
      <c r="E2131" s="202" t="str">
        <f ca="1">IFERROR(__xludf.DUMMYFUNCTION("""COMPUTED_VALUE"""),"F")</f>
        <v>F</v>
      </c>
      <c r="F2131" s="210" t="str">
        <f ca="1">IFERROR(__xludf.DUMMYFUNCTION("""COMPUTED_VALUE"""),"J")</f>
        <v>J</v>
      </c>
      <c r="G2131" s="210">
        <f ca="1">IFERROR(__xludf.DUMMYFUNCTION("""COMPUTED_VALUE"""),1)</f>
        <v>1</v>
      </c>
      <c r="H2131" s="206">
        <v>45.35</v>
      </c>
      <c r="I2131" s="206"/>
      <c r="J2131" s="206" t="s">
        <v>121</v>
      </c>
      <c r="K2131" s="206"/>
      <c r="L2131" s="206" t="str">
        <v xml:space="preserve"> 45.35</v>
      </c>
      <c r="M2131" s="206" t="str">
        <v/>
      </c>
    </row>
    <row r="2132" spans="1:13" ht="14.4">
      <c r="A2132" s="201" t="str">
        <f ca="1">IFERROR(__xludf.DUMMYFUNCTION("""COMPUTED_VALUE"""),"THA")</f>
        <v>THA</v>
      </c>
      <c r="B2132" s="209" t="str">
        <f ca="1">IFERROR(__xludf.DUMMYFUNCTION("""COMPUTED_VALUE"""),"Georgina McKeever")</f>
        <v>Georgina McKeever</v>
      </c>
      <c r="C2132" s="201">
        <f ca="1">IFERROR(__xludf.DUMMYFUNCTION("""COMPUTED_VALUE"""),10)</f>
        <v>10</v>
      </c>
      <c r="D2132" s="201" t="str">
        <f ca="1">IFERROR(__xludf.DUMMYFUNCTION("""COMPUTED_VALUE"""),"G")</f>
        <v>G</v>
      </c>
      <c r="E2132" s="202" t="str">
        <f ca="1">IFERROR(__xludf.DUMMYFUNCTION("""COMPUTED_VALUE"""),"F")</f>
        <v>F</v>
      </c>
      <c r="F2132" s="210" t="str">
        <f ca="1">IFERROR(__xludf.DUMMYFUNCTION("""COMPUTED_VALUE"""),"J")</f>
        <v>J</v>
      </c>
      <c r="G2132" s="210">
        <f ca="1">IFERROR(__xludf.DUMMYFUNCTION("""COMPUTED_VALUE"""),1)</f>
        <v>1</v>
      </c>
      <c r="H2132" s="206"/>
      <c r="I2132" s="206"/>
      <c r="J2132" s="206"/>
      <c r="K2132" s="206"/>
      <c r="L2132" s="206" t="str">
        <v/>
      </c>
      <c r="M2132" s="206" t="str">
        <v/>
      </c>
    </row>
    <row r="2133" spans="1:13" ht="14.4">
      <c r="A2133" s="201" t="str">
        <f ca="1">IFERROR(__xludf.DUMMYFUNCTION("""COMPUTED_VALUE"""),"THA")</f>
        <v>THA</v>
      </c>
      <c r="B2133" s="209" t="str">
        <f ca="1">IFERROR(__xludf.DUMMYFUNCTION("""COMPUTED_VALUE"""),"Lily Robinson")</f>
        <v>Lily Robinson</v>
      </c>
      <c r="C2133" s="201">
        <f ca="1">IFERROR(__xludf.DUMMYFUNCTION("""COMPUTED_VALUE"""),9)</f>
        <v>9</v>
      </c>
      <c r="D2133" s="201" t="str">
        <f ca="1">IFERROR(__xludf.DUMMYFUNCTION("""COMPUTED_VALUE"""),"G")</f>
        <v>G</v>
      </c>
      <c r="E2133" s="202" t="str">
        <f ca="1">IFERROR(__xludf.DUMMYFUNCTION("""COMPUTED_VALUE"""),"F")</f>
        <v>F</v>
      </c>
      <c r="F2133" s="210" t="str">
        <f ca="1">IFERROR(__xludf.DUMMYFUNCTION("""COMPUTED_VALUE"""),"J")</f>
        <v>J</v>
      </c>
      <c r="G2133" s="210">
        <f ca="1">IFERROR(__xludf.DUMMYFUNCTION("""COMPUTED_VALUE"""),1)</f>
        <v>1</v>
      </c>
      <c r="H2133" s="206">
        <v>28.05</v>
      </c>
      <c r="I2133" s="206"/>
      <c r="J2133" s="206" t="s">
        <v>121</v>
      </c>
      <c r="K2133" s="206"/>
      <c r="L2133" s="206" t="str">
        <v xml:space="preserve"> 28.05</v>
      </c>
      <c r="M2133" s="206" t="str">
        <v/>
      </c>
    </row>
    <row r="2134" spans="1:13" ht="14.4">
      <c r="A2134" s="201" t="str">
        <f ca="1">IFERROR(__xludf.DUMMYFUNCTION("""COMPUTED_VALUE"""),"THA")</f>
        <v>THA</v>
      </c>
      <c r="B2134" s="209" t="str">
        <f ca="1">IFERROR(__xludf.DUMMYFUNCTION("""COMPUTED_VALUE"""),"Reilly McBride")</f>
        <v>Reilly McBride</v>
      </c>
      <c r="C2134" s="201">
        <f ca="1">IFERROR(__xludf.DUMMYFUNCTION("""COMPUTED_VALUE"""),6)</f>
        <v>6</v>
      </c>
      <c r="D2134" s="201" t="str">
        <f ca="1">IFERROR(__xludf.DUMMYFUNCTION("""COMPUTED_VALUE"""),"G")</f>
        <v>G</v>
      </c>
      <c r="E2134" s="202" t="str">
        <f ca="1">IFERROR(__xludf.DUMMYFUNCTION("""COMPUTED_VALUE"""),"F")</f>
        <v>F</v>
      </c>
      <c r="F2134" s="210" t="str">
        <f ca="1">IFERROR(__xludf.DUMMYFUNCTION("""COMPUTED_VALUE"""),"J")</f>
        <v>J</v>
      </c>
      <c r="G2134" s="210">
        <f ca="1">IFERROR(__xludf.DUMMYFUNCTION("""COMPUTED_VALUE"""),1)</f>
        <v>1</v>
      </c>
      <c r="H2134" s="206"/>
      <c r="I2134" s="206"/>
      <c r="J2134" s="206"/>
      <c r="K2134" s="206"/>
      <c r="L2134" s="206" t="str">
        <v/>
      </c>
      <c r="M2134" s="206" t="str">
        <v/>
      </c>
    </row>
    <row r="2135" spans="1:13" ht="14.4">
      <c r="A2135" s="201" t="str">
        <f ca="1">IFERROR(__xludf.DUMMYFUNCTION("""COMPUTED_VALUE"""),"THA")</f>
        <v>THA</v>
      </c>
      <c r="B2135" s="209" t="str">
        <f ca="1">IFERROR(__xludf.DUMMYFUNCTION("""COMPUTED_VALUE"""),"Sofia Dalilaltojari")</f>
        <v>Sofia Dalilaltojari</v>
      </c>
      <c r="C2135" s="201">
        <f ca="1">IFERROR(__xludf.DUMMYFUNCTION("""COMPUTED_VALUE"""),7)</f>
        <v>7</v>
      </c>
      <c r="D2135" s="201" t="str">
        <f ca="1">IFERROR(__xludf.DUMMYFUNCTION("""COMPUTED_VALUE"""),"G")</f>
        <v>G</v>
      </c>
      <c r="E2135" s="202" t="str">
        <f ca="1">IFERROR(__xludf.DUMMYFUNCTION("""COMPUTED_VALUE"""),"F")</f>
        <v>F</v>
      </c>
      <c r="F2135" s="210" t="str">
        <f ca="1">IFERROR(__xludf.DUMMYFUNCTION("""COMPUTED_VALUE"""),"J")</f>
        <v>J</v>
      </c>
      <c r="G2135" s="210">
        <f ca="1">IFERROR(__xludf.DUMMYFUNCTION("""COMPUTED_VALUE"""),1)</f>
        <v>1</v>
      </c>
      <c r="H2135" s="206">
        <v>24.05</v>
      </c>
      <c r="I2135" s="206"/>
      <c r="J2135" s="206" t="s">
        <v>121</v>
      </c>
      <c r="K2135" s="206"/>
      <c r="L2135" s="206" t="str">
        <v xml:space="preserve"> 24.05</v>
      </c>
      <c r="M2135" s="206" t="str">
        <v/>
      </c>
    </row>
    <row r="2136" spans="1:13" ht="14.4">
      <c r="A2136" s="201" t="str">
        <f ca="1">IFERROR(__xludf.DUMMYFUNCTION("""COMPUTED_VALUE"""),"THA")</f>
        <v>THA</v>
      </c>
      <c r="B2136" s="209" t="str">
        <f ca="1">IFERROR(__xludf.DUMMYFUNCTION("""COMPUTED_VALUE"""),"Vivienne Easmunt")</f>
        <v>Vivienne Easmunt</v>
      </c>
      <c r="C2136" s="201">
        <f ca="1">IFERROR(__xludf.DUMMYFUNCTION("""COMPUTED_VALUE"""),10)</f>
        <v>10</v>
      </c>
      <c r="D2136" s="201" t="str">
        <f ca="1">IFERROR(__xludf.DUMMYFUNCTION("""COMPUTED_VALUE"""),"G")</f>
        <v>G</v>
      </c>
      <c r="E2136" s="202" t="str">
        <f ca="1">IFERROR(__xludf.DUMMYFUNCTION("""COMPUTED_VALUE"""),"F")</f>
        <v>F</v>
      </c>
      <c r="F2136" s="210" t="str">
        <f ca="1">IFERROR(__xludf.DUMMYFUNCTION("""COMPUTED_VALUE"""),"J")</f>
        <v>J</v>
      </c>
      <c r="G2136" s="210">
        <f ca="1">IFERROR(__xludf.DUMMYFUNCTION("""COMPUTED_VALUE"""),1)</f>
        <v>1</v>
      </c>
      <c r="H2136" s="206"/>
      <c r="I2136" s="206"/>
      <c r="J2136" s="206"/>
      <c r="K2136" s="206"/>
      <c r="L2136" s="206" t="str">
        <v/>
      </c>
      <c r="M2136" s="206" t="str">
        <v/>
      </c>
    </row>
    <row r="2137" spans="1:13" ht="14.4">
      <c r="A2137" s="201" t="str">
        <f ca="1">IFERROR(__xludf.DUMMYFUNCTION("""COMPUTED_VALUE"""),"THA")</f>
        <v>THA</v>
      </c>
      <c r="B2137" s="209" t="str">
        <f ca="1">IFERROR(__xludf.DUMMYFUNCTION("""COMPUTED_VALUE"""),"Marek Raynal")</f>
        <v>Marek Raynal</v>
      </c>
      <c r="C2137" s="201">
        <f ca="1">IFERROR(__xludf.DUMMYFUNCTION("""COMPUTED_VALUE"""),13)</f>
        <v>13</v>
      </c>
      <c r="D2137" s="201" t="str">
        <f ca="1">IFERROR(__xludf.DUMMYFUNCTION("""COMPUTED_VALUE"""),"B")</f>
        <v>B</v>
      </c>
      <c r="E2137" s="202" t="str">
        <f ca="1">IFERROR(__xludf.DUMMYFUNCTION("""COMPUTED_VALUE"""),"I")</f>
        <v>I</v>
      </c>
      <c r="F2137" s="210" t="str">
        <f ca="1">IFERROR(__xludf.DUMMYFUNCTION("""COMPUTED_VALUE"""),"S")</f>
        <v>S</v>
      </c>
      <c r="G2137" s="210">
        <f ca="1">IFERROR(__xludf.DUMMYFUNCTION("""COMPUTED_VALUE"""),1)</f>
        <v>1</v>
      </c>
      <c r="H2137" s="206"/>
      <c r="I2137" s="206"/>
      <c r="J2137" s="206"/>
      <c r="K2137" s="206"/>
      <c r="L2137" s="206" t="str">
        <v/>
      </c>
      <c r="M2137" s="206" t="str">
        <v/>
      </c>
    </row>
    <row r="2138" spans="1:13" ht="14.4">
      <c r="A2138" s="201" t="str">
        <f ca="1">IFERROR(__xludf.DUMMYFUNCTION("""COMPUTED_VALUE"""),"THA")</f>
        <v>THA</v>
      </c>
      <c r="B2138" s="209" t="str">
        <f ca="1">IFERROR(__xludf.DUMMYFUNCTION("""COMPUTED_VALUE"""),"Noah Hedrick")</f>
        <v>Noah Hedrick</v>
      </c>
      <c r="C2138" s="201">
        <f ca="1">IFERROR(__xludf.DUMMYFUNCTION("""COMPUTED_VALUE"""),13)</f>
        <v>13</v>
      </c>
      <c r="D2138" s="201" t="str">
        <f ca="1">IFERROR(__xludf.DUMMYFUNCTION("""COMPUTED_VALUE"""),"B")</f>
        <v>B</v>
      </c>
      <c r="E2138" s="202" t="str">
        <f ca="1">IFERROR(__xludf.DUMMYFUNCTION("""COMPUTED_VALUE"""),"I")</f>
        <v>I</v>
      </c>
      <c r="F2138" s="210" t="str">
        <f ca="1">IFERROR(__xludf.DUMMYFUNCTION("""COMPUTED_VALUE"""),"S")</f>
        <v>S</v>
      </c>
      <c r="G2138" s="210">
        <f ca="1">IFERROR(__xludf.DUMMYFUNCTION("""COMPUTED_VALUE"""),1)</f>
        <v>1</v>
      </c>
      <c r="H2138" s="206"/>
      <c r="I2138" s="206"/>
      <c r="J2138" s="206"/>
      <c r="K2138" s="206"/>
      <c r="L2138" s="206" t="str">
        <v/>
      </c>
      <c r="M2138" s="206" t="str">
        <v/>
      </c>
    </row>
    <row r="2139" spans="1:13" ht="14.4">
      <c r="A2139" s="201" t="str">
        <f ca="1">IFERROR(__xludf.DUMMYFUNCTION("""COMPUTED_VALUE"""),"THA")</f>
        <v>THA</v>
      </c>
      <c r="B2139" s="209" t="str">
        <f ca="1">IFERROR(__xludf.DUMMYFUNCTION("""COMPUTED_VALUE"""),"Ray Rivera")</f>
        <v>Ray Rivera</v>
      </c>
      <c r="C2139" s="201">
        <f ca="1">IFERROR(__xludf.DUMMYFUNCTION("""COMPUTED_VALUE"""),13)</f>
        <v>13</v>
      </c>
      <c r="D2139" s="201" t="str">
        <f ca="1">IFERROR(__xludf.DUMMYFUNCTION("""COMPUTED_VALUE"""),"B")</f>
        <v>B</v>
      </c>
      <c r="E2139" s="202" t="str">
        <f ca="1">IFERROR(__xludf.DUMMYFUNCTION("""COMPUTED_VALUE"""),"I")</f>
        <v>I</v>
      </c>
      <c r="F2139" s="210" t="str">
        <f ca="1">IFERROR(__xludf.DUMMYFUNCTION("""COMPUTED_VALUE"""),"S")</f>
        <v>S</v>
      </c>
      <c r="G2139" s="210">
        <f ca="1">IFERROR(__xludf.DUMMYFUNCTION("""COMPUTED_VALUE"""),1)</f>
        <v>1</v>
      </c>
      <c r="H2139" s="206"/>
      <c r="I2139" s="206"/>
      <c r="J2139" s="206"/>
      <c r="K2139" s="206"/>
      <c r="L2139" s="206" t="str">
        <v/>
      </c>
      <c r="M2139" s="206" t="str">
        <v/>
      </c>
    </row>
    <row r="2140" spans="1:13" ht="14.4">
      <c r="A2140" s="201" t="str">
        <f ca="1">IFERROR(__xludf.DUMMYFUNCTION("""COMPUTED_VALUE"""),"THA")</f>
        <v>THA</v>
      </c>
      <c r="B2140" s="209" t="str">
        <f ca="1">IFERROR(__xludf.DUMMYFUNCTION("""COMPUTED_VALUE"""),"Rem Turatbekov")</f>
        <v>Rem Turatbekov</v>
      </c>
      <c r="C2140" s="201">
        <f ca="1">IFERROR(__xludf.DUMMYFUNCTION("""COMPUTED_VALUE"""),13)</f>
        <v>13</v>
      </c>
      <c r="D2140" s="201" t="str">
        <f ca="1">IFERROR(__xludf.DUMMYFUNCTION("""COMPUTED_VALUE"""),"B")</f>
        <v>B</v>
      </c>
      <c r="E2140" s="202" t="str">
        <f ca="1">IFERROR(__xludf.DUMMYFUNCTION("""COMPUTED_VALUE"""),"I")</f>
        <v>I</v>
      </c>
      <c r="F2140" s="210" t="str">
        <f ca="1">IFERROR(__xludf.DUMMYFUNCTION("""COMPUTED_VALUE"""),"S")</f>
        <v>S</v>
      </c>
      <c r="G2140" s="210">
        <f ca="1">IFERROR(__xludf.DUMMYFUNCTION("""COMPUTED_VALUE"""),1)</f>
        <v>1</v>
      </c>
      <c r="H2140" s="206"/>
      <c r="I2140" s="206">
        <v>180.1</v>
      </c>
      <c r="J2140" s="206"/>
      <c r="K2140" s="206" t="s">
        <v>121</v>
      </c>
      <c r="L2140" s="206" t="str">
        <v xml:space="preserve"> 180.1</v>
      </c>
      <c r="M2140" s="206" t="str">
        <v/>
      </c>
    </row>
    <row r="2141" spans="1:13" ht="14.4">
      <c r="A2141" s="201" t="str">
        <f ca="1">IFERROR(__xludf.DUMMYFUNCTION("""COMPUTED_VALUE"""),"THA")</f>
        <v>THA</v>
      </c>
      <c r="B2141" s="209" t="str">
        <f ca="1">IFERROR(__xludf.DUMMYFUNCTION("""COMPUTED_VALUE"""),"Brady Lynch")</f>
        <v>Brady Lynch</v>
      </c>
      <c r="C2141" s="201">
        <f ca="1">IFERROR(__xludf.DUMMYFUNCTION("""COMPUTED_VALUE"""),11)</f>
        <v>11</v>
      </c>
      <c r="D2141" s="201" t="str">
        <f ca="1">IFERROR(__xludf.DUMMYFUNCTION("""COMPUTED_VALUE"""),"B")</f>
        <v>B</v>
      </c>
      <c r="E2141" s="202" t="str">
        <f ca="1">IFERROR(__xludf.DUMMYFUNCTION("""COMPUTED_VALUE"""),"J")</f>
        <v>J</v>
      </c>
      <c r="F2141" s="210" t="str">
        <f ca="1">IFERROR(__xludf.DUMMYFUNCTION("""COMPUTED_VALUE"""),"I")</f>
        <v>I</v>
      </c>
      <c r="G2141" s="210">
        <f ca="1">IFERROR(__xludf.DUMMYFUNCTION("""COMPUTED_VALUE"""),1)</f>
        <v>1</v>
      </c>
      <c r="H2141" s="206"/>
      <c r="I2141" s="206">
        <v>86.05</v>
      </c>
      <c r="J2141" s="206"/>
      <c r="K2141" s="206" t="s">
        <v>123</v>
      </c>
      <c r="L2141" s="206" t="str">
        <v xml:space="preserve"> -86.05</v>
      </c>
      <c r="M2141" s="206" t="str">
        <v>^</v>
      </c>
    </row>
    <row r="2142" spans="1:13" ht="14.4">
      <c r="A2142" s="201" t="str">
        <f ca="1">IFERROR(__xludf.DUMMYFUNCTION("""COMPUTED_VALUE"""),"THA")</f>
        <v>THA</v>
      </c>
      <c r="B2142" s="209" t="str">
        <f ca="1">IFERROR(__xludf.DUMMYFUNCTION("""COMPUTED_VALUE"""),"Jake Hedrick")</f>
        <v>Jake Hedrick</v>
      </c>
      <c r="C2142" s="201">
        <f ca="1">IFERROR(__xludf.DUMMYFUNCTION("""COMPUTED_VALUE"""),11)</f>
        <v>11</v>
      </c>
      <c r="D2142" s="201" t="str">
        <f ca="1">IFERROR(__xludf.DUMMYFUNCTION("""COMPUTED_VALUE"""),"B")</f>
        <v>B</v>
      </c>
      <c r="E2142" s="202" t="str">
        <f ca="1">IFERROR(__xludf.DUMMYFUNCTION("""COMPUTED_VALUE"""),"J")</f>
        <v>J</v>
      </c>
      <c r="F2142" s="210" t="str">
        <f ca="1">IFERROR(__xludf.DUMMYFUNCTION("""COMPUTED_VALUE"""),"I")</f>
        <v>I</v>
      </c>
      <c r="G2142" s="210">
        <f ca="1">IFERROR(__xludf.DUMMYFUNCTION("""COMPUTED_VALUE"""),1)</f>
        <v>1</v>
      </c>
      <c r="H2142" s="206"/>
      <c r="I2142" s="206">
        <v>66.599999999999994</v>
      </c>
      <c r="J2142" s="206"/>
      <c r="K2142" s="206" t="s">
        <v>121</v>
      </c>
      <c r="L2142" s="206" t="str">
        <v xml:space="preserve"> 66.6</v>
      </c>
      <c r="M2142" s="206" t="str">
        <v/>
      </c>
    </row>
    <row r="2143" spans="1:13" ht="14.4">
      <c r="A2143" s="201" t="str">
        <f ca="1">IFERROR(__xludf.DUMMYFUNCTION("""COMPUTED_VALUE"""),"THA")</f>
        <v>THA</v>
      </c>
      <c r="B2143" s="209" t="str">
        <f ca="1">IFERROR(__xludf.DUMMYFUNCTION("""COMPUTED_VALUE"""),"Joseph Mangan")</f>
        <v>Joseph Mangan</v>
      </c>
      <c r="C2143" s="201">
        <f ca="1">IFERROR(__xludf.DUMMYFUNCTION("""COMPUTED_VALUE"""),12)</f>
        <v>12</v>
      </c>
      <c r="D2143" s="201" t="str">
        <f ca="1">IFERROR(__xludf.DUMMYFUNCTION("""COMPUTED_VALUE"""),"B")</f>
        <v>B</v>
      </c>
      <c r="E2143" s="202" t="str">
        <f ca="1">IFERROR(__xludf.DUMMYFUNCTION("""COMPUTED_VALUE"""),"J")</f>
        <v>J</v>
      </c>
      <c r="F2143" s="210" t="str">
        <f ca="1">IFERROR(__xludf.DUMMYFUNCTION("""COMPUTED_VALUE"""),"I")</f>
        <v>I</v>
      </c>
      <c r="G2143" s="210">
        <f ca="1">IFERROR(__xludf.DUMMYFUNCTION("""COMPUTED_VALUE"""),1)</f>
        <v>1</v>
      </c>
      <c r="H2143" s="206"/>
      <c r="I2143" s="206">
        <v>87.3</v>
      </c>
      <c r="J2143" s="206"/>
      <c r="K2143" s="206" t="s">
        <v>121</v>
      </c>
      <c r="L2143" s="206" t="str">
        <v xml:space="preserve"> 87.3</v>
      </c>
      <c r="M2143" s="206" t="str">
        <v/>
      </c>
    </row>
    <row r="2144" spans="1:13" ht="14.4">
      <c r="A2144" s="201" t="str">
        <f ca="1">IFERROR(__xludf.DUMMYFUNCTION("""COMPUTED_VALUE"""),"THA")</f>
        <v>THA</v>
      </c>
      <c r="B2144" s="209" t="str">
        <f ca="1">IFERROR(__xludf.DUMMYFUNCTION("""COMPUTED_VALUE"""),"Kierin McBride")</f>
        <v>Kierin McBride</v>
      </c>
      <c r="C2144" s="201">
        <f ca="1">IFERROR(__xludf.DUMMYFUNCTION("""COMPUTED_VALUE"""),12)</f>
        <v>12</v>
      </c>
      <c r="D2144" s="201" t="str">
        <f ca="1">IFERROR(__xludf.DUMMYFUNCTION("""COMPUTED_VALUE"""),"B")</f>
        <v>B</v>
      </c>
      <c r="E2144" s="202" t="str">
        <f ca="1">IFERROR(__xludf.DUMMYFUNCTION("""COMPUTED_VALUE"""),"J")</f>
        <v>J</v>
      </c>
      <c r="F2144" s="210" t="str">
        <f ca="1">IFERROR(__xludf.DUMMYFUNCTION("""COMPUTED_VALUE"""),"I")</f>
        <v>I</v>
      </c>
      <c r="G2144" s="210">
        <f ca="1">IFERROR(__xludf.DUMMYFUNCTION("""COMPUTED_VALUE"""),1)</f>
        <v>1</v>
      </c>
      <c r="H2144" s="206"/>
      <c r="I2144" s="206"/>
      <c r="J2144" s="206"/>
      <c r="K2144" s="206"/>
      <c r="L2144" s="206" t="str">
        <v/>
      </c>
      <c r="M2144" s="206" t="str">
        <v/>
      </c>
    </row>
    <row r="2145" spans="1:13" ht="14.4">
      <c r="A2145" s="201" t="str">
        <f ca="1">IFERROR(__xludf.DUMMYFUNCTION("""COMPUTED_VALUE"""),"THA")</f>
        <v>THA</v>
      </c>
      <c r="B2145" s="209" t="str">
        <f ca="1">IFERROR(__xludf.DUMMYFUNCTION("""COMPUTED_VALUE"""),"Madison Worthington")</f>
        <v>Madison Worthington</v>
      </c>
      <c r="C2145" s="201">
        <f ca="1">IFERROR(__xludf.DUMMYFUNCTION("""COMPUTED_VALUE"""),11)</f>
        <v>11</v>
      </c>
      <c r="D2145" s="201" t="str">
        <f ca="1">IFERROR(__xludf.DUMMYFUNCTION("""COMPUTED_VALUE"""),"B")</f>
        <v>B</v>
      </c>
      <c r="E2145" s="202" t="str">
        <f ca="1">IFERROR(__xludf.DUMMYFUNCTION("""COMPUTED_VALUE"""),"J")</f>
        <v>J</v>
      </c>
      <c r="F2145" s="210" t="str">
        <f ca="1">IFERROR(__xludf.DUMMYFUNCTION("""COMPUTED_VALUE"""),"I")</f>
        <v>I</v>
      </c>
      <c r="G2145" s="210">
        <f ca="1">IFERROR(__xludf.DUMMYFUNCTION("""COMPUTED_VALUE"""),1)</f>
        <v>1</v>
      </c>
      <c r="H2145" s="206"/>
      <c r="I2145" s="206">
        <v>93.45</v>
      </c>
      <c r="J2145" s="206"/>
      <c r="K2145" s="206" t="s">
        <v>121</v>
      </c>
      <c r="L2145" s="206" t="str">
        <v xml:space="preserve"> 93.45</v>
      </c>
      <c r="M2145" s="206" t="str">
        <v/>
      </c>
    </row>
    <row r="2146" spans="1:13" ht="14.4">
      <c r="A2146" s="201" t="str">
        <f ca="1">IFERROR(__xludf.DUMMYFUNCTION("""COMPUTED_VALUE"""),"THA")</f>
        <v>THA</v>
      </c>
      <c r="B2146" s="209" t="str">
        <f ca="1">IFERROR(__xludf.DUMMYFUNCTION("""COMPUTED_VALUE"""),"Spencer Hughes")</f>
        <v>Spencer Hughes</v>
      </c>
      <c r="C2146" s="201">
        <f ca="1">IFERROR(__xludf.DUMMYFUNCTION("""COMPUTED_VALUE"""),11)</f>
        <v>11</v>
      </c>
      <c r="D2146" s="201" t="str">
        <f ca="1">IFERROR(__xludf.DUMMYFUNCTION("""COMPUTED_VALUE"""),"B")</f>
        <v>B</v>
      </c>
      <c r="E2146" s="202" t="str">
        <f ca="1">IFERROR(__xludf.DUMMYFUNCTION("""COMPUTED_VALUE"""),"J")</f>
        <v>J</v>
      </c>
      <c r="F2146" s="210" t="str">
        <f ca="1">IFERROR(__xludf.DUMMYFUNCTION("""COMPUTED_VALUE"""),"I")</f>
        <v>I</v>
      </c>
      <c r="G2146" s="210">
        <f ca="1">IFERROR(__xludf.DUMMYFUNCTION("""COMPUTED_VALUE"""),1)</f>
        <v>1</v>
      </c>
      <c r="H2146" s="206"/>
      <c r="I2146" s="206"/>
      <c r="J2146" s="206"/>
      <c r="K2146" s="206"/>
      <c r="L2146" s="206" t="str">
        <v/>
      </c>
      <c r="M2146" s="206" t="str">
        <v/>
      </c>
    </row>
    <row r="2147" spans="1:13" ht="14.4">
      <c r="A2147" s="201" t="str">
        <f ca="1">IFERROR(__xludf.DUMMYFUNCTION("""COMPUTED_VALUE"""),"THA")</f>
        <v>THA</v>
      </c>
      <c r="B2147" s="209" t="str">
        <f ca="1">IFERROR(__xludf.DUMMYFUNCTION("""COMPUTED_VALUE"""),"Bryce Burton")</f>
        <v>Bryce Burton</v>
      </c>
      <c r="C2147" s="201">
        <f ca="1">IFERROR(__xludf.DUMMYFUNCTION("""COMPUTED_VALUE"""),12)</f>
        <v>12</v>
      </c>
      <c r="D2147" s="201" t="str">
        <f ca="1">IFERROR(__xludf.DUMMYFUNCTION("""COMPUTED_VALUE"""),"G")</f>
        <v>G</v>
      </c>
      <c r="E2147" s="202" t="str">
        <f ca="1">IFERROR(__xludf.DUMMYFUNCTION("""COMPUTED_VALUE"""),"J")</f>
        <v>J</v>
      </c>
      <c r="F2147" s="210" t="str">
        <f ca="1">IFERROR(__xludf.DUMMYFUNCTION("""COMPUTED_VALUE"""),"I")</f>
        <v>I</v>
      </c>
      <c r="G2147" s="210">
        <f ca="1">IFERROR(__xludf.DUMMYFUNCTION("""COMPUTED_VALUE"""),1)</f>
        <v>1</v>
      </c>
      <c r="H2147" s="206">
        <v>74.900000000000006</v>
      </c>
      <c r="I2147" s="206"/>
      <c r="J2147" s="206" t="s">
        <v>121</v>
      </c>
      <c r="K2147" s="206"/>
      <c r="L2147" s="206" t="str">
        <v xml:space="preserve"> 74.9</v>
      </c>
      <c r="M2147" s="206" t="str">
        <v/>
      </c>
    </row>
    <row r="2148" spans="1:13" ht="14.4">
      <c r="A2148" s="201" t="str">
        <f ca="1">IFERROR(__xludf.DUMMYFUNCTION("""COMPUTED_VALUE"""),"THA")</f>
        <v>THA</v>
      </c>
      <c r="B2148" s="209" t="str">
        <f ca="1">IFERROR(__xludf.DUMMYFUNCTION("""COMPUTED_VALUE"""),"Celeste Lucado")</f>
        <v>Celeste Lucado</v>
      </c>
      <c r="C2148" s="201">
        <f ca="1">IFERROR(__xludf.DUMMYFUNCTION("""COMPUTED_VALUE"""),12)</f>
        <v>12</v>
      </c>
      <c r="D2148" s="201" t="str">
        <f ca="1">IFERROR(__xludf.DUMMYFUNCTION("""COMPUTED_VALUE"""),"G")</f>
        <v>G</v>
      </c>
      <c r="E2148" s="202" t="str">
        <f ca="1">IFERROR(__xludf.DUMMYFUNCTION("""COMPUTED_VALUE"""),"J")</f>
        <v>J</v>
      </c>
      <c r="F2148" s="210" t="str">
        <f ca="1">IFERROR(__xludf.DUMMYFUNCTION("""COMPUTED_VALUE"""),"I")</f>
        <v>I</v>
      </c>
      <c r="G2148" s="210">
        <f ca="1">IFERROR(__xludf.DUMMYFUNCTION("""COMPUTED_VALUE"""),1)</f>
        <v>1</v>
      </c>
      <c r="H2148" s="206">
        <v>101</v>
      </c>
      <c r="I2148" s="206"/>
      <c r="J2148" s="206" t="s">
        <v>123</v>
      </c>
      <c r="K2148" s="206"/>
      <c r="L2148" s="206" t="str">
        <v xml:space="preserve"> -101</v>
      </c>
      <c r="M2148" s="206" t="str">
        <v>^</v>
      </c>
    </row>
    <row r="2149" spans="1:13" ht="14.4">
      <c r="A2149" s="201" t="str">
        <f ca="1">IFERROR(__xludf.DUMMYFUNCTION("""COMPUTED_VALUE"""),"THA")</f>
        <v>THA</v>
      </c>
      <c r="B2149" s="209" t="str">
        <f ca="1">IFERROR(__xludf.DUMMYFUNCTION("""COMPUTED_VALUE"""),"Charlotte Albosta")</f>
        <v>Charlotte Albosta</v>
      </c>
      <c r="C2149" s="201">
        <f ca="1">IFERROR(__xludf.DUMMYFUNCTION("""COMPUTED_VALUE"""),11)</f>
        <v>11</v>
      </c>
      <c r="D2149" s="201" t="str">
        <f ca="1">IFERROR(__xludf.DUMMYFUNCTION("""COMPUTED_VALUE"""),"G")</f>
        <v>G</v>
      </c>
      <c r="E2149" s="202" t="str">
        <f ca="1">IFERROR(__xludf.DUMMYFUNCTION("""COMPUTED_VALUE"""),"J")</f>
        <v>J</v>
      </c>
      <c r="F2149" s="210" t="str">
        <f ca="1">IFERROR(__xludf.DUMMYFUNCTION("""COMPUTED_VALUE"""),"I")</f>
        <v>I</v>
      </c>
      <c r="G2149" s="210">
        <f ca="1">IFERROR(__xludf.DUMMYFUNCTION("""COMPUTED_VALUE"""),1)</f>
        <v>1</v>
      </c>
      <c r="H2149" s="206"/>
      <c r="I2149" s="206"/>
      <c r="J2149" s="206"/>
      <c r="K2149" s="206"/>
      <c r="L2149" s="206" t="str">
        <v/>
      </c>
      <c r="M2149" s="206" t="str">
        <v/>
      </c>
    </row>
    <row r="2150" spans="1:13" ht="14.4">
      <c r="A2150" s="201" t="str">
        <f ca="1">IFERROR(__xludf.DUMMYFUNCTION("""COMPUTED_VALUE"""),"THA")</f>
        <v>THA</v>
      </c>
      <c r="B2150" s="209" t="str">
        <f ca="1">IFERROR(__xludf.DUMMYFUNCTION("""COMPUTED_VALUE"""),"Elsa Barzilai")</f>
        <v>Elsa Barzilai</v>
      </c>
      <c r="C2150" s="201">
        <f ca="1">IFERROR(__xludf.DUMMYFUNCTION("""COMPUTED_VALUE"""),12)</f>
        <v>12</v>
      </c>
      <c r="D2150" s="201" t="str">
        <f ca="1">IFERROR(__xludf.DUMMYFUNCTION("""COMPUTED_VALUE"""),"G")</f>
        <v>G</v>
      </c>
      <c r="E2150" s="202" t="str">
        <f ca="1">IFERROR(__xludf.DUMMYFUNCTION("""COMPUTED_VALUE"""),"J")</f>
        <v>J</v>
      </c>
      <c r="F2150" s="210" t="str">
        <f ca="1">IFERROR(__xludf.DUMMYFUNCTION("""COMPUTED_VALUE"""),"I")</f>
        <v>I</v>
      </c>
      <c r="G2150" s="210">
        <f ca="1">IFERROR(__xludf.DUMMYFUNCTION("""COMPUTED_VALUE"""),1)</f>
        <v>1</v>
      </c>
      <c r="H2150" s="206">
        <v>56.85</v>
      </c>
      <c r="I2150" s="206"/>
      <c r="J2150" s="206" t="s">
        <v>121</v>
      </c>
      <c r="K2150" s="206"/>
      <c r="L2150" s="206" t="str">
        <v xml:space="preserve"> 56.85</v>
      </c>
      <c r="M2150" s="206" t="str">
        <v/>
      </c>
    </row>
    <row r="2151" spans="1:13" ht="14.4">
      <c r="A2151" s="201" t="str">
        <f ca="1">IFERROR(__xludf.DUMMYFUNCTION("""COMPUTED_VALUE"""),"THA")</f>
        <v>THA</v>
      </c>
      <c r="B2151" s="209" t="str">
        <f ca="1">IFERROR(__xludf.DUMMYFUNCTION("""COMPUTED_VALUE"""),"Batyr Turatbekov")</f>
        <v>Batyr Turatbekov</v>
      </c>
      <c r="C2151" s="201">
        <f ca="1">IFERROR(__xludf.DUMMYFUNCTION("""COMPUTED_VALUE"""),15)</f>
        <v>15</v>
      </c>
      <c r="D2151" s="201" t="str">
        <f ca="1">IFERROR(__xludf.DUMMYFUNCTION("""COMPUTED_VALUE"""),"B")</f>
        <v>B</v>
      </c>
      <c r="E2151" s="202" t="str">
        <f ca="1">IFERROR(__xludf.DUMMYFUNCTION("""COMPUTED_VALUE"""),"S")</f>
        <v>S</v>
      </c>
      <c r="F2151" s="210" t="str">
        <f ca="1">IFERROR(__xludf.DUMMYFUNCTION("""COMPUTED_VALUE"""),"S")</f>
        <v>S</v>
      </c>
      <c r="G2151" s="210">
        <f ca="1">IFERROR(__xludf.DUMMYFUNCTION("""COMPUTED_VALUE"""),1)</f>
        <v>1</v>
      </c>
      <c r="H2151" s="206"/>
      <c r="I2151" s="206">
        <v>149.55000000000001</v>
      </c>
      <c r="J2151" s="206"/>
      <c r="K2151" s="206" t="s">
        <v>121</v>
      </c>
      <c r="L2151" s="206" t="str">
        <v xml:space="preserve"> 149.55</v>
      </c>
      <c r="M2151" s="206" t="str">
        <v/>
      </c>
    </row>
    <row r="2152" spans="1:13" ht="14.4">
      <c r="A2152" s="201" t="str">
        <f ca="1">IFERROR(__xludf.DUMMYFUNCTION("""COMPUTED_VALUE"""),"THA")</f>
        <v>THA</v>
      </c>
      <c r="B2152" s="209" t="str">
        <f ca="1">IFERROR(__xludf.DUMMYFUNCTION("""COMPUTED_VALUE"""),"Ava Dunn")</f>
        <v>Ava Dunn</v>
      </c>
      <c r="C2152" s="201">
        <f ca="1">IFERROR(__xludf.DUMMYFUNCTION("""COMPUTED_VALUE"""),16)</f>
        <v>16</v>
      </c>
      <c r="D2152" s="201" t="str">
        <f ca="1">IFERROR(__xludf.DUMMYFUNCTION("""COMPUTED_VALUE"""),"G")</f>
        <v>G</v>
      </c>
      <c r="E2152" s="202" t="str">
        <f ca="1">IFERROR(__xludf.DUMMYFUNCTION("""COMPUTED_VALUE"""),"S")</f>
        <v>S</v>
      </c>
      <c r="F2152" s="210" t="str">
        <f ca="1">IFERROR(__xludf.DUMMYFUNCTION("""COMPUTED_VALUE"""),"S")</f>
        <v>S</v>
      </c>
      <c r="G2152" s="210">
        <f ca="1">IFERROR(__xludf.DUMMYFUNCTION("""COMPUTED_VALUE"""),1)</f>
        <v>1</v>
      </c>
      <c r="H2152" s="206">
        <v>219.55</v>
      </c>
      <c r="I2152" s="206"/>
      <c r="J2152" s="206" t="s">
        <v>121</v>
      </c>
      <c r="K2152" s="206"/>
      <c r="L2152" s="206" t="str">
        <v xml:space="preserve"> 219.55</v>
      </c>
      <c r="M2152" s="206" t="str">
        <v/>
      </c>
    </row>
    <row r="2153" spans="1:13" ht="14.4">
      <c r="A2153" s="201" t="str">
        <f ca="1">IFERROR(__xludf.DUMMYFUNCTION("""COMPUTED_VALUE"""),"THA")</f>
        <v>THA</v>
      </c>
      <c r="B2153" s="209" t="str">
        <f ca="1">IFERROR(__xludf.DUMMYFUNCTION("""COMPUTED_VALUE"""),"Emily Gamber")</f>
        <v>Emily Gamber</v>
      </c>
      <c r="C2153" s="201">
        <f ca="1">IFERROR(__xludf.DUMMYFUNCTION("""COMPUTED_VALUE"""),16)</f>
        <v>16</v>
      </c>
      <c r="D2153" s="201" t="str">
        <f ca="1">IFERROR(__xludf.DUMMYFUNCTION("""COMPUTED_VALUE"""),"G")</f>
        <v>G</v>
      </c>
      <c r="E2153" s="202" t="str">
        <f ca="1">IFERROR(__xludf.DUMMYFUNCTION("""COMPUTED_VALUE"""),"S")</f>
        <v>S</v>
      </c>
      <c r="F2153" s="210" t="str">
        <f ca="1">IFERROR(__xludf.DUMMYFUNCTION("""COMPUTED_VALUE"""),"S")</f>
        <v>S</v>
      </c>
      <c r="G2153" s="210">
        <f ca="1">IFERROR(__xludf.DUMMYFUNCTION("""COMPUTED_VALUE"""),1)</f>
        <v>1</v>
      </c>
      <c r="H2153" s="206">
        <v>120.2</v>
      </c>
      <c r="I2153" s="206"/>
      <c r="J2153" s="206" t="s">
        <v>121</v>
      </c>
      <c r="K2153" s="206"/>
      <c r="L2153" s="206" t="str">
        <v xml:space="preserve"> 120.2</v>
      </c>
      <c r="M2153" s="206" t="str">
        <v/>
      </c>
    </row>
    <row r="2154" spans="1:13" ht="14.4">
      <c r="A2154" s="201" t="str">
        <f ca="1">IFERROR(__xludf.DUMMYFUNCTION("""COMPUTED_VALUE"""),"THA")</f>
        <v>THA</v>
      </c>
      <c r="B2154" s="209" t="str">
        <f ca="1">IFERROR(__xludf.DUMMYFUNCTION("""COMPUTED_VALUE"""),"Minh Donnell")</f>
        <v>Minh Donnell</v>
      </c>
      <c r="C2154" s="201">
        <f ca="1">IFERROR(__xludf.DUMMYFUNCTION("""COMPUTED_VALUE"""),18)</f>
        <v>18</v>
      </c>
      <c r="D2154" s="201" t="str">
        <f ca="1">IFERROR(__xludf.DUMMYFUNCTION("""COMPUTED_VALUE"""),"G")</f>
        <v>G</v>
      </c>
      <c r="E2154" s="202" t="str">
        <f ca="1">IFERROR(__xludf.DUMMYFUNCTION("""COMPUTED_VALUE"""),"S")</f>
        <v>S</v>
      </c>
      <c r="F2154" s="210" t="str">
        <f ca="1">IFERROR(__xludf.DUMMYFUNCTION("""COMPUTED_VALUE"""),"S")</f>
        <v>S</v>
      </c>
      <c r="G2154" s="210">
        <f ca="1">IFERROR(__xludf.DUMMYFUNCTION("""COMPUTED_VALUE"""),1)</f>
        <v>1</v>
      </c>
      <c r="H2154" s="206"/>
      <c r="I2154" s="206"/>
      <c r="J2154" s="206"/>
      <c r="K2154" s="206"/>
      <c r="L2154" s="206" t="str">
        <v/>
      </c>
      <c r="M2154" s="206" t="str">
        <v/>
      </c>
    </row>
    <row r="2155" spans="1:13" ht="14.4">
      <c r="A2155" s="201" t="str">
        <f ca="1">IFERROR(__xludf.DUMMYFUNCTION("""COMPUTED_VALUE"""),"VW")</f>
        <v>VW</v>
      </c>
      <c r="B2155" s="209" t="str">
        <f ca="1">IFERROR(__xludf.DUMMYFUNCTION("""COMPUTED_VALUE"""),"Aiden Richmond")</f>
        <v>Aiden Richmond</v>
      </c>
      <c r="C2155" s="201">
        <f ca="1">IFERROR(__xludf.DUMMYFUNCTION("""COMPUTED_VALUE"""),10)</f>
        <v>10</v>
      </c>
      <c r="D2155" s="201" t="str">
        <f ca="1">IFERROR(__xludf.DUMMYFUNCTION("""COMPUTED_VALUE"""),"B")</f>
        <v>B</v>
      </c>
      <c r="E2155" s="202" t="str">
        <f ca="1">IFERROR(__xludf.DUMMYFUNCTION("""COMPUTED_VALUE"""),"F")</f>
        <v>F</v>
      </c>
      <c r="F2155" s="210" t="str">
        <f ca="1">IFERROR(__xludf.DUMMYFUNCTION("""COMPUTED_VALUE"""),"J")</f>
        <v>J</v>
      </c>
      <c r="G2155" s="210">
        <f ca="1">IFERROR(__xludf.DUMMYFUNCTION("""COMPUTED_VALUE"""),1)</f>
        <v>1</v>
      </c>
      <c r="H2155" s="206"/>
      <c r="I2155" s="206"/>
      <c r="J2155" s="206"/>
      <c r="K2155" s="206"/>
      <c r="L2155" s="206" t="str">
        <v/>
      </c>
      <c r="M2155" s="206" t="str">
        <v/>
      </c>
    </row>
    <row r="2156" spans="1:13" ht="14.4">
      <c r="A2156" s="201" t="str">
        <f ca="1">IFERROR(__xludf.DUMMYFUNCTION("""COMPUTED_VALUE"""),"VW")</f>
        <v>VW</v>
      </c>
      <c r="B2156" s="209" t="str">
        <f ca="1">IFERROR(__xludf.DUMMYFUNCTION("""COMPUTED_VALUE"""),"Chase Kitchell")</f>
        <v>Chase Kitchell</v>
      </c>
      <c r="C2156" s="201">
        <f ca="1">IFERROR(__xludf.DUMMYFUNCTION("""COMPUTED_VALUE"""),10)</f>
        <v>10</v>
      </c>
      <c r="D2156" s="201" t="str">
        <f ca="1">IFERROR(__xludf.DUMMYFUNCTION("""COMPUTED_VALUE"""),"B")</f>
        <v>B</v>
      </c>
      <c r="E2156" s="202" t="str">
        <f ca="1">IFERROR(__xludf.DUMMYFUNCTION("""COMPUTED_VALUE"""),"F")</f>
        <v>F</v>
      </c>
      <c r="F2156" s="210" t="str">
        <f ca="1">IFERROR(__xludf.DUMMYFUNCTION("""COMPUTED_VALUE"""),"J")</f>
        <v>J</v>
      </c>
      <c r="G2156" s="210">
        <f ca="1">IFERROR(__xludf.DUMMYFUNCTION("""COMPUTED_VALUE"""),1)</f>
        <v>1</v>
      </c>
      <c r="H2156" s="206"/>
      <c r="I2156" s="206"/>
      <c r="J2156" s="206"/>
      <c r="K2156" s="206"/>
      <c r="L2156" s="206" t="str">
        <v/>
      </c>
      <c r="M2156" s="206" t="str">
        <v/>
      </c>
    </row>
    <row r="2157" spans="1:13" ht="14.4">
      <c r="A2157" s="201" t="str">
        <f ca="1">IFERROR(__xludf.DUMMYFUNCTION("""COMPUTED_VALUE"""),"VW")</f>
        <v>VW</v>
      </c>
      <c r="B2157" s="209" t="str">
        <f ca="1">IFERROR(__xludf.DUMMYFUNCTION("""COMPUTED_VALUE"""),"Chase Pellazar")</f>
        <v>Chase Pellazar</v>
      </c>
      <c r="C2157" s="201">
        <f ca="1">IFERROR(__xludf.DUMMYFUNCTION("""COMPUTED_VALUE"""),8)</f>
        <v>8</v>
      </c>
      <c r="D2157" s="201" t="str">
        <f ca="1">IFERROR(__xludf.DUMMYFUNCTION("""COMPUTED_VALUE"""),"B")</f>
        <v>B</v>
      </c>
      <c r="E2157" s="202" t="str">
        <f ca="1">IFERROR(__xludf.DUMMYFUNCTION("""COMPUTED_VALUE"""),"F")</f>
        <v>F</v>
      </c>
      <c r="F2157" s="210" t="str">
        <f ca="1">IFERROR(__xludf.DUMMYFUNCTION("""COMPUTED_VALUE"""),"J")</f>
        <v>J</v>
      </c>
      <c r="G2157" s="210">
        <f ca="1">IFERROR(__xludf.DUMMYFUNCTION("""COMPUTED_VALUE"""),1)</f>
        <v>1</v>
      </c>
      <c r="H2157" s="206"/>
      <c r="I2157" s="206"/>
      <c r="J2157" s="206"/>
      <c r="K2157" s="206"/>
      <c r="L2157" s="206" t="str">
        <v/>
      </c>
      <c r="M2157" s="206" t="str">
        <v/>
      </c>
    </row>
    <row r="2158" spans="1:13" ht="14.4">
      <c r="A2158" s="201" t="str">
        <f ca="1">IFERROR(__xludf.DUMMYFUNCTION("""COMPUTED_VALUE"""),"VW")</f>
        <v>VW</v>
      </c>
      <c r="B2158" s="209" t="str">
        <f ca="1">IFERROR(__xludf.DUMMYFUNCTION("""COMPUTED_VALUE"""),"Harrison Knight")</f>
        <v>Harrison Knight</v>
      </c>
      <c r="C2158" s="201">
        <f ca="1">IFERROR(__xludf.DUMMYFUNCTION("""COMPUTED_VALUE"""),6)</f>
        <v>6</v>
      </c>
      <c r="D2158" s="201" t="str">
        <f ca="1">IFERROR(__xludf.DUMMYFUNCTION("""COMPUTED_VALUE"""),"B")</f>
        <v>B</v>
      </c>
      <c r="E2158" s="202" t="str">
        <f ca="1">IFERROR(__xludf.DUMMYFUNCTION("""COMPUTED_VALUE"""),"F")</f>
        <v>F</v>
      </c>
      <c r="F2158" s="210" t="str">
        <f ca="1">IFERROR(__xludf.DUMMYFUNCTION("""COMPUTED_VALUE"""),"J")</f>
        <v>J</v>
      </c>
      <c r="G2158" s="210">
        <f ca="1">IFERROR(__xludf.DUMMYFUNCTION("""COMPUTED_VALUE"""),1)</f>
        <v>1</v>
      </c>
      <c r="H2158" s="206"/>
      <c r="I2158" s="206"/>
      <c r="J2158" s="206"/>
      <c r="K2158" s="206"/>
      <c r="L2158" s="206" t="str">
        <v/>
      </c>
      <c r="M2158" s="206" t="str">
        <v/>
      </c>
    </row>
    <row r="2159" spans="1:13" ht="14.4">
      <c r="A2159" s="201" t="str">
        <f ca="1">IFERROR(__xludf.DUMMYFUNCTION("""COMPUTED_VALUE"""),"VW")</f>
        <v>VW</v>
      </c>
      <c r="B2159" s="209" t="str">
        <f ca="1">IFERROR(__xludf.DUMMYFUNCTION("""COMPUTED_VALUE"""),"Noah Kim")</f>
        <v>Noah Kim</v>
      </c>
      <c r="C2159" s="201">
        <f ca="1">IFERROR(__xludf.DUMMYFUNCTION("""COMPUTED_VALUE"""),10)</f>
        <v>10</v>
      </c>
      <c r="D2159" s="201" t="str">
        <f ca="1">IFERROR(__xludf.DUMMYFUNCTION("""COMPUTED_VALUE"""),"B")</f>
        <v>B</v>
      </c>
      <c r="E2159" s="202" t="str">
        <f ca="1">IFERROR(__xludf.DUMMYFUNCTION("""COMPUTED_VALUE"""),"F")</f>
        <v>F</v>
      </c>
      <c r="F2159" s="210" t="str">
        <f ca="1">IFERROR(__xludf.DUMMYFUNCTION("""COMPUTED_VALUE"""),"J")</f>
        <v>J</v>
      </c>
      <c r="G2159" s="210">
        <f ca="1">IFERROR(__xludf.DUMMYFUNCTION("""COMPUTED_VALUE"""),1)</f>
        <v>1</v>
      </c>
      <c r="H2159" s="206"/>
      <c r="I2159" s="206">
        <v>57.2</v>
      </c>
      <c r="J2159" s="206"/>
      <c r="K2159" s="206" t="s">
        <v>121</v>
      </c>
      <c r="L2159" s="206" t="str">
        <v xml:space="preserve"> 57.2</v>
      </c>
      <c r="M2159" s="206" t="str">
        <v/>
      </c>
    </row>
    <row r="2160" spans="1:13" ht="14.4">
      <c r="A2160" s="201" t="str">
        <f ca="1">IFERROR(__xludf.DUMMYFUNCTION("""COMPUTED_VALUE"""),"VW")</f>
        <v>VW</v>
      </c>
      <c r="B2160" s="209" t="str">
        <f ca="1">IFERROR(__xludf.DUMMYFUNCTION("""COMPUTED_VALUE"""),"Robert Markley")</f>
        <v>Robert Markley</v>
      </c>
      <c r="C2160" s="201">
        <f ca="1">IFERROR(__xludf.DUMMYFUNCTION("""COMPUTED_VALUE"""),6)</f>
        <v>6</v>
      </c>
      <c r="D2160" s="201" t="str">
        <f ca="1">IFERROR(__xludf.DUMMYFUNCTION("""COMPUTED_VALUE"""),"B")</f>
        <v>B</v>
      </c>
      <c r="E2160" s="202" t="str">
        <f ca="1">IFERROR(__xludf.DUMMYFUNCTION("""COMPUTED_VALUE"""),"F")</f>
        <v>F</v>
      </c>
      <c r="F2160" s="210" t="str">
        <f ca="1">IFERROR(__xludf.DUMMYFUNCTION("""COMPUTED_VALUE"""),"J")</f>
        <v>J</v>
      </c>
      <c r="G2160" s="210">
        <f ca="1">IFERROR(__xludf.DUMMYFUNCTION("""COMPUTED_VALUE"""),1)</f>
        <v>1</v>
      </c>
      <c r="H2160" s="206"/>
      <c r="I2160" s="206"/>
      <c r="J2160" s="206"/>
      <c r="K2160" s="206"/>
      <c r="L2160" s="206" t="str">
        <v/>
      </c>
      <c r="M2160" s="206" t="str">
        <v/>
      </c>
    </row>
    <row r="2161" spans="1:13" ht="14.4">
      <c r="A2161" s="201" t="str">
        <f ca="1">IFERROR(__xludf.DUMMYFUNCTION("""COMPUTED_VALUE"""),"VW")</f>
        <v>VW</v>
      </c>
      <c r="B2161" s="209" t="str">
        <f ca="1">IFERROR(__xludf.DUMMYFUNCTION("""COMPUTED_VALUE"""),"Ryan Hermann")</f>
        <v>Ryan Hermann</v>
      </c>
      <c r="C2161" s="201">
        <f ca="1">IFERROR(__xludf.DUMMYFUNCTION("""COMPUTED_VALUE"""),9)</f>
        <v>9</v>
      </c>
      <c r="D2161" s="201" t="str">
        <f ca="1">IFERROR(__xludf.DUMMYFUNCTION("""COMPUTED_VALUE"""),"B")</f>
        <v>B</v>
      </c>
      <c r="E2161" s="202" t="str">
        <f ca="1">IFERROR(__xludf.DUMMYFUNCTION("""COMPUTED_VALUE"""),"F")</f>
        <v>F</v>
      </c>
      <c r="F2161" s="210" t="str">
        <f ca="1">IFERROR(__xludf.DUMMYFUNCTION("""COMPUTED_VALUE"""),"J")</f>
        <v>J</v>
      </c>
      <c r="G2161" s="210">
        <f ca="1">IFERROR(__xludf.DUMMYFUNCTION("""COMPUTED_VALUE"""),1)</f>
        <v>1</v>
      </c>
      <c r="H2161" s="206"/>
      <c r="I2161" s="206">
        <v>38.700000000000003</v>
      </c>
      <c r="J2161" s="206"/>
      <c r="K2161" s="206" t="s">
        <v>121</v>
      </c>
      <c r="L2161" s="206" t="str">
        <v xml:space="preserve"> 38.7</v>
      </c>
      <c r="M2161" s="206" t="str">
        <v/>
      </c>
    </row>
    <row r="2162" spans="1:13" ht="14.4">
      <c r="A2162" s="201" t="str">
        <f ca="1">IFERROR(__xludf.DUMMYFUNCTION("""COMPUTED_VALUE"""),"VW")</f>
        <v>VW</v>
      </c>
      <c r="B2162" s="209" t="str">
        <f ca="1">IFERROR(__xludf.DUMMYFUNCTION("""COMPUTED_VALUE"""),"Theodore Hathaway")</f>
        <v>Theodore Hathaway</v>
      </c>
      <c r="C2162" s="201">
        <f ca="1">IFERROR(__xludf.DUMMYFUNCTION("""COMPUTED_VALUE"""),10)</f>
        <v>10</v>
      </c>
      <c r="D2162" s="201" t="str">
        <f ca="1">IFERROR(__xludf.DUMMYFUNCTION("""COMPUTED_VALUE"""),"B")</f>
        <v>B</v>
      </c>
      <c r="E2162" s="202" t="str">
        <f ca="1">IFERROR(__xludf.DUMMYFUNCTION("""COMPUTED_VALUE"""),"F")</f>
        <v>F</v>
      </c>
      <c r="F2162" s="210" t="str">
        <f ca="1">IFERROR(__xludf.DUMMYFUNCTION("""COMPUTED_VALUE"""),"J")</f>
        <v>J</v>
      </c>
      <c r="G2162" s="210">
        <f ca="1">IFERROR(__xludf.DUMMYFUNCTION("""COMPUTED_VALUE"""),1)</f>
        <v>1</v>
      </c>
      <c r="H2162" s="206"/>
      <c r="I2162" s="206">
        <v>55.1</v>
      </c>
      <c r="J2162" s="206"/>
      <c r="K2162" s="206" t="s">
        <v>121</v>
      </c>
      <c r="L2162" s="206" t="str">
        <v xml:space="preserve"> 55.1</v>
      </c>
      <c r="M2162" s="206" t="str">
        <v/>
      </c>
    </row>
    <row r="2163" spans="1:13" ht="14.4">
      <c r="A2163" s="201" t="str">
        <f ca="1">IFERROR(__xludf.DUMMYFUNCTION("""COMPUTED_VALUE"""),"VW")</f>
        <v>VW</v>
      </c>
      <c r="B2163" s="209" t="str">
        <f ca="1">IFERROR(__xludf.DUMMYFUNCTION("""COMPUTED_VALUE"""),"Timothy Hazzard")</f>
        <v>Timothy Hazzard</v>
      </c>
      <c r="C2163" s="201">
        <f ca="1">IFERROR(__xludf.DUMMYFUNCTION("""COMPUTED_VALUE"""),10)</f>
        <v>10</v>
      </c>
      <c r="D2163" s="201" t="str">
        <f ca="1">IFERROR(__xludf.DUMMYFUNCTION("""COMPUTED_VALUE"""),"B")</f>
        <v>B</v>
      </c>
      <c r="E2163" s="202" t="str">
        <f ca="1">IFERROR(__xludf.DUMMYFUNCTION("""COMPUTED_VALUE"""),"F")</f>
        <v>F</v>
      </c>
      <c r="F2163" s="210" t="str">
        <f ca="1">IFERROR(__xludf.DUMMYFUNCTION("""COMPUTED_VALUE"""),"J")</f>
        <v>J</v>
      </c>
      <c r="G2163" s="210">
        <f ca="1">IFERROR(__xludf.DUMMYFUNCTION("""COMPUTED_VALUE"""),1)</f>
        <v>1</v>
      </c>
      <c r="H2163" s="206"/>
      <c r="I2163" s="206">
        <v>41.65</v>
      </c>
      <c r="J2163" s="206"/>
      <c r="K2163" s="206" t="s">
        <v>121</v>
      </c>
      <c r="L2163" s="206" t="str">
        <v xml:space="preserve"> 41.65</v>
      </c>
      <c r="M2163" s="206" t="str">
        <v/>
      </c>
    </row>
    <row r="2164" spans="1:13" ht="14.4">
      <c r="A2164" s="201" t="str">
        <f ca="1">IFERROR(__xludf.DUMMYFUNCTION("""COMPUTED_VALUE"""),"VW")</f>
        <v>VW</v>
      </c>
      <c r="B2164" s="209" t="str">
        <f ca="1">IFERROR(__xludf.DUMMYFUNCTION("""COMPUTED_VALUE"""),"William Prendergast")</f>
        <v>William Prendergast</v>
      </c>
      <c r="C2164" s="201">
        <f ca="1">IFERROR(__xludf.DUMMYFUNCTION("""COMPUTED_VALUE"""),7)</f>
        <v>7</v>
      </c>
      <c r="D2164" s="201" t="str">
        <f ca="1">IFERROR(__xludf.DUMMYFUNCTION("""COMPUTED_VALUE"""),"B")</f>
        <v>B</v>
      </c>
      <c r="E2164" s="202" t="str">
        <f ca="1">IFERROR(__xludf.DUMMYFUNCTION("""COMPUTED_VALUE"""),"F")</f>
        <v>F</v>
      </c>
      <c r="F2164" s="210" t="str">
        <f ca="1">IFERROR(__xludf.DUMMYFUNCTION("""COMPUTED_VALUE"""),"J")</f>
        <v>J</v>
      </c>
      <c r="G2164" s="210">
        <f ca="1">IFERROR(__xludf.DUMMYFUNCTION("""COMPUTED_VALUE"""),1)</f>
        <v>1</v>
      </c>
      <c r="H2164" s="206"/>
      <c r="I2164" s="206"/>
      <c r="J2164" s="206"/>
      <c r="K2164" s="206"/>
      <c r="L2164" s="206" t="str">
        <v/>
      </c>
      <c r="M2164" s="206" t="str">
        <v/>
      </c>
    </row>
    <row r="2165" spans="1:13" ht="14.4">
      <c r="A2165" s="201" t="str">
        <f ca="1">IFERROR(__xludf.DUMMYFUNCTION("""COMPUTED_VALUE"""),"VW")</f>
        <v>VW</v>
      </c>
      <c r="B2165" s="209" t="str">
        <f ca="1">IFERROR(__xludf.DUMMYFUNCTION("""COMPUTED_VALUE"""),"Alexys Kalinock")</f>
        <v>Alexys Kalinock</v>
      </c>
      <c r="C2165" s="201">
        <f ca="1">IFERROR(__xludf.DUMMYFUNCTION("""COMPUTED_VALUE"""),8)</f>
        <v>8</v>
      </c>
      <c r="D2165" s="201" t="str">
        <f ca="1">IFERROR(__xludf.DUMMYFUNCTION("""COMPUTED_VALUE"""),"G")</f>
        <v>G</v>
      </c>
      <c r="E2165" s="202" t="str">
        <f ca="1">IFERROR(__xludf.DUMMYFUNCTION("""COMPUTED_VALUE"""),"F")</f>
        <v>F</v>
      </c>
      <c r="F2165" s="210" t="str">
        <f ca="1">IFERROR(__xludf.DUMMYFUNCTION("""COMPUTED_VALUE"""),"J")</f>
        <v>J</v>
      </c>
      <c r="G2165" s="210">
        <f ca="1">IFERROR(__xludf.DUMMYFUNCTION("""COMPUTED_VALUE"""),1)</f>
        <v>1</v>
      </c>
      <c r="H2165" s="206"/>
      <c r="I2165" s="206"/>
      <c r="J2165" s="206"/>
      <c r="K2165" s="206"/>
      <c r="L2165" s="206" t="str">
        <v/>
      </c>
      <c r="M2165" s="206" t="str">
        <v/>
      </c>
    </row>
    <row r="2166" spans="1:13" ht="14.4">
      <c r="A2166" s="201" t="str">
        <f ca="1">IFERROR(__xludf.DUMMYFUNCTION("""COMPUTED_VALUE"""),"VW")</f>
        <v>VW</v>
      </c>
      <c r="B2166" s="209" t="str">
        <f ca="1">IFERROR(__xludf.DUMMYFUNCTION("""COMPUTED_VALUE"""),"Avery Conforti")</f>
        <v>Avery Conforti</v>
      </c>
      <c r="C2166" s="201">
        <f ca="1">IFERROR(__xludf.DUMMYFUNCTION("""COMPUTED_VALUE"""),8)</f>
        <v>8</v>
      </c>
      <c r="D2166" s="201" t="str">
        <f ca="1">IFERROR(__xludf.DUMMYFUNCTION("""COMPUTED_VALUE"""),"G")</f>
        <v>G</v>
      </c>
      <c r="E2166" s="202" t="str">
        <f ca="1">IFERROR(__xludf.DUMMYFUNCTION("""COMPUTED_VALUE"""),"F")</f>
        <v>F</v>
      </c>
      <c r="F2166" s="210" t="str">
        <f ca="1">IFERROR(__xludf.DUMMYFUNCTION("""COMPUTED_VALUE"""),"J")</f>
        <v>J</v>
      </c>
      <c r="G2166" s="210">
        <f ca="1">IFERROR(__xludf.DUMMYFUNCTION("""COMPUTED_VALUE"""),1)</f>
        <v>1</v>
      </c>
      <c r="H2166" s="206"/>
      <c r="I2166" s="206"/>
      <c r="J2166" s="206"/>
      <c r="K2166" s="206"/>
      <c r="L2166" s="206" t="str">
        <v/>
      </c>
      <c r="M2166" s="206" t="str">
        <v/>
      </c>
    </row>
    <row r="2167" spans="1:13" ht="14.4">
      <c r="A2167" s="201" t="str">
        <f ca="1">IFERROR(__xludf.DUMMYFUNCTION("""COMPUTED_VALUE"""),"VW")</f>
        <v>VW</v>
      </c>
      <c r="B2167" s="209" t="str">
        <f ca="1">IFERROR(__xludf.DUMMYFUNCTION("""COMPUTED_VALUE"""),"AVERY O'Brien")</f>
        <v>AVERY O'Brien</v>
      </c>
      <c r="C2167" s="201">
        <f ca="1">IFERROR(__xludf.DUMMYFUNCTION("""COMPUTED_VALUE"""),9)</f>
        <v>9</v>
      </c>
      <c r="D2167" s="201" t="str">
        <f ca="1">IFERROR(__xludf.DUMMYFUNCTION("""COMPUTED_VALUE"""),"G")</f>
        <v>G</v>
      </c>
      <c r="E2167" s="202" t="str">
        <f ca="1">IFERROR(__xludf.DUMMYFUNCTION("""COMPUTED_VALUE"""),"F")</f>
        <v>F</v>
      </c>
      <c r="F2167" s="210" t="str">
        <f ca="1">IFERROR(__xludf.DUMMYFUNCTION("""COMPUTED_VALUE"""),"J")</f>
        <v>J</v>
      </c>
      <c r="G2167" s="210">
        <f ca="1">IFERROR(__xludf.DUMMYFUNCTION("""COMPUTED_VALUE"""),1)</f>
        <v>1</v>
      </c>
      <c r="H2167" s="206"/>
      <c r="I2167" s="206"/>
      <c r="J2167" s="206"/>
      <c r="K2167" s="206"/>
      <c r="L2167" s="206" t="str">
        <v/>
      </c>
      <c r="M2167" s="206" t="str">
        <v/>
      </c>
    </row>
    <row r="2168" spans="1:13" ht="14.4">
      <c r="A2168" s="201" t="str">
        <f ca="1">IFERROR(__xludf.DUMMYFUNCTION("""COMPUTED_VALUE"""),"VW")</f>
        <v>VW</v>
      </c>
      <c r="B2168" s="209" t="str">
        <f ca="1">IFERROR(__xludf.DUMMYFUNCTION("""COMPUTED_VALUE"""),"Charlotte Aloisi")</f>
        <v>Charlotte Aloisi</v>
      </c>
      <c r="C2168" s="201">
        <f ca="1">IFERROR(__xludf.DUMMYFUNCTION("""COMPUTED_VALUE"""),9)</f>
        <v>9</v>
      </c>
      <c r="D2168" s="201" t="str">
        <f ca="1">IFERROR(__xludf.DUMMYFUNCTION("""COMPUTED_VALUE"""),"G")</f>
        <v>G</v>
      </c>
      <c r="E2168" s="202" t="str">
        <f ca="1">IFERROR(__xludf.DUMMYFUNCTION("""COMPUTED_VALUE"""),"F")</f>
        <v>F</v>
      </c>
      <c r="F2168" s="210" t="str">
        <f ca="1">IFERROR(__xludf.DUMMYFUNCTION("""COMPUTED_VALUE"""),"J")</f>
        <v>J</v>
      </c>
      <c r="G2168" s="210">
        <f ca="1">IFERROR(__xludf.DUMMYFUNCTION("""COMPUTED_VALUE"""),1)</f>
        <v>1</v>
      </c>
      <c r="H2168" s="206"/>
      <c r="I2168" s="206"/>
      <c r="J2168" s="206"/>
      <c r="K2168" s="206"/>
      <c r="L2168" s="206" t="str">
        <v/>
      </c>
      <c r="M2168" s="206" t="str">
        <v/>
      </c>
    </row>
    <row r="2169" spans="1:13" ht="14.4">
      <c r="A2169" s="201" t="str">
        <f ca="1">IFERROR(__xludf.DUMMYFUNCTION("""COMPUTED_VALUE"""),"VW")</f>
        <v>VW</v>
      </c>
      <c r="B2169" s="209" t="str">
        <f ca="1">IFERROR(__xludf.DUMMYFUNCTION("""COMPUTED_VALUE"""),"Claire Keating")</f>
        <v>Claire Keating</v>
      </c>
      <c r="C2169" s="201">
        <f ca="1">IFERROR(__xludf.DUMMYFUNCTION("""COMPUTED_VALUE"""),8)</f>
        <v>8</v>
      </c>
      <c r="D2169" s="201" t="str">
        <f ca="1">IFERROR(__xludf.DUMMYFUNCTION("""COMPUTED_VALUE"""),"G")</f>
        <v>G</v>
      </c>
      <c r="E2169" s="202" t="str">
        <f ca="1">IFERROR(__xludf.DUMMYFUNCTION("""COMPUTED_VALUE"""),"F")</f>
        <v>F</v>
      </c>
      <c r="F2169" s="210" t="str">
        <f ca="1">IFERROR(__xludf.DUMMYFUNCTION("""COMPUTED_VALUE"""),"J")</f>
        <v>J</v>
      </c>
      <c r="G2169" s="210">
        <f ca="1">IFERROR(__xludf.DUMMYFUNCTION("""COMPUTED_VALUE"""),1)</f>
        <v>1</v>
      </c>
      <c r="H2169" s="206">
        <v>39.799999999999997</v>
      </c>
      <c r="I2169" s="206"/>
      <c r="J2169" s="206" t="s">
        <v>121</v>
      </c>
      <c r="K2169" s="206"/>
      <c r="L2169" s="206" t="str">
        <v xml:space="preserve"> 39.8</v>
      </c>
      <c r="M2169" s="206" t="str">
        <v/>
      </c>
    </row>
    <row r="2170" spans="1:13" ht="14.4">
      <c r="A2170" s="201" t="str">
        <f ca="1">IFERROR(__xludf.DUMMYFUNCTION("""COMPUTED_VALUE"""),"VW")</f>
        <v>VW</v>
      </c>
      <c r="B2170" s="209" t="str">
        <f ca="1">IFERROR(__xludf.DUMMYFUNCTION("""COMPUTED_VALUE"""),"Harper Knight")</f>
        <v>Harper Knight</v>
      </c>
      <c r="C2170" s="201">
        <f ca="1">IFERROR(__xludf.DUMMYFUNCTION("""COMPUTED_VALUE"""),9)</f>
        <v>9</v>
      </c>
      <c r="D2170" s="201" t="str">
        <f ca="1">IFERROR(__xludf.DUMMYFUNCTION("""COMPUTED_VALUE"""),"G")</f>
        <v>G</v>
      </c>
      <c r="E2170" s="202" t="str">
        <f ca="1">IFERROR(__xludf.DUMMYFUNCTION("""COMPUTED_VALUE"""),"F")</f>
        <v>F</v>
      </c>
      <c r="F2170" s="210" t="str">
        <f ca="1">IFERROR(__xludf.DUMMYFUNCTION("""COMPUTED_VALUE"""),"J")</f>
        <v>J</v>
      </c>
      <c r="G2170" s="210">
        <f ca="1">IFERROR(__xludf.DUMMYFUNCTION("""COMPUTED_VALUE"""),1)</f>
        <v>1</v>
      </c>
      <c r="H2170" s="206"/>
      <c r="I2170" s="206"/>
      <c r="J2170" s="206"/>
      <c r="K2170" s="206"/>
      <c r="L2170" s="206" t="str">
        <v/>
      </c>
      <c r="M2170" s="206" t="str">
        <v/>
      </c>
    </row>
    <row r="2171" spans="1:13" ht="14.4">
      <c r="A2171" s="201" t="str">
        <f ca="1">IFERROR(__xludf.DUMMYFUNCTION("""COMPUTED_VALUE"""),"VW")</f>
        <v>VW</v>
      </c>
      <c r="B2171" s="209" t="str">
        <f ca="1">IFERROR(__xludf.DUMMYFUNCTION("""COMPUTED_VALUE"""),"Isabella Prendergast")</f>
        <v>Isabella Prendergast</v>
      </c>
      <c r="C2171" s="201">
        <f ca="1">IFERROR(__xludf.DUMMYFUNCTION("""COMPUTED_VALUE"""),9)</f>
        <v>9</v>
      </c>
      <c r="D2171" s="201" t="str">
        <f ca="1">IFERROR(__xludf.DUMMYFUNCTION("""COMPUTED_VALUE"""),"G")</f>
        <v>G</v>
      </c>
      <c r="E2171" s="202" t="str">
        <f ca="1">IFERROR(__xludf.DUMMYFUNCTION("""COMPUTED_VALUE"""),"F")</f>
        <v>F</v>
      </c>
      <c r="F2171" s="210" t="str">
        <f ca="1">IFERROR(__xludf.DUMMYFUNCTION("""COMPUTED_VALUE"""),"J")</f>
        <v>J</v>
      </c>
      <c r="G2171" s="210">
        <f ca="1">IFERROR(__xludf.DUMMYFUNCTION("""COMPUTED_VALUE"""),1)</f>
        <v>1</v>
      </c>
      <c r="H2171" s="206"/>
      <c r="I2171" s="206"/>
      <c r="J2171" s="206"/>
      <c r="K2171" s="206"/>
      <c r="L2171" s="206" t="str">
        <v/>
      </c>
      <c r="M2171" s="206" t="str">
        <v/>
      </c>
    </row>
    <row r="2172" spans="1:13" ht="14.4">
      <c r="A2172" s="201" t="str">
        <f ca="1">IFERROR(__xludf.DUMMYFUNCTION("""COMPUTED_VALUE"""),"VW")</f>
        <v>VW</v>
      </c>
      <c r="B2172" s="209" t="str">
        <f ca="1">IFERROR(__xludf.DUMMYFUNCTION("""COMPUTED_VALUE"""),"Kylie O'Brien")</f>
        <v>Kylie O'Brien</v>
      </c>
      <c r="C2172" s="201">
        <f ca="1">IFERROR(__xludf.DUMMYFUNCTION("""COMPUTED_VALUE"""),5)</f>
        <v>5</v>
      </c>
      <c r="D2172" s="201" t="str">
        <f ca="1">IFERROR(__xludf.DUMMYFUNCTION("""COMPUTED_VALUE"""),"G")</f>
        <v>G</v>
      </c>
      <c r="E2172" s="202" t="str">
        <f ca="1">IFERROR(__xludf.DUMMYFUNCTION("""COMPUTED_VALUE"""),"F")</f>
        <v>F</v>
      </c>
      <c r="F2172" s="210" t="str">
        <f ca="1">IFERROR(__xludf.DUMMYFUNCTION("""COMPUTED_VALUE"""),"J")</f>
        <v>J</v>
      </c>
      <c r="G2172" s="210">
        <f ca="1">IFERROR(__xludf.DUMMYFUNCTION("""COMPUTED_VALUE"""),1)</f>
        <v>1</v>
      </c>
      <c r="H2172" s="206"/>
      <c r="I2172" s="206"/>
      <c r="J2172" s="206"/>
      <c r="K2172" s="206"/>
      <c r="L2172" s="206" t="str">
        <v/>
      </c>
      <c r="M2172" s="206" t="str">
        <v/>
      </c>
    </row>
    <row r="2173" spans="1:13" ht="14.4">
      <c r="A2173" s="201" t="str">
        <f ca="1">IFERROR(__xludf.DUMMYFUNCTION("""COMPUTED_VALUE"""),"VW")</f>
        <v>VW</v>
      </c>
      <c r="B2173" s="209" t="str">
        <f ca="1">IFERROR(__xludf.DUMMYFUNCTION("""COMPUTED_VALUE"""),"Libby Wigglesworth")</f>
        <v>Libby Wigglesworth</v>
      </c>
      <c r="C2173" s="201">
        <f ca="1">IFERROR(__xludf.DUMMYFUNCTION("""COMPUTED_VALUE"""),9)</f>
        <v>9</v>
      </c>
      <c r="D2173" s="201" t="str">
        <f ca="1">IFERROR(__xludf.DUMMYFUNCTION("""COMPUTED_VALUE"""),"G")</f>
        <v>G</v>
      </c>
      <c r="E2173" s="202" t="str">
        <f ca="1">IFERROR(__xludf.DUMMYFUNCTION("""COMPUTED_VALUE"""),"F")</f>
        <v>F</v>
      </c>
      <c r="F2173" s="210" t="str">
        <f ca="1">IFERROR(__xludf.DUMMYFUNCTION("""COMPUTED_VALUE"""),"J")</f>
        <v>J</v>
      </c>
      <c r="G2173" s="210">
        <f ca="1">IFERROR(__xludf.DUMMYFUNCTION("""COMPUTED_VALUE"""),1)</f>
        <v>1</v>
      </c>
      <c r="H2173" s="206">
        <v>47.5</v>
      </c>
      <c r="I2173" s="206"/>
      <c r="J2173" s="206" t="s">
        <v>121</v>
      </c>
      <c r="K2173" s="206"/>
      <c r="L2173" s="206" t="str">
        <v xml:space="preserve"> 47.5</v>
      </c>
      <c r="M2173" s="206" t="str">
        <v/>
      </c>
    </row>
    <row r="2174" spans="1:13" ht="14.4">
      <c r="A2174" s="201" t="str">
        <f ca="1">IFERROR(__xludf.DUMMYFUNCTION("""COMPUTED_VALUE"""),"VW")</f>
        <v>VW</v>
      </c>
      <c r="B2174" s="209" t="str">
        <f ca="1">IFERROR(__xludf.DUMMYFUNCTION("""COMPUTED_VALUE"""),"Nelle David")</f>
        <v>Nelle David</v>
      </c>
      <c r="C2174" s="201">
        <f ca="1">IFERROR(__xludf.DUMMYFUNCTION("""COMPUTED_VALUE"""),10)</f>
        <v>10</v>
      </c>
      <c r="D2174" s="201" t="str">
        <f ca="1">IFERROR(__xludf.DUMMYFUNCTION("""COMPUTED_VALUE"""),"G")</f>
        <v>G</v>
      </c>
      <c r="E2174" s="202" t="str">
        <f ca="1">IFERROR(__xludf.DUMMYFUNCTION("""COMPUTED_VALUE"""),"F")</f>
        <v>F</v>
      </c>
      <c r="F2174" s="210" t="str">
        <f ca="1">IFERROR(__xludf.DUMMYFUNCTION("""COMPUTED_VALUE"""),"J")</f>
        <v>J</v>
      </c>
      <c r="G2174" s="210">
        <f ca="1">IFERROR(__xludf.DUMMYFUNCTION("""COMPUTED_VALUE"""),1)</f>
        <v>1</v>
      </c>
      <c r="H2174" s="206"/>
      <c r="I2174" s="206"/>
      <c r="J2174" s="206"/>
      <c r="K2174" s="206"/>
      <c r="L2174" s="206" t="str">
        <v/>
      </c>
      <c r="M2174" s="206" t="str">
        <v/>
      </c>
    </row>
    <row r="2175" spans="1:13" ht="14.4">
      <c r="A2175" s="201" t="str">
        <f ca="1">IFERROR(__xludf.DUMMYFUNCTION("""COMPUTED_VALUE"""),"VW")</f>
        <v>VW</v>
      </c>
      <c r="B2175" s="209" t="str">
        <f ca="1">IFERROR(__xludf.DUMMYFUNCTION("""COMPUTED_VALUE"""),"Reagan Nolan")</f>
        <v>Reagan Nolan</v>
      </c>
      <c r="C2175" s="201">
        <f ca="1">IFERROR(__xludf.DUMMYFUNCTION("""COMPUTED_VALUE"""),9)</f>
        <v>9</v>
      </c>
      <c r="D2175" s="201" t="str">
        <f ca="1">IFERROR(__xludf.DUMMYFUNCTION("""COMPUTED_VALUE"""),"G")</f>
        <v>G</v>
      </c>
      <c r="E2175" s="202" t="str">
        <f ca="1">IFERROR(__xludf.DUMMYFUNCTION("""COMPUTED_VALUE"""),"F")</f>
        <v>F</v>
      </c>
      <c r="F2175" s="210" t="str">
        <f ca="1">IFERROR(__xludf.DUMMYFUNCTION("""COMPUTED_VALUE"""),"J")</f>
        <v>J</v>
      </c>
      <c r="G2175" s="210">
        <f ca="1">IFERROR(__xludf.DUMMYFUNCTION("""COMPUTED_VALUE"""),1)</f>
        <v>1</v>
      </c>
      <c r="H2175" s="206">
        <v>48.9</v>
      </c>
      <c r="I2175" s="206"/>
      <c r="J2175" s="206" t="s">
        <v>121</v>
      </c>
      <c r="K2175" s="206"/>
      <c r="L2175" s="206" t="str">
        <v xml:space="preserve"> 48.9</v>
      </c>
      <c r="M2175" s="206" t="str">
        <v/>
      </c>
    </row>
    <row r="2176" spans="1:13" ht="14.4">
      <c r="A2176" s="201" t="str">
        <f ca="1">IFERROR(__xludf.DUMMYFUNCTION("""COMPUTED_VALUE"""),"VW")</f>
        <v>VW</v>
      </c>
      <c r="B2176" s="209" t="str">
        <f ca="1">IFERROR(__xludf.DUMMYFUNCTION("""COMPUTED_VALUE"""),"Regan Hathaway")</f>
        <v>Regan Hathaway</v>
      </c>
      <c r="C2176" s="201">
        <f ca="1">IFERROR(__xludf.DUMMYFUNCTION("""COMPUTED_VALUE"""),8)</f>
        <v>8</v>
      </c>
      <c r="D2176" s="201" t="str">
        <f ca="1">IFERROR(__xludf.DUMMYFUNCTION("""COMPUTED_VALUE"""),"G")</f>
        <v>G</v>
      </c>
      <c r="E2176" s="202" t="str">
        <f ca="1">IFERROR(__xludf.DUMMYFUNCTION("""COMPUTED_VALUE"""),"F")</f>
        <v>F</v>
      </c>
      <c r="F2176" s="210" t="str">
        <f ca="1">IFERROR(__xludf.DUMMYFUNCTION("""COMPUTED_VALUE"""),"J")</f>
        <v>J</v>
      </c>
      <c r="G2176" s="210">
        <f ca="1">IFERROR(__xludf.DUMMYFUNCTION("""COMPUTED_VALUE"""),1)</f>
        <v>1</v>
      </c>
      <c r="H2176" s="206"/>
      <c r="I2176" s="206"/>
      <c r="J2176" s="206"/>
      <c r="K2176" s="206"/>
      <c r="L2176" s="206" t="str">
        <v/>
      </c>
      <c r="M2176" s="206" t="str">
        <v/>
      </c>
    </row>
    <row r="2177" spans="1:13" ht="14.4">
      <c r="A2177" s="201" t="str">
        <f ca="1">IFERROR(__xludf.DUMMYFUNCTION("""COMPUTED_VALUE"""),"VW")</f>
        <v>VW</v>
      </c>
      <c r="B2177" s="209" t="str">
        <f ca="1">IFERROR(__xludf.DUMMYFUNCTION("""COMPUTED_VALUE"""),"Sarah Kim")</f>
        <v>Sarah Kim</v>
      </c>
      <c r="C2177" s="201">
        <f ca="1">IFERROR(__xludf.DUMMYFUNCTION("""COMPUTED_VALUE"""),8)</f>
        <v>8</v>
      </c>
      <c r="D2177" s="201" t="str">
        <f ca="1">IFERROR(__xludf.DUMMYFUNCTION("""COMPUTED_VALUE"""),"G")</f>
        <v>G</v>
      </c>
      <c r="E2177" s="202" t="str">
        <f ca="1">IFERROR(__xludf.DUMMYFUNCTION("""COMPUTED_VALUE"""),"F")</f>
        <v>F</v>
      </c>
      <c r="F2177" s="210" t="str">
        <f ca="1">IFERROR(__xludf.DUMMYFUNCTION("""COMPUTED_VALUE"""),"J")</f>
        <v>J</v>
      </c>
      <c r="G2177" s="210">
        <f ca="1">IFERROR(__xludf.DUMMYFUNCTION("""COMPUTED_VALUE"""),1)</f>
        <v>1</v>
      </c>
      <c r="H2177" s="206"/>
      <c r="I2177" s="206"/>
      <c r="J2177" s="206"/>
      <c r="K2177" s="206"/>
      <c r="L2177" s="206" t="str">
        <v/>
      </c>
      <c r="M2177" s="206" t="str">
        <v/>
      </c>
    </row>
    <row r="2178" spans="1:13" ht="14.4">
      <c r="A2178" s="201" t="str">
        <f ca="1">IFERROR(__xludf.DUMMYFUNCTION("""COMPUTED_VALUE"""),"VW")</f>
        <v>VW</v>
      </c>
      <c r="B2178" s="209" t="str">
        <f ca="1">IFERROR(__xludf.DUMMYFUNCTION("""COMPUTED_VALUE"""),"Dylan Kalinock")</f>
        <v>Dylan Kalinock</v>
      </c>
      <c r="C2178" s="201">
        <f ca="1">IFERROR(__xludf.DUMMYFUNCTION("""COMPUTED_VALUE"""),13)</f>
        <v>13</v>
      </c>
      <c r="D2178" s="201" t="str">
        <f ca="1">IFERROR(__xludf.DUMMYFUNCTION("""COMPUTED_VALUE"""),"B")</f>
        <v>B</v>
      </c>
      <c r="E2178" s="202" t="str">
        <f ca="1">IFERROR(__xludf.DUMMYFUNCTION("""COMPUTED_VALUE"""),"I")</f>
        <v>I</v>
      </c>
      <c r="F2178" s="210" t="str">
        <f ca="1">IFERROR(__xludf.DUMMYFUNCTION("""COMPUTED_VALUE"""),"S")</f>
        <v>S</v>
      </c>
      <c r="G2178" s="210">
        <f ca="1">IFERROR(__xludf.DUMMYFUNCTION("""COMPUTED_VALUE"""),1)</f>
        <v>1</v>
      </c>
      <c r="H2178" s="206"/>
      <c r="I2178" s="206">
        <v>113.05</v>
      </c>
      <c r="J2178" s="206"/>
      <c r="K2178" s="206" t="s">
        <v>121</v>
      </c>
      <c r="L2178" s="206" t="str">
        <v xml:space="preserve"> 113.05</v>
      </c>
      <c r="M2178" s="206" t="str">
        <v/>
      </c>
    </row>
    <row r="2179" spans="1:13" ht="14.4">
      <c r="A2179" s="201" t="str">
        <f ca="1">IFERROR(__xludf.DUMMYFUNCTION("""COMPUTED_VALUE"""),"VW")</f>
        <v>VW</v>
      </c>
      <c r="B2179" s="209" t="str">
        <f ca="1">IFERROR(__xludf.DUMMYFUNCTION("""COMPUTED_VALUE"""),"Dylan Paci")</f>
        <v>Dylan Paci</v>
      </c>
      <c r="C2179" s="201">
        <f ca="1">IFERROR(__xludf.DUMMYFUNCTION("""COMPUTED_VALUE"""),14)</f>
        <v>14</v>
      </c>
      <c r="D2179" s="201" t="str">
        <f ca="1">IFERROR(__xludf.DUMMYFUNCTION("""COMPUTED_VALUE"""),"B")</f>
        <v>B</v>
      </c>
      <c r="E2179" s="202" t="str">
        <f ca="1">IFERROR(__xludf.DUMMYFUNCTION("""COMPUTED_VALUE"""),"I")</f>
        <v>I</v>
      </c>
      <c r="F2179" s="210" t="str">
        <f ca="1">IFERROR(__xludf.DUMMYFUNCTION("""COMPUTED_VALUE"""),"S")</f>
        <v>S</v>
      </c>
      <c r="G2179" s="210">
        <f ca="1">IFERROR(__xludf.DUMMYFUNCTION("""COMPUTED_VALUE"""),1)</f>
        <v>1</v>
      </c>
      <c r="H2179" s="206"/>
      <c r="I2179" s="206">
        <v>139.94999999999999</v>
      </c>
      <c r="J2179" s="206"/>
      <c r="K2179" s="206" t="s">
        <v>121</v>
      </c>
      <c r="L2179" s="206" t="str">
        <v xml:space="preserve"> 139.95</v>
      </c>
      <c r="M2179" s="206" t="str">
        <v/>
      </c>
    </row>
    <row r="2180" spans="1:13" ht="14.4">
      <c r="A2180" s="201" t="str">
        <f ca="1">IFERROR(__xludf.DUMMYFUNCTION("""COMPUTED_VALUE"""),"VW")</f>
        <v>VW</v>
      </c>
      <c r="B2180" s="209" t="str">
        <f ca="1">IFERROR(__xludf.DUMMYFUNCTION("""COMPUTED_VALUE"""),"Ivor Brown")</f>
        <v>Ivor Brown</v>
      </c>
      <c r="C2180" s="201">
        <f ca="1">IFERROR(__xludf.DUMMYFUNCTION("""COMPUTED_VALUE"""),13)</f>
        <v>13</v>
      </c>
      <c r="D2180" s="201" t="str">
        <f ca="1">IFERROR(__xludf.DUMMYFUNCTION("""COMPUTED_VALUE"""),"B")</f>
        <v>B</v>
      </c>
      <c r="E2180" s="202" t="str">
        <f ca="1">IFERROR(__xludf.DUMMYFUNCTION("""COMPUTED_VALUE"""),"I")</f>
        <v>I</v>
      </c>
      <c r="F2180" s="210" t="str">
        <f ca="1">IFERROR(__xludf.DUMMYFUNCTION("""COMPUTED_VALUE"""),"S")</f>
        <v>S</v>
      </c>
      <c r="G2180" s="210">
        <f ca="1">IFERROR(__xludf.DUMMYFUNCTION("""COMPUTED_VALUE"""),1)</f>
        <v>1</v>
      </c>
      <c r="H2180" s="206"/>
      <c r="I2180" s="206">
        <v>176.15</v>
      </c>
      <c r="J2180" s="206"/>
      <c r="K2180" s="206" t="s">
        <v>121</v>
      </c>
      <c r="L2180" s="206" t="str">
        <v xml:space="preserve"> 176.15</v>
      </c>
      <c r="M2180" s="206" t="str">
        <v/>
      </c>
    </row>
    <row r="2181" spans="1:13" ht="14.4">
      <c r="A2181" s="201" t="str">
        <f ca="1">IFERROR(__xludf.DUMMYFUNCTION("""COMPUTED_VALUE"""),"VW")</f>
        <v>VW</v>
      </c>
      <c r="B2181" s="209" t="str">
        <f ca="1">IFERROR(__xludf.DUMMYFUNCTION("""COMPUTED_VALUE"""),"Jenna Walker")</f>
        <v>Jenna Walker</v>
      </c>
      <c r="C2181" s="201">
        <f ca="1">IFERROR(__xludf.DUMMYFUNCTION("""COMPUTED_VALUE"""),14)</f>
        <v>14</v>
      </c>
      <c r="D2181" s="201" t="str">
        <f ca="1">IFERROR(__xludf.DUMMYFUNCTION("""COMPUTED_VALUE"""),"G")</f>
        <v>G</v>
      </c>
      <c r="E2181" s="202" t="str">
        <f ca="1">IFERROR(__xludf.DUMMYFUNCTION("""COMPUTED_VALUE"""),"I")</f>
        <v>I</v>
      </c>
      <c r="F2181" s="210" t="str">
        <f ca="1">IFERROR(__xludf.DUMMYFUNCTION("""COMPUTED_VALUE"""),"S")</f>
        <v>S</v>
      </c>
      <c r="G2181" s="210">
        <f ca="1">IFERROR(__xludf.DUMMYFUNCTION("""COMPUTED_VALUE"""),1)</f>
        <v>1</v>
      </c>
      <c r="H2181" s="206">
        <v>96.15</v>
      </c>
      <c r="I2181" s="206"/>
      <c r="J2181" s="206" t="s">
        <v>121</v>
      </c>
      <c r="K2181" s="206"/>
      <c r="L2181" s="206" t="str">
        <v xml:space="preserve"> 96.15</v>
      </c>
      <c r="M2181" s="206" t="str">
        <v/>
      </c>
    </row>
    <row r="2182" spans="1:13" ht="14.4">
      <c r="A2182" s="201" t="str">
        <f ca="1">IFERROR(__xludf.DUMMYFUNCTION("""COMPUTED_VALUE"""),"VW")</f>
        <v>VW</v>
      </c>
      <c r="B2182" s="209" t="str">
        <f ca="1">IFERROR(__xludf.DUMMYFUNCTION("""COMPUTED_VALUE"""),"Marleigh daSilva")</f>
        <v>Marleigh daSilva</v>
      </c>
      <c r="C2182" s="201">
        <f ca="1">IFERROR(__xludf.DUMMYFUNCTION("""COMPUTED_VALUE"""),13)</f>
        <v>13</v>
      </c>
      <c r="D2182" s="201" t="str">
        <f ca="1">IFERROR(__xludf.DUMMYFUNCTION("""COMPUTED_VALUE"""),"G")</f>
        <v>G</v>
      </c>
      <c r="E2182" s="202" t="str">
        <f ca="1">IFERROR(__xludf.DUMMYFUNCTION("""COMPUTED_VALUE"""),"I")</f>
        <v>I</v>
      </c>
      <c r="F2182" s="210" t="str">
        <f ca="1">IFERROR(__xludf.DUMMYFUNCTION("""COMPUTED_VALUE"""),"S")</f>
        <v>S</v>
      </c>
      <c r="G2182" s="210">
        <f ca="1">IFERROR(__xludf.DUMMYFUNCTION("""COMPUTED_VALUE"""),1)</f>
        <v>1</v>
      </c>
      <c r="H2182" s="206">
        <v>184.7</v>
      </c>
      <c r="I2182" s="206"/>
      <c r="J2182" s="206" t="s">
        <v>121</v>
      </c>
      <c r="K2182" s="206"/>
      <c r="L2182" s="206" t="str">
        <v xml:space="preserve"> 184.7</v>
      </c>
      <c r="M2182" s="206" t="str">
        <v/>
      </c>
    </row>
    <row r="2183" spans="1:13" ht="14.4">
      <c r="A2183" s="201" t="str">
        <f ca="1">IFERROR(__xludf.DUMMYFUNCTION("""COMPUTED_VALUE"""),"VW")</f>
        <v>VW</v>
      </c>
      <c r="B2183" s="209" t="str">
        <f ca="1">IFERROR(__xludf.DUMMYFUNCTION("""COMPUTED_VALUE"""),"Declan Hathaway")</f>
        <v>Declan Hathaway</v>
      </c>
      <c r="C2183" s="201">
        <f ca="1">IFERROR(__xludf.DUMMYFUNCTION("""COMPUTED_VALUE"""),12)</f>
        <v>12</v>
      </c>
      <c r="D2183" s="201" t="str">
        <f ca="1">IFERROR(__xludf.DUMMYFUNCTION("""COMPUTED_VALUE"""),"B")</f>
        <v>B</v>
      </c>
      <c r="E2183" s="202" t="str">
        <f ca="1">IFERROR(__xludf.DUMMYFUNCTION("""COMPUTED_VALUE"""),"J")</f>
        <v>J</v>
      </c>
      <c r="F2183" s="210" t="str">
        <f ca="1">IFERROR(__xludf.DUMMYFUNCTION("""COMPUTED_VALUE"""),"I")</f>
        <v>I</v>
      </c>
      <c r="G2183" s="210">
        <f ca="1">IFERROR(__xludf.DUMMYFUNCTION("""COMPUTED_VALUE"""),1)</f>
        <v>1</v>
      </c>
      <c r="H2183" s="206"/>
      <c r="I2183" s="206">
        <v>71.75</v>
      </c>
      <c r="J2183" s="206"/>
      <c r="K2183" s="206" t="s">
        <v>121</v>
      </c>
      <c r="L2183" s="206" t="str">
        <v xml:space="preserve"> 71.75</v>
      </c>
      <c r="M2183" s="206" t="str">
        <v/>
      </c>
    </row>
    <row r="2184" spans="1:13" ht="14.4">
      <c r="A2184" s="201" t="str">
        <f ca="1">IFERROR(__xludf.DUMMYFUNCTION("""COMPUTED_VALUE"""),"VW")</f>
        <v>VW</v>
      </c>
      <c r="B2184" s="209" t="str">
        <f ca="1">IFERROR(__xludf.DUMMYFUNCTION("""COMPUTED_VALUE"""),"Everett Weedman")</f>
        <v>Everett Weedman</v>
      </c>
      <c r="C2184" s="201">
        <f ca="1">IFERROR(__xludf.DUMMYFUNCTION("""COMPUTED_VALUE"""),11)</f>
        <v>11</v>
      </c>
      <c r="D2184" s="201" t="str">
        <f ca="1">IFERROR(__xludf.DUMMYFUNCTION("""COMPUTED_VALUE"""),"B")</f>
        <v>B</v>
      </c>
      <c r="E2184" s="202" t="str">
        <f ca="1">IFERROR(__xludf.DUMMYFUNCTION("""COMPUTED_VALUE"""),"J")</f>
        <v>J</v>
      </c>
      <c r="F2184" s="210" t="str">
        <f ca="1">IFERROR(__xludf.DUMMYFUNCTION("""COMPUTED_VALUE"""),"I")</f>
        <v>I</v>
      </c>
      <c r="G2184" s="210">
        <f ca="1">IFERROR(__xludf.DUMMYFUNCTION("""COMPUTED_VALUE"""),1)</f>
        <v>1</v>
      </c>
      <c r="H2184" s="206"/>
      <c r="I2184" s="206">
        <v>81.650000000000006</v>
      </c>
      <c r="J2184" s="206"/>
      <c r="K2184" s="206" t="s">
        <v>121</v>
      </c>
      <c r="L2184" s="206" t="str">
        <v xml:space="preserve"> 81.65</v>
      </c>
      <c r="M2184" s="206" t="str">
        <v/>
      </c>
    </row>
    <row r="2185" spans="1:13" ht="14.4">
      <c r="A2185" s="201" t="str">
        <f ca="1">IFERROR(__xludf.DUMMYFUNCTION("""COMPUTED_VALUE"""),"VW")</f>
        <v>VW</v>
      </c>
      <c r="B2185" s="209" t="str">
        <f ca="1">IFERROR(__xludf.DUMMYFUNCTION("""COMPUTED_VALUE"""),"Luke Atkins")</f>
        <v>Luke Atkins</v>
      </c>
      <c r="C2185" s="201">
        <f ca="1">IFERROR(__xludf.DUMMYFUNCTION("""COMPUTED_VALUE"""),11)</f>
        <v>11</v>
      </c>
      <c r="D2185" s="201" t="str">
        <f ca="1">IFERROR(__xludf.DUMMYFUNCTION("""COMPUTED_VALUE"""),"B")</f>
        <v>B</v>
      </c>
      <c r="E2185" s="202" t="str">
        <f ca="1">IFERROR(__xludf.DUMMYFUNCTION("""COMPUTED_VALUE"""),"J")</f>
        <v>J</v>
      </c>
      <c r="F2185" s="210" t="str">
        <f ca="1">IFERROR(__xludf.DUMMYFUNCTION("""COMPUTED_VALUE"""),"I")</f>
        <v>I</v>
      </c>
      <c r="G2185" s="210">
        <f ca="1">IFERROR(__xludf.DUMMYFUNCTION("""COMPUTED_VALUE"""),1)</f>
        <v>1</v>
      </c>
      <c r="H2185" s="206"/>
      <c r="I2185" s="206">
        <v>85.6</v>
      </c>
      <c r="J2185" s="206"/>
      <c r="K2185" s="206" t="s">
        <v>121</v>
      </c>
      <c r="L2185" s="206" t="str">
        <v xml:space="preserve"> 85.6</v>
      </c>
      <c r="M2185" s="206" t="str">
        <v/>
      </c>
    </row>
    <row r="2186" spans="1:13" ht="14.4">
      <c r="A2186" s="201" t="str">
        <f ca="1">IFERROR(__xludf.DUMMYFUNCTION("""COMPUTED_VALUE"""),"VW")</f>
        <v>VW</v>
      </c>
      <c r="B2186" s="209" t="str">
        <f ca="1">IFERROR(__xludf.DUMMYFUNCTION("""COMPUTED_VALUE"""),"Luke Lauretti")</f>
        <v>Luke Lauretti</v>
      </c>
      <c r="C2186" s="201">
        <f ca="1">IFERROR(__xludf.DUMMYFUNCTION("""COMPUTED_VALUE"""),11)</f>
        <v>11</v>
      </c>
      <c r="D2186" s="201" t="str">
        <f ca="1">IFERROR(__xludf.DUMMYFUNCTION("""COMPUTED_VALUE"""),"B")</f>
        <v>B</v>
      </c>
      <c r="E2186" s="202" t="str">
        <f ca="1">IFERROR(__xludf.DUMMYFUNCTION("""COMPUTED_VALUE"""),"J")</f>
        <v>J</v>
      </c>
      <c r="F2186" s="210" t="str">
        <f ca="1">IFERROR(__xludf.DUMMYFUNCTION("""COMPUTED_VALUE"""),"I")</f>
        <v>I</v>
      </c>
      <c r="G2186" s="210">
        <f ca="1">IFERROR(__xludf.DUMMYFUNCTION("""COMPUTED_VALUE"""),1)</f>
        <v>1</v>
      </c>
      <c r="H2186" s="206"/>
      <c r="I2186" s="206"/>
      <c r="J2186" s="206"/>
      <c r="K2186" s="206"/>
      <c r="L2186" s="206" t="str">
        <v/>
      </c>
      <c r="M2186" s="206" t="str">
        <v/>
      </c>
    </row>
    <row r="2187" spans="1:13" ht="14.4">
      <c r="A2187" s="201" t="str">
        <f ca="1">IFERROR(__xludf.DUMMYFUNCTION("""COMPUTED_VALUE"""),"VW")</f>
        <v>VW</v>
      </c>
      <c r="B2187" s="209" t="str">
        <f ca="1">IFERROR(__xludf.DUMMYFUNCTION("""COMPUTED_VALUE"""),"Rocco Penna")</f>
        <v>Rocco Penna</v>
      </c>
      <c r="C2187" s="201">
        <f ca="1">IFERROR(__xludf.DUMMYFUNCTION("""COMPUTED_VALUE"""),11)</f>
        <v>11</v>
      </c>
      <c r="D2187" s="201" t="str">
        <f ca="1">IFERROR(__xludf.DUMMYFUNCTION("""COMPUTED_VALUE"""),"B")</f>
        <v>B</v>
      </c>
      <c r="E2187" s="202" t="str">
        <f ca="1">IFERROR(__xludf.DUMMYFUNCTION("""COMPUTED_VALUE"""),"J")</f>
        <v>J</v>
      </c>
      <c r="F2187" s="210" t="str">
        <f ca="1">IFERROR(__xludf.DUMMYFUNCTION("""COMPUTED_VALUE"""),"I")</f>
        <v>I</v>
      </c>
      <c r="G2187" s="210">
        <f ca="1">IFERROR(__xludf.DUMMYFUNCTION("""COMPUTED_VALUE"""),1)</f>
        <v>1</v>
      </c>
      <c r="H2187" s="206"/>
      <c r="I2187" s="206"/>
      <c r="J2187" s="206"/>
      <c r="K2187" s="206"/>
      <c r="L2187" s="206" t="str">
        <v/>
      </c>
      <c r="M2187" s="206" t="str">
        <v/>
      </c>
    </row>
    <row r="2188" spans="1:13" ht="14.4">
      <c r="A2188" s="201" t="str">
        <f ca="1">IFERROR(__xludf.DUMMYFUNCTION("""COMPUTED_VALUE"""),"VW")</f>
        <v>VW</v>
      </c>
      <c r="B2188" s="209" t="str">
        <f ca="1">IFERROR(__xludf.DUMMYFUNCTION("""COMPUTED_VALUE"""),"Thomas Maher")</f>
        <v>Thomas Maher</v>
      </c>
      <c r="C2188" s="201">
        <f ca="1">IFERROR(__xludf.DUMMYFUNCTION("""COMPUTED_VALUE"""),12)</f>
        <v>12</v>
      </c>
      <c r="D2188" s="201" t="str">
        <f ca="1">IFERROR(__xludf.DUMMYFUNCTION("""COMPUTED_VALUE"""),"B")</f>
        <v>B</v>
      </c>
      <c r="E2188" s="202" t="str">
        <f ca="1">IFERROR(__xludf.DUMMYFUNCTION("""COMPUTED_VALUE"""),"J")</f>
        <v>J</v>
      </c>
      <c r="F2188" s="210" t="str">
        <f ca="1">IFERROR(__xludf.DUMMYFUNCTION("""COMPUTED_VALUE"""),"I")</f>
        <v>I</v>
      </c>
      <c r="G2188" s="210">
        <f ca="1">IFERROR(__xludf.DUMMYFUNCTION("""COMPUTED_VALUE"""),1)</f>
        <v>1</v>
      </c>
      <c r="H2188" s="206"/>
      <c r="I2188" s="206"/>
      <c r="J2188" s="206"/>
      <c r="K2188" s="206"/>
      <c r="L2188" s="206" t="str">
        <v/>
      </c>
      <c r="M2188" s="206" t="str">
        <v/>
      </c>
    </row>
    <row r="2189" spans="1:13" ht="14.4">
      <c r="A2189" s="201" t="str">
        <f ca="1">IFERROR(__xludf.DUMMYFUNCTION("""COMPUTED_VALUE"""),"VW")</f>
        <v>VW</v>
      </c>
      <c r="B2189" s="209" t="str">
        <f ca="1">IFERROR(__xludf.DUMMYFUNCTION("""COMPUTED_VALUE"""),"Zachary Wigglesworth")</f>
        <v>Zachary Wigglesworth</v>
      </c>
      <c r="C2189" s="201">
        <f ca="1">IFERROR(__xludf.DUMMYFUNCTION("""COMPUTED_VALUE"""),11)</f>
        <v>11</v>
      </c>
      <c r="D2189" s="201" t="str">
        <f ca="1">IFERROR(__xludf.DUMMYFUNCTION("""COMPUTED_VALUE"""),"B")</f>
        <v>B</v>
      </c>
      <c r="E2189" s="202" t="str">
        <f ca="1">IFERROR(__xludf.DUMMYFUNCTION("""COMPUTED_VALUE"""),"J")</f>
        <v>J</v>
      </c>
      <c r="F2189" s="210" t="str">
        <f ca="1">IFERROR(__xludf.DUMMYFUNCTION("""COMPUTED_VALUE"""),"I")</f>
        <v>I</v>
      </c>
      <c r="G2189" s="210">
        <f ca="1">IFERROR(__xludf.DUMMYFUNCTION("""COMPUTED_VALUE"""),1)</f>
        <v>1</v>
      </c>
      <c r="H2189" s="206"/>
      <c r="I2189" s="206">
        <v>89.85</v>
      </c>
      <c r="J2189" s="206"/>
      <c r="K2189" s="206" t="s">
        <v>121</v>
      </c>
      <c r="L2189" s="206" t="str">
        <v xml:space="preserve"> 89.85</v>
      </c>
      <c r="M2189" s="206" t="str">
        <v/>
      </c>
    </row>
    <row r="2190" spans="1:13" ht="14.4">
      <c r="A2190" s="201" t="str">
        <f ca="1">IFERROR(__xludf.DUMMYFUNCTION("""COMPUTED_VALUE"""),"VW")</f>
        <v>VW</v>
      </c>
      <c r="B2190" s="209" t="str">
        <f ca="1">IFERROR(__xludf.DUMMYFUNCTION("""COMPUTED_VALUE"""),"Jayde Kalinock")</f>
        <v>Jayde Kalinock</v>
      </c>
      <c r="C2190" s="201">
        <f ca="1">IFERROR(__xludf.DUMMYFUNCTION("""COMPUTED_VALUE"""),11)</f>
        <v>11</v>
      </c>
      <c r="D2190" s="201" t="str">
        <f ca="1">IFERROR(__xludf.DUMMYFUNCTION("""COMPUTED_VALUE"""),"G")</f>
        <v>G</v>
      </c>
      <c r="E2190" s="202" t="str">
        <f ca="1">IFERROR(__xludf.DUMMYFUNCTION("""COMPUTED_VALUE"""),"J")</f>
        <v>J</v>
      </c>
      <c r="F2190" s="210" t="str">
        <f ca="1">IFERROR(__xludf.DUMMYFUNCTION("""COMPUTED_VALUE"""),"I")</f>
        <v>I</v>
      </c>
      <c r="G2190" s="210">
        <f ca="1">IFERROR(__xludf.DUMMYFUNCTION("""COMPUTED_VALUE"""),1)</f>
        <v>1</v>
      </c>
      <c r="H2190" s="206">
        <v>84.4</v>
      </c>
      <c r="I2190" s="206"/>
      <c r="J2190" s="206" t="s">
        <v>121</v>
      </c>
      <c r="K2190" s="206"/>
      <c r="L2190" s="206" t="str">
        <v xml:space="preserve"> 84.4</v>
      </c>
      <c r="M2190" s="206" t="str">
        <v/>
      </c>
    </row>
    <row r="2191" spans="1:13" ht="14.4">
      <c r="A2191" s="201" t="str">
        <f ca="1">IFERROR(__xludf.DUMMYFUNCTION("""COMPUTED_VALUE"""),"VW")</f>
        <v>VW</v>
      </c>
      <c r="B2191" s="209" t="str">
        <f ca="1">IFERROR(__xludf.DUMMYFUNCTION("""COMPUTED_VALUE"""),"Kaitlyn Herrmann")</f>
        <v>Kaitlyn Herrmann</v>
      </c>
      <c r="C2191" s="201">
        <f ca="1">IFERROR(__xludf.DUMMYFUNCTION("""COMPUTED_VALUE"""),11)</f>
        <v>11</v>
      </c>
      <c r="D2191" s="201" t="str">
        <f ca="1">IFERROR(__xludf.DUMMYFUNCTION("""COMPUTED_VALUE"""),"G")</f>
        <v>G</v>
      </c>
      <c r="E2191" s="202" t="str">
        <f ca="1">IFERROR(__xludf.DUMMYFUNCTION("""COMPUTED_VALUE"""),"J")</f>
        <v>J</v>
      </c>
      <c r="F2191" s="210" t="str">
        <f ca="1">IFERROR(__xludf.DUMMYFUNCTION("""COMPUTED_VALUE"""),"I")</f>
        <v>I</v>
      </c>
      <c r="G2191" s="210">
        <f ca="1">IFERROR(__xludf.DUMMYFUNCTION("""COMPUTED_VALUE"""),1)</f>
        <v>1</v>
      </c>
      <c r="H2191" s="206">
        <v>68.05</v>
      </c>
      <c r="I2191" s="206"/>
      <c r="J2191" s="206" t="s">
        <v>121</v>
      </c>
      <c r="K2191" s="206"/>
      <c r="L2191" s="206" t="str">
        <v xml:space="preserve"> 68.05</v>
      </c>
      <c r="M2191" s="206" t="str">
        <v/>
      </c>
    </row>
    <row r="2192" spans="1:13" ht="14.4">
      <c r="A2192" s="201" t="str">
        <f ca="1">IFERROR(__xludf.DUMMYFUNCTION("""COMPUTED_VALUE"""),"VW")</f>
        <v>VW</v>
      </c>
      <c r="B2192" s="209" t="str">
        <f ca="1">IFERROR(__xludf.DUMMYFUNCTION("""COMPUTED_VALUE"""),"Kathryn Kristick")</f>
        <v>Kathryn Kristick</v>
      </c>
      <c r="C2192" s="201">
        <f ca="1">IFERROR(__xludf.DUMMYFUNCTION("""COMPUTED_VALUE"""),11)</f>
        <v>11</v>
      </c>
      <c r="D2192" s="201" t="str">
        <f ca="1">IFERROR(__xludf.DUMMYFUNCTION("""COMPUTED_VALUE"""),"G")</f>
        <v>G</v>
      </c>
      <c r="E2192" s="202" t="str">
        <f ca="1">IFERROR(__xludf.DUMMYFUNCTION("""COMPUTED_VALUE"""),"J")</f>
        <v>J</v>
      </c>
      <c r="F2192" s="210" t="str">
        <f ca="1">IFERROR(__xludf.DUMMYFUNCTION("""COMPUTED_VALUE"""),"I")</f>
        <v>I</v>
      </c>
      <c r="G2192" s="210">
        <f ca="1">IFERROR(__xludf.DUMMYFUNCTION("""COMPUTED_VALUE"""),1)</f>
        <v>1</v>
      </c>
      <c r="H2192" s="206"/>
      <c r="I2192" s="206"/>
      <c r="J2192" s="206"/>
      <c r="K2192" s="206"/>
      <c r="L2192" s="206" t="str">
        <v/>
      </c>
      <c r="M2192" s="206" t="str">
        <v/>
      </c>
    </row>
    <row r="2193" spans="1:13" ht="14.4">
      <c r="A2193" s="201" t="str">
        <f ca="1">IFERROR(__xludf.DUMMYFUNCTION("""COMPUTED_VALUE"""),"VW")</f>
        <v>VW</v>
      </c>
      <c r="B2193" s="209" t="str">
        <f ca="1">IFERROR(__xludf.DUMMYFUNCTION("""COMPUTED_VALUE"""),"Lexie Van Raaphorst")</f>
        <v>Lexie Van Raaphorst</v>
      </c>
      <c r="C2193" s="201">
        <f ca="1">IFERROR(__xludf.DUMMYFUNCTION("""COMPUTED_VALUE"""),12)</f>
        <v>12</v>
      </c>
      <c r="D2193" s="201" t="str">
        <f ca="1">IFERROR(__xludf.DUMMYFUNCTION("""COMPUTED_VALUE"""),"G")</f>
        <v>G</v>
      </c>
      <c r="E2193" s="202" t="str">
        <f ca="1">IFERROR(__xludf.DUMMYFUNCTION("""COMPUTED_VALUE"""),"J")</f>
        <v>J</v>
      </c>
      <c r="F2193" s="210" t="str">
        <f ca="1">IFERROR(__xludf.DUMMYFUNCTION("""COMPUTED_VALUE"""),"I")</f>
        <v>I</v>
      </c>
      <c r="G2193" s="210">
        <f ca="1">IFERROR(__xludf.DUMMYFUNCTION("""COMPUTED_VALUE"""),1)</f>
        <v>1</v>
      </c>
      <c r="H2193" s="206"/>
      <c r="I2193" s="206"/>
      <c r="J2193" s="206"/>
      <c r="K2193" s="206"/>
      <c r="L2193" s="206" t="str">
        <v/>
      </c>
      <c r="M2193" s="206" t="str">
        <v/>
      </c>
    </row>
    <row r="2194" spans="1:13" ht="14.4">
      <c r="A2194" s="201" t="str">
        <f ca="1">IFERROR(__xludf.DUMMYFUNCTION("""COMPUTED_VALUE"""),"VW")</f>
        <v>VW</v>
      </c>
      <c r="B2194" s="209" t="str">
        <f ca="1">IFERROR(__xludf.DUMMYFUNCTION("""COMPUTED_VALUE"""),"Logan Nolan")</f>
        <v>Logan Nolan</v>
      </c>
      <c r="C2194" s="201">
        <f ca="1">IFERROR(__xludf.DUMMYFUNCTION("""COMPUTED_VALUE"""),11)</f>
        <v>11</v>
      </c>
      <c r="D2194" s="201" t="str">
        <f ca="1">IFERROR(__xludf.DUMMYFUNCTION("""COMPUTED_VALUE"""),"G")</f>
        <v>G</v>
      </c>
      <c r="E2194" s="202" t="str">
        <f ca="1">IFERROR(__xludf.DUMMYFUNCTION("""COMPUTED_VALUE"""),"J")</f>
        <v>J</v>
      </c>
      <c r="F2194" s="210" t="str">
        <f ca="1">IFERROR(__xludf.DUMMYFUNCTION("""COMPUTED_VALUE"""),"I")</f>
        <v>I</v>
      </c>
      <c r="G2194" s="210">
        <f ca="1">IFERROR(__xludf.DUMMYFUNCTION("""COMPUTED_VALUE"""),1)</f>
        <v>1</v>
      </c>
      <c r="H2194" s="206"/>
      <c r="I2194" s="206"/>
      <c r="J2194" s="206"/>
      <c r="K2194" s="206"/>
      <c r="L2194" s="206" t="str">
        <v/>
      </c>
      <c r="M2194" s="206" t="str">
        <v/>
      </c>
    </row>
    <row r="2195" spans="1:13" ht="14.4">
      <c r="A2195" s="201" t="str">
        <f ca="1">IFERROR(__xludf.DUMMYFUNCTION("""COMPUTED_VALUE"""),"VW")</f>
        <v>VW</v>
      </c>
      <c r="B2195" s="209" t="str">
        <f ca="1">IFERROR(__xludf.DUMMYFUNCTION("""COMPUTED_VALUE"""),"Sophie Bourdelais")</f>
        <v>Sophie Bourdelais</v>
      </c>
      <c r="C2195" s="201">
        <f ca="1">IFERROR(__xludf.DUMMYFUNCTION("""COMPUTED_VALUE"""),12)</f>
        <v>12</v>
      </c>
      <c r="D2195" s="201" t="str">
        <f ca="1">IFERROR(__xludf.DUMMYFUNCTION("""COMPUTED_VALUE"""),"G")</f>
        <v>G</v>
      </c>
      <c r="E2195" s="202" t="str">
        <f ca="1">IFERROR(__xludf.DUMMYFUNCTION("""COMPUTED_VALUE"""),"J")</f>
        <v>J</v>
      </c>
      <c r="F2195" s="210" t="str">
        <f ca="1">IFERROR(__xludf.DUMMYFUNCTION("""COMPUTED_VALUE"""),"I")</f>
        <v>I</v>
      </c>
      <c r="G2195" s="210">
        <f ca="1">IFERROR(__xludf.DUMMYFUNCTION("""COMPUTED_VALUE"""),1)</f>
        <v>1</v>
      </c>
      <c r="H2195" s="206">
        <v>75.900000000000006</v>
      </c>
      <c r="I2195" s="206"/>
      <c r="J2195" s="206" t="s">
        <v>121</v>
      </c>
      <c r="K2195" s="206"/>
      <c r="L2195" s="206" t="str">
        <v xml:space="preserve"> 75.9</v>
      </c>
      <c r="M2195" s="206" t="str">
        <v/>
      </c>
    </row>
    <row r="2196" spans="1:13" ht="14.4">
      <c r="A2196" s="201" t="str">
        <f ca="1">IFERROR(__xludf.DUMMYFUNCTION("""COMPUTED_VALUE"""),"VW")</f>
        <v>VW</v>
      </c>
      <c r="B2196" s="209" t="str">
        <f ca="1">IFERROR(__xludf.DUMMYFUNCTION("""COMPUTED_VALUE"""),"Taylor Van Raaphorst")</f>
        <v>Taylor Van Raaphorst</v>
      </c>
      <c r="C2196" s="201">
        <f ca="1">IFERROR(__xludf.DUMMYFUNCTION("""COMPUTED_VALUE"""),12)</f>
        <v>12</v>
      </c>
      <c r="D2196" s="201" t="str">
        <f ca="1">IFERROR(__xludf.DUMMYFUNCTION("""COMPUTED_VALUE"""),"G")</f>
        <v>G</v>
      </c>
      <c r="E2196" s="202" t="str">
        <f ca="1">IFERROR(__xludf.DUMMYFUNCTION("""COMPUTED_VALUE"""),"J")</f>
        <v>J</v>
      </c>
      <c r="F2196" s="210" t="str">
        <f ca="1">IFERROR(__xludf.DUMMYFUNCTION("""COMPUTED_VALUE"""),"I")</f>
        <v>I</v>
      </c>
      <c r="G2196" s="210">
        <f ca="1">IFERROR(__xludf.DUMMYFUNCTION("""COMPUTED_VALUE"""),1)</f>
        <v>1</v>
      </c>
      <c r="H2196" s="206"/>
      <c r="I2196" s="206"/>
      <c r="J2196" s="206"/>
      <c r="K2196" s="206"/>
      <c r="L2196" s="206" t="str">
        <v/>
      </c>
      <c r="M2196" s="206" t="str">
        <v/>
      </c>
    </row>
    <row r="2197" spans="1:13" ht="14.4">
      <c r="A2197" s="201" t="str">
        <f ca="1">IFERROR(__xludf.DUMMYFUNCTION("""COMPUTED_VALUE"""),"VW")</f>
        <v>VW</v>
      </c>
      <c r="B2197" s="209" t="str">
        <f ca="1">IFERROR(__xludf.DUMMYFUNCTION("""COMPUTED_VALUE"""),"Evan Moss")</f>
        <v>Evan Moss</v>
      </c>
      <c r="C2197" s="201">
        <f ca="1">IFERROR(__xludf.DUMMYFUNCTION("""COMPUTED_VALUE"""),15)</f>
        <v>15</v>
      </c>
      <c r="D2197" s="201" t="str">
        <f ca="1">IFERROR(__xludf.DUMMYFUNCTION("""COMPUTED_VALUE"""),"B")</f>
        <v>B</v>
      </c>
      <c r="E2197" s="202" t="str">
        <f ca="1">IFERROR(__xludf.DUMMYFUNCTION("""COMPUTED_VALUE"""),"S")</f>
        <v>S</v>
      </c>
      <c r="F2197" s="210" t="str">
        <f ca="1">IFERROR(__xludf.DUMMYFUNCTION("""COMPUTED_VALUE"""),"S")</f>
        <v>S</v>
      </c>
      <c r="G2197" s="210">
        <f ca="1">IFERROR(__xludf.DUMMYFUNCTION("""COMPUTED_VALUE"""),1)</f>
        <v>1</v>
      </c>
      <c r="H2197" s="206"/>
      <c r="I2197" s="206"/>
      <c r="J2197" s="206"/>
      <c r="K2197" s="206"/>
      <c r="L2197" s="206" t="str">
        <v/>
      </c>
      <c r="M2197" s="206" t="str">
        <v/>
      </c>
    </row>
    <row r="2198" spans="1:13" ht="14.4">
      <c r="A2198" s="201" t="str">
        <f ca="1">IFERROR(__xludf.DUMMYFUNCTION("""COMPUTED_VALUE"""),"VW")</f>
        <v>VW</v>
      </c>
      <c r="B2198" s="209" t="str">
        <f ca="1">IFERROR(__xludf.DUMMYFUNCTION("""COMPUTED_VALUE"""),"Nick Wanzer")</f>
        <v>Nick Wanzer</v>
      </c>
      <c r="C2198" s="201">
        <f ca="1">IFERROR(__xludf.DUMMYFUNCTION("""COMPUTED_VALUE"""),15)</f>
        <v>15</v>
      </c>
      <c r="D2198" s="201" t="str">
        <f ca="1">IFERROR(__xludf.DUMMYFUNCTION("""COMPUTED_VALUE"""),"B")</f>
        <v>B</v>
      </c>
      <c r="E2198" s="202" t="str">
        <f ca="1">IFERROR(__xludf.DUMMYFUNCTION("""COMPUTED_VALUE"""),"S")</f>
        <v>S</v>
      </c>
      <c r="F2198" s="210" t="str">
        <f ca="1">IFERROR(__xludf.DUMMYFUNCTION("""COMPUTED_VALUE"""),"S")</f>
        <v>S</v>
      </c>
      <c r="G2198" s="210">
        <f ca="1">IFERROR(__xludf.DUMMYFUNCTION("""COMPUTED_VALUE"""),1)</f>
        <v>1</v>
      </c>
      <c r="H2198" s="206"/>
      <c r="I2198" s="206">
        <v>269.2</v>
      </c>
      <c r="J2198" s="206"/>
      <c r="K2198" s="206" t="s">
        <v>121</v>
      </c>
      <c r="L2198" s="206" t="str">
        <v xml:space="preserve"> 269.2</v>
      </c>
      <c r="M2198" s="206" t="str">
        <v/>
      </c>
    </row>
    <row r="2199" spans="1:13" ht="14.4">
      <c r="A2199" s="201" t="str">
        <f ca="1">IFERROR(__xludf.DUMMYFUNCTION("""COMPUTED_VALUE"""),"VW")</f>
        <v>VW</v>
      </c>
      <c r="B2199" s="209" t="str">
        <f ca="1">IFERROR(__xludf.DUMMYFUNCTION("""COMPUTED_VALUE"""),"Noah Wanzer")</f>
        <v>Noah Wanzer</v>
      </c>
      <c r="C2199" s="201">
        <f ca="1">IFERROR(__xludf.DUMMYFUNCTION("""COMPUTED_VALUE"""),15)</f>
        <v>15</v>
      </c>
      <c r="D2199" s="201" t="str">
        <f ca="1">IFERROR(__xludf.DUMMYFUNCTION("""COMPUTED_VALUE"""),"B")</f>
        <v>B</v>
      </c>
      <c r="E2199" s="202" t="str">
        <f ca="1">IFERROR(__xludf.DUMMYFUNCTION("""COMPUTED_VALUE"""),"S")</f>
        <v>S</v>
      </c>
      <c r="F2199" s="210" t="str">
        <f ca="1">IFERROR(__xludf.DUMMYFUNCTION("""COMPUTED_VALUE"""),"S")</f>
        <v>S</v>
      </c>
      <c r="G2199" s="210">
        <f ca="1">IFERROR(__xludf.DUMMYFUNCTION("""COMPUTED_VALUE"""),1)</f>
        <v>1</v>
      </c>
      <c r="H2199" s="206"/>
      <c r="I2199" s="206">
        <v>228.9</v>
      </c>
      <c r="J2199" s="206"/>
      <c r="K2199" s="206" t="s">
        <v>121</v>
      </c>
      <c r="L2199" s="206" t="str">
        <v xml:space="preserve"> 228.9</v>
      </c>
      <c r="M2199" s="206" t="str">
        <v/>
      </c>
    </row>
    <row r="2200" spans="1:13" ht="14.4">
      <c r="A2200" s="201" t="str">
        <f ca="1">IFERROR(__xludf.DUMMYFUNCTION("""COMPUTED_VALUE"""),"VW")</f>
        <v>VW</v>
      </c>
      <c r="B2200" s="209" t="str">
        <f ca="1">IFERROR(__xludf.DUMMYFUNCTION("""COMPUTED_VALUE"""),"Jessica Fritsch")</f>
        <v>Jessica Fritsch</v>
      </c>
      <c r="C2200" s="201">
        <f ca="1">IFERROR(__xludf.DUMMYFUNCTION("""COMPUTED_VALUE"""),17)</f>
        <v>17</v>
      </c>
      <c r="D2200" s="201" t="str">
        <f ca="1">IFERROR(__xludf.DUMMYFUNCTION("""COMPUTED_VALUE"""),"G")</f>
        <v>G</v>
      </c>
      <c r="E2200" s="202" t="str">
        <f ca="1">IFERROR(__xludf.DUMMYFUNCTION("""COMPUTED_VALUE"""),"S")</f>
        <v>S</v>
      </c>
      <c r="F2200" s="210" t="str">
        <f ca="1">IFERROR(__xludf.DUMMYFUNCTION("""COMPUTED_VALUE"""),"S")</f>
        <v>S</v>
      </c>
      <c r="G2200" s="210">
        <f ca="1">IFERROR(__xludf.DUMMYFUNCTION("""COMPUTED_VALUE"""),1)</f>
        <v>1</v>
      </c>
      <c r="H2200" s="206">
        <v>158.9</v>
      </c>
      <c r="I2200" s="206"/>
      <c r="J2200" s="206" t="s">
        <v>121</v>
      </c>
      <c r="K2200" s="206"/>
      <c r="L2200" s="206" t="str">
        <v xml:space="preserve"> 158.9</v>
      </c>
      <c r="M2200" s="206" t="str">
        <v/>
      </c>
    </row>
    <row r="2201" spans="1:13" ht="14.4">
      <c r="A2201" s="201" t="str">
        <f ca="1">IFERROR(__xludf.DUMMYFUNCTION("""COMPUTED_VALUE"""),"W")</f>
        <v>W</v>
      </c>
      <c r="B2201" s="209" t="str">
        <f ca="1">IFERROR(__xludf.DUMMYFUNCTION("""COMPUTED_VALUE"""),"Alex Lum")</f>
        <v>Alex Lum</v>
      </c>
      <c r="C2201" s="201">
        <f ca="1">IFERROR(__xludf.DUMMYFUNCTION("""COMPUTED_VALUE"""),10)</f>
        <v>10</v>
      </c>
      <c r="D2201" s="201" t="str">
        <f ca="1">IFERROR(__xludf.DUMMYFUNCTION("""COMPUTED_VALUE"""),"B")</f>
        <v>B</v>
      </c>
      <c r="E2201" s="202" t="str">
        <f ca="1">IFERROR(__xludf.DUMMYFUNCTION("""COMPUTED_VALUE"""),"F")</f>
        <v>F</v>
      </c>
      <c r="F2201" s="210" t="str">
        <f ca="1">IFERROR(__xludf.DUMMYFUNCTION("""COMPUTED_VALUE"""),"J")</f>
        <v>J</v>
      </c>
      <c r="G2201" s="210">
        <f ca="1">IFERROR(__xludf.DUMMYFUNCTION("""COMPUTED_VALUE"""),7)</f>
        <v>7</v>
      </c>
      <c r="H2201" s="206"/>
      <c r="I2201" s="206">
        <v>42.15</v>
      </c>
      <c r="J2201" s="206"/>
      <c r="K2201" s="206" t="s">
        <v>121</v>
      </c>
      <c r="L2201" s="206" t="str">
        <v xml:space="preserve"> 42.15</v>
      </c>
      <c r="M2201" s="206" t="str">
        <v/>
      </c>
    </row>
    <row r="2202" spans="1:13" ht="14.4">
      <c r="A2202" s="201" t="str">
        <f ca="1">IFERROR(__xludf.DUMMYFUNCTION("""COMPUTED_VALUE"""),"W")</f>
        <v>W</v>
      </c>
      <c r="B2202" s="209" t="str">
        <f ca="1">IFERROR(__xludf.DUMMYFUNCTION("""COMPUTED_VALUE"""),"Benjamin Lum")</f>
        <v>Benjamin Lum</v>
      </c>
      <c r="C2202" s="201">
        <f ca="1">IFERROR(__xludf.DUMMYFUNCTION("""COMPUTED_VALUE"""),9)</f>
        <v>9</v>
      </c>
      <c r="D2202" s="201" t="str">
        <f ca="1">IFERROR(__xludf.DUMMYFUNCTION("""COMPUTED_VALUE"""),"B")</f>
        <v>B</v>
      </c>
      <c r="E2202" s="202" t="str">
        <f ca="1">IFERROR(__xludf.DUMMYFUNCTION("""COMPUTED_VALUE"""),"F")</f>
        <v>F</v>
      </c>
      <c r="F2202" s="210" t="str">
        <f ca="1">IFERROR(__xludf.DUMMYFUNCTION("""COMPUTED_VALUE"""),"J")</f>
        <v>J</v>
      </c>
      <c r="G2202" s="210">
        <f ca="1">IFERROR(__xludf.DUMMYFUNCTION("""COMPUTED_VALUE"""),7)</f>
        <v>7</v>
      </c>
      <c r="H2202" s="206"/>
      <c r="I2202" s="206">
        <v>14.75</v>
      </c>
      <c r="J2202" s="206"/>
      <c r="K2202" s="206" t="s">
        <v>121</v>
      </c>
      <c r="L2202" s="206" t="str">
        <v xml:space="preserve"> 14.75</v>
      </c>
      <c r="M2202" s="206" t="str">
        <v/>
      </c>
    </row>
    <row r="2203" spans="1:13" ht="14.4">
      <c r="A2203" s="201" t="str">
        <f ca="1">IFERROR(__xludf.DUMMYFUNCTION("""COMPUTED_VALUE"""),"W")</f>
        <v>W</v>
      </c>
      <c r="B2203" s="209" t="str">
        <f ca="1">IFERROR(__xludf.DUMMYFUNCTION("""COMPUTED_VALUE"""),"Brandon Haase")</f>
        <v>Brandon Haase</v>
      </c>
      <c r="C2203" s="201">
        <f ca="1">IFERROR(__xludf.DUMMYFUNCTION("""COMPUTED_VALUE"""),10)</f>
        <v>10</v>
      </c>
      <c r="D2203" s="201" t="str">
        <f ca="1">IFERROR(__xludf.DUMMYFUNCTION("""COMPUTED_VALUE"""),"B")</f>
        <v>B</v>
      </c>
      <c r="E2203" s="202" t="str">
        <f ca="1">IFERROR(__xludf.DUMMYFUNCTION("""COMPUTED_VALUE"""),"F")</f>
        <v>F</v>
      </c>
      <c r="F2203" s="210" t="str">
        <f ca="1">IFERROR(__xludf.DUMMYFUNCTION("""COMPUTED_VALUE"""),"J")</f>
        <v>J</v>
      </c>
      <c r="G2203" s="210">
        <f ca="1">IFERROR(__xludf.DUMMYFUNCTION("""COMPUTED_VALUE"""),7)</f>
        <v>7</v>
      </c>
      <c r="H2203" s="206"/>
      <c r="I2203" s="206">
        <v>36.9</v>
      </c>
      <c r="J2203" s="206"/>
      <c r="K2203" s="206" t="s">
        <v>121</v>
      </c>
      <c r="L2203" s="206" t="str">
        <v xml:space="preserve"> 36.9</v>
      </c>
      <c r="M2203" s="206" t="str">
        <v/>
      </c>
    </row>
    <row r="2204" spans="1:13" ht="14.4">
      <c r="A2204" s="201" t="str">
        <f ca="1">IFERROR(__xludf.DUMMYFUNCTION("""COMPUTED_VALUE"""),"W")</f>
        <v>W</v>
      </c>
      <c r="B2204" s="209" t="str">
        <f ca="1">IFERROR(__xludf.DUMMYFUNCTION("""COMPUTED_VALUE"""),"Joseph Thiede")</f>
        <v>Joseph Thiede</v>
      </c>
      <c r="C2204" s="201">
        <f ca="1">IFERROR(__xludf.DUMMYFUNCTION("""COMPUTED_VALUE"""),10)</f>
        <v>10</v>
      </c>
      <c r="D2204" s="201" t="str">
        <f ca="1">IFERROR(__xludf.DUMMYFUNCTION("""COMPUTED_VALUE"""),"B")</f>
        <v>B</v>
      </c>
      <c r="E2204" s="202" t="str">
        <f ca="1">IFERROR(__xludf.DUMMYFUNCTION("""COMPUTED_VALUE"""),"F")</f>
        <v>F</v>
      </c>
      <c r="F2204" s="210" t="str">
        <f ca="1">IFERROR(__xludf.DUMMYFUNCTION("""COMPUTED_VALUE"""),"J")</f>
        <v>J</v>
      </c>
      <c r="G2204" s="210">
        <f ca="1">IFERROR(__xludf.DUMMYFUNCTION("""COMPUTED_VALUE"""),7)</f>
        <v>7</v>
      </c>
      <c r="H2204" s="206"/>
      <c r="I2204" s="206">
        <v>39.25</v>
      </c>
      <c r="J2204" s="206"/>
      <c r="K2204" s="206" t="s">
        <v>121</v>
      </c>
      <c r="L2204" s="206" t="str">
        <v xml:space="preserve"> 39.25</v>
      </c>
      <c r="M2204" s="206" t="str">
        <v/>
      </c>
    </row>
    <row r="2205" spans="1:13" ht="14.4">
      <c r="A2205" s="201" t="str">
        <f ca="1">IFERROR(__xludf.DUMMYFUNCTION("""COMPUTED_VALUE"""),"W")</f>
        <v>W</v>
      </c>
      <c r="B2205" s="209" t="str">
        <f ca="1">IFERROR(__xludf.DUMMYFUNCTION("""COMPUTED_VALUE"""),"Karmvir Sidhu")</f>
        <v>Karmvir Sidhu</v>
      </c>
      <c r="C2205" s="201">
        <f ca="1">IFERROR(__xludf.DUMMYFUNCTION("""COMPUTED_VALUE"""),7)</f>
        <v>7</v>
      </c>
      <c r="D2205" s="201" t="str">
        <f ca="1">IFERROR(__xludf.DUMMYFUNCTION("""COMPUTED_VALUE"""),"B")</f>
        <v>B</v>
      </c>
      <c r="E2205" s="202" t="str">
        <f ca="1">IFERROR(__xludf.DUMMYFUNCTION("""COMPUTED_VALUE"""),"F")</f>
        <v>F</v>
      </c>
      <c r="F2205" s="210" t="str">
        <f ca="1">IFERROR(__xludf.DUMMYFUNCTION("""COMPUTED_VALUE"""),"J")</f>
        <v>J</v>
      </c>
      <c r="G2205" s="210">
        <f ca="1">IFERROR(__xludf.DUMMYFUNCTION("""COMPUTED_VALUE"""),7)</f>
        <v>7</v>
      </c>
      <c r="H2205" s="206"/>
      <c r="I2205" s="206"/>
      <c r="J2205" s="206"/>
      <c r="K2205" s="206"/>
      <c r="L2205" s="206" t="str">
        <v/>
      </c>
      <c r="M2205" s="206" t="str">
        <v/>
      </c>
    </row>
    <row r="2206" spans="1:13" ht="14.4">
      <c r="A2206" s="201" t="str">
        <f ca="1">IFERROR(__xludf.DUMMYFUNCTION("""COMPUTED_VALUE"""),"W")</f>
        <v>W</v>
      </c>
      <c r="B2206" s="209" t="str">
        <f ca="1">IFERROR(__xludf.DUMMYFUNCTION("""COMPUTED_VALUE"""),"Max Mohaber")</f>
        <v>Max Mohaber</v>
      </c>
      <c r="C2206" s="201">
        <f ca="1">IFERROR(__xludf.DUMMYFUNCTION("""COMPUTED_VALUE"""),8)</f>
        <v>8</v>
      </c>
      <c r="D2206" s="201" t="str">
        <f ca="1">IFERROR(__xludf.DUMMYFUNCTION("""COMPUTED_VALUE"""),"B")</f>
        <v>B</v>
      </c>
      <c r="E2206" s="202" t="str">
        <f ca="1">IFERROR(__xludf.DUMMYFUNCTION("""COMPUTED_VALUE"""),"F")</f>
        <v>F</v>
      </c>
      <c r="F2206" s="210" t="str">
        <f ca="1">IFERROR(__xludf.DUMMYFUNCTION("""COMPUTED_VALUE"""),"J")</f>
        <v>J</v>
      </c>
      <c r="G2206" s="210">
        <f ca="1">IFERROR(__xludf.DUMMYFUNCTION("""COMPUTED_VALUE"""),7)</f>
        <v>7</v>
      </c>
      <c r="H2206" s="206"/>
      <c r="I2206" s="206"/>
      <c r="J2206" s="206"/>
      <c r="K2206" s="206"/>
      <c r="L2206" s="206" t="str">
        <v/>
      </c>
      <c r="M2206" s="206" t="str">
        <v/>
      </c>
    </row>
    <row r="2207" spans="1:13" ht="14.4">
      <c r="A2207" s="201" t="str">
        <f ca="1">IFERROR(__xludf.DUMMYFUNCTION("""COMPUTED_VALUE"""),"W")</f>
        <v>W</v>
      </c>
      <c r="B2207" s="209" t="str">
        <f ca="1">IFERROR(__xludf.DUMMYFUNCTION("""COMPUTED_VALUE"""),"Optimus Bigby")</f>
        <v>Optimus Bigby</v>
      </c>
      <c r="C2207" s="201">
        <f ca="1">IFERROR(__xludf.DUMMYFUNCTION("""COMPUTED_VALUE"""),10)</f>
        <v>10</v>
      </c>
      <c r="D2207" s="201" t="str">
        <f ca="1">IFERROR(__xludf.DUMMYFUNCTION("""COMPUTED_VALUE"""),"B")</f>
        <v>B</v>
      </c>
      <c r="E2207" s="202" t="str">
        <f ca="1">IFERROR(__xludf.DUMMYFUNCTION("""COMPUTED_VALUE"""),"F")</f>
        <v>F</v>
      </c>
      <c r="F2207" s="210" t="str">
        <f ca="1">IFERROR(__xludf.DUMMYFUNCTION("""COMPUTED_VALUE"""),"J")</f>
        <v>J</v>
      </c>
      <c r="G2207" s="210">
        <f ca="1">IFERROR(__xludf.DUMMYFUNCTION("""COMPUTED_VALUE"""),7)</f>
        <v>7</v>
      </c>
      <c r="H2207" s="206"/>
      <c r="I2207" s="206">
        <v>39.6</v>
      </c>
      <c r="J2207" s="206"/>
      <c r="K2207" s="206" t="s">
        <v>121</v>
      </c>
      <c r="L2207" s="206" t="str">
        <v xml:space="preserve"> 39.6</v>
      </c>
      <c r="M2207" s="206" t="str">
        <v/>
      </c>
    </row>
    <row r="2208" spans="1:13" ht="14.4">
      <c r="A2208" s="201" t="str">
        <f ca="1">IFERROR(__xludf.DUMMYFUNCTION("""COMPUTED_VALUE"""),"W")</f>
        <v>W</v>
      </c>
      <c r="B2208" s="209" t="str">
        <f ca="1">IFERROR(__xludf.DUMMYFUNCTION("""COMPUTED_VALUE"""),"Paul Thiede")</f>
        <v>Paul Thiede</v>
      </c>
      <c r="C2208" s="201">
        <f ca="1">IFERROR(__xludf.DUMMYFUNCTION("""COMPUTED_VALUE"""),8)</f>
        <v>8</v>
      </c>
      <c r="D2208" s="201" t="str">
        <f ca="1">IFERROR(__xludf.DUMMYFUNCTION("""COMPUTED_VALUE"""),"B")</f>
        <v>B</v>
      </c>
      <c r="E2208" s="202" t="str">
        <f ca="1">IFERROR(__xludf.DUMMYFUNCTION("""COMPUTED_VALUE"""),"F")</f>
        <v>F</v>
      </c>
      <c r="F2208" s="210" t="str">
        <f ca="1">IFERROR(__xludf.DUMMYFUNCTION("""COMPUTED_VALUE"""),"J")</f>
        <v>J</v>
      </c>
      <c r="G2208" s="210">
        <f ca="1">IFERROR(__xludf.DUMMYFUNCTION("""COMPUTED_VALUE"""),7)</f>
        <v>7</v>
      </c>
      <c r="H2208" s="206"/>
      <c r="I2208" s="206">
        <v>25.2</v>
      </c>
      <c r="J2208" s="206"/>
      <c r="K2208" s="206" t="s">
        <v>121</v>
      </c>
      <c r="L2208" s="206" t="str">
        <v xml:space="preserve"> 25.2</v>
      </c>
      <c r="M2208" s="206" t="str">
        <v/>
      </c>
    </row>
    <row r="2209" spans="1:13" ht="14.4">
      <c r="A2209" s="201" t="str">
        <f ca="1">IFERROR(__xludf.DUMMYFUNCTION("""COMPUTED_VALUE"""),"W")</f>
        <v>W</v>
      </c>
      <c r="B2209" s="209" t="str">
        <f ca="1">IFERROR(__xludf.DUMMYFUNCTION("""COMPUTED_VALUE"""),"Zachary Lum")</f>
        <v>Zachary Lum</v>
      </c>
      <c r="C2209" s="201">
        <f ca="1">IFERROR(__xludf.DUMMYFUNCTION("""COMPUTED_VALUE"""),7)</f>
        <v>7</v>
      </c>
      <c r="D2209" s="201" t="str">
        <f ca="1">IFERROR(__xludf.DUMMYFUNCTION("""COMPUTED_VALUE"""),"B")</f>
        <v>B</v>
      </c>
      <c r="E2209" s="202" t="str">
        <f ca="1">IFERROR(__xludf.DUMMYFUNCTION("""COMPUTED_VALUE"""),"F")</f>
        <v>F</v>
      </c>
      <c r="F2209" s="210" t="str">
        <f ca="1">IFERROR(__xludf.DUMMYFUNCTION("""COMPUTED_VALUE"""),"J")</f>
        <v>J</v>
      </c>
      <c r="G2209" s="210">
        <f ca="1">IFERROR(__xludf.DUMMYFUNCTION("""COMPUTED_VALUE"""),7)</f>
        <v>7</v>
      </c>
      <c r="H2209" s="206"/>
      <c r="I2209" s="206">
        <v>21.5</v>
      </c>
      <c r="J2209" s="206"/>
      <c r="K2209" s="206" t="s">
        <v>121</v>
      </c>
      <c r="L2209" s="206" t="str">
        <v xml:space="preserve"> 21.5</v>
      </c>
      <c r="M2209" s="206" t="str">
        <v/>
      </c>
    </row>
    <row r="2210" spans="1:13" ht="14.4">
      <c r="A2210" s="201" t="str">
        <f ca="1">IFERROR(__xludf.DUMMYFUNCTION("""COMPUTED_VALUE"""),"W")</f>
        <v>W</v>
      </c>
      <c r="B2210" s="209" t="str">
        <f ca="1">IFERROR(__xludf.DUMMYFUNCTION("""COMPUTED_VALUE"""),"Avery LaBoy")</f>
        <v>Avery LaBoy</v>
      </c>
      <c r="C2210" s="201">
        <f ca="1">IFERROR(__xludf.DUMMYFUNCTION("""COMPUTED_VALUE"""),9)</f>
        <v>9</v>
      </c>
      <c r="D2210" s="201" t="str">
        <f ca="1">IFERROR(__xludf.DUMMYFUNCTION("""COMPUTED_VALUE"""),"G")</f>
        <v>G</v>
      </c>
      <c r="E2210" s="202" t="str">
        <f ca="1">IFERROR(__xludf.DUMMYFUNCTION("""COMPUTED_VALUE"""),"F")</f>
        <v>F</v>
      </c>
      <c r="F2210" s="210" t="str">
        <f ca="1">IFERROR(__xludf.DUMMYFUNCTION("""COMPUTED_VALUE"""),"J")</f>
        <v>J</v>
      </c>
      <c r="G2210" s="210">
        <f ca="1">IFERROR(__xludf.DUMMYFUNCTION("""COMPUTED_VALUE"""),7)</f>
        <v>7</v>
      </c>
      <c r="H2210" s="206"/>
      <c r="I2210" s="206"/>
      <c r="J2210" s="206"/>
      <c r="K2210" s="206"/>
      <c r="L2210" s="206" t="str">
        <v/>
      </c>
      <c r="M2210" s="206" t="str">
        <v/>
      </c>
    </row>
    <row r="2211" spans="1:13" ht="14.4">
      <c r="A2211" s="201" t="str">
        <f ca="1">IFERROR(__xludf.DUMMYFUNCTION("""COMPUTED_VALUE"""),"W")</f>
        <v>W</v>
      </c>
      <c r="B2211" s="209" t="str">
        <f ca="1">IFERROR(__xludf.DUMMYFUNCTION("""COMPUTED_VALUE"""),"Elin Temme")</f>
        <v>Elin Temme</v>
      </c>
      <c r="C2211" s="201">
        <f ca="1">IFERROR(__xludf.DUMMYFUNCTION("""COMPUTED_VALUE"""),10)</f>
        <v>10</v>
      </c>
      <c r="D2211" s="201" t="str">
        <f ca="1">IFERROR(__xludf.DUMMYFUNCTION("""COMPUTED_VALUE"""),"G")</f>
        <v>G</v>
      </c>
      <c r="E2211" s="202" t="str">
        <f ca="1">IFERROR(__xludf.DUMMYFUNCTION("""COMPUTED_VALUE"""),"F")</f>
        <v>F</v>
      </c>
      <c r="F2211" s="210" t="str">
        <f ca="1">IFERROR(__xludf.DUMMYFUNCTION("""COMPUTED_VALUE"""),"J")</f>
        <v>J</v>
      </c>
      <c r="G2211" s="210">
        <f ca="1">IFERROR(__xludf.DUMMYFUNCTION("""COMPUTED_VALUE"""),7)</f>
        <v>7</v>
      </c>
      <c r="H2211" s="206">
        <v>64.400000000000006</v>
      </c>
      <c r="I2211" s="206"/>
      <c r="J2211" s="206" t="s">
        <v>121</v>
      </c>
      <c r="K2211" s="206"/>
      <c r="L2211" s="206" t="str">
        <v xml:space="preserve"> 64.4</v>
      </c>
      <c r="M2211" s="206" t="str">
        <v/>
      </c>
    </row>
    <row r="2212" spans="1:13" ht="14.4">
      <c r="A2212" s="201" t="str">
        <f ca="1">IFERROR(__xludf.DUMMYFUNCTION("""COMPUTED_VALUE"""),"W")</f>
        <v>W</v>
      </c>
      <c r="B2212" s="209" t="str">
        <f ca="1">IFERROR(__xludf.DUMMYFUNCTION("""COMPUTED_VALUE"""),"Eliza Pollack")</f>
        <v>Eliza Pollack</v>
      </c>
      <c r="C2212" s="201">
        <f ca="1">IFERROR(__xludf.DUMMYFUNCTION("""COMPUTED_VALUE"""),10)</f>
        <v>10</v>
      </c>
      <c r="D2212" s="201" t="str">
        <f ca="1">IFERROR(__xludf.DUMMYFUNCTION("""COMPUTED_VALUE"""),"G")</f>
        <v>G</v>
      </c>
      <c r="E2212" s="202" t="str">
        <f ca="1">IFERROR(__xludf.DUMMYFUNCTION("""COMPUTED_VALUE"""),"F")</f>
        <v>F</v>
      </c>
      <c r="F2212" s="210" t="str">
        <f ca="1">IFERROR(__xludf.DUMMYFUNCTION("""COMPUTED_VALUE"""),"J")</f>
        <v>J</v>
      </c>
      <c r="G2212" s="210">
        <f ca="1">IFERROR(__xludf.DUMMYFUNCTION("""COMPUTED_VALUE"""),7)</f>
        <v>7</v>
      </c>
      <c r="H2212" s="206">
        <v>81.900000000000006</v>
      </c>
      <c r="I2212" s="206"/>
      <c r="J2212" s="206" t="s">
        <v>123</v>
      </c>
      <c r="K2212" s="206"/>
      <c r="L2212" s="206" t="str">
        <v xml:space="preserve"> -81.9</v>
      </c>
      <c r="M2212" s="206" t="str">
        <v>^</v>
      </c>
    </row>
    <row r="2213" spans="1:13" ht="14.4">
      <c r="A2213" s="201" t="str">
        <f ca="1">IFERROR(__xludf.DUMMYFUNCTION("""COMPUTED_VALUE"""),"W")</f>
        <v>W</v>
      </c>
      <c r="B2213" s="209" t="str">
        <f ca="1">IFERROR(__xludf.DUMMYFUNCTION("""COMPUTED_VALUE"""),"Emerie Woods")</f>
        <v>Emerie Woods</v>
      </c>
      <c r="C2213" s="201">
        <f ca="1">IFERROR(__xludf.DUMMYFUNCTION("""COMPUTED_VALUE"""),7)</f>
        <v>7</v>
      </c>
      <c r="D2213" s="201" t="str">
        <f ca="1">IFERROR(__xludf.DUMMYFUNCTION("""COMPUTED_VALUE"""),"G")</f>
        <v>G</v>
      </c>
      <c r="E2213" s="202" t="str">
        <f ca="1">IFERROR(__xludf.DUMMYFUNCTION("""COMPUTED_VALUE"""),"F")</f>
        <v>F</v>
      </c>
      <c r="F2213" s="210" t="str">
        <f ca="1">IFERROR(__xludf.DUMMYFUNCTION("""COMPUTED_VALUE"""),"J")</f>
        <v>J</v>
      </c>
      <c r="G2213" s="210">
        <f ca="1">IFERROR(__xludf.DUMMYFUNCTION("""COMPUTED_VALUE"""),7)</f>
        <v>7</v>
      </c>
      <c r="H2213" s="206"/>
      <c r="I2213" s="206"/>
      <c r="J2213" s="206"/>
      <c r="K2213" s="206"/>
      <c r="L2213" s="206" t="str">
        <v/>
      </c>
      <c r="M2213" s="206" t="str">
        <v/>
      </c>
    </row>
    <row r="2214" spans="1:13" ht="14.4">
      <c r="A2214" s="201" t="str">
        <f ca="1">IFERROR(__xludf.DUMMYFUNCTION("""COMPUTED_VALUE"""),"W")</f>
        <v>W</v>
      </c>
      <c r="B2214" s="209" t="str">
        <f ca="1">IFERROR(__xludf.DUMMYFUNCTION("""COMPUTED_VALUE"""),"Evana Kailey")</f>
        <v>Evana Kailey</v>
      </c>
      <c r="C2214" s="201">
        <f ca="1">IFERROR(__xludf.DUMMYFUNCTION("""COMPUTED_VALUE"""),9)</f>
        <v>9</v>
      </c>
      <c r="D2214" s="201" t="str">
        <f ca="1">IFERROR(__xludf.DUMMYFUNCTION("""COMPUTED_VALUE"""),"G")</f>
        <v>G</v>
      </c>
      <c r="E2214" s="202" t="str">
        <f ca="1">IFERROR(__xludf.DUMMYFUNCTION("""COMPUTED_VALUE"""),"F")</f>
        <v>F</v>
      </c>
      <c r="F2214" s="210" t="str">
        <f ca="1">IFERROR(__xludf.DUMMYFUNCTION("""COMPUTED_VALUE"""),"J")</f>
        <v>J</v>
      </c>
      <c r="G2214" s="210">
        <f ca="1">IFERROR(__xludf.DUMMYFUNCTION("""COMPUTED_VALUE"""),7)</f>
        <v>7</v>
      </c>
      <c r="H2214" s="206"/>
      <c r="I2214" s="206"/>
      <c r="J2214" s="206"/>
      <c r="K2214" s="206"/>
      <c r="L2214" s="206" t="str">
        <v/>
      </c>
      <c r="M2214" s="206" t="str">
        <v/>
      </c>
    </row>
    <row r="2215" spans="1:13" ht="14.4">
      <c r="A2215" s="201" t="str">
        <f ca="1">IFERROR(__xludf.DUMMYFUNCTION("""COMPUTED_VALUE"""),"W")</f>
        <v>W</v>
      </c>
      <c r="B2215" s="209" t="str">
        <f ca="1">IFERROR(__xludf.DUMMYFUNCTION("""COMPUTED_VALUE"""),"Lola Beltran")</f>
        <v>Lola Beltran</v>
      </c>
      <c r="C2215" s="201">
        <f ca="1">IFERROR(__xludf.DUMMYFUNCTION("""COMPUTED_VALUE"""),5)</f>
        <v>5</v>
      </c>
      <c r="D2215" s="201" t="str">
        <f ca="1">IFERROR(__xludf.DUMMYFUNCTION("""COMPUTED_VALUE"""),"G")</f>
        <v>G</v>
      </c>
      <c r="E2215" s="202" t="str">
        <f ca="1">IFERROR(__xludf.DUMMYFUNCTION("""COMPUTED_VALUE"""),"F")</f>
        <v>F</v>
      </c>
      <c r="F2215" s="210" t="str">
        <f ca="1">IFERROR(__xludf.DUMMYFUNCTION("""COMPUTED_VALUE"""),"J")</f>
        <v>J</v>
      </c>
      <c r="G2215" s="210">
        <f ca="1">IFERROR(__xludf.DUMMYFUNCTION("""COMPUTED_VALUE"""),7)</f>
        <v>7</v>
      </c>
      <c r="H2215" s="206">
        <v>7</v>
      </c>
      <c r="I2215" s="206"/>
      <c r="J2215" s="206" t="s">
        <v>121</v>
      </c>
      <c r="K2215" s="206"/>
      <c r="L2215" s="206" t="str">
        <v xml:space="preserve"> 7</v>
      </c>
      <c r="M2215" s="206" t="str">
        <v/>
      </c>
    </row>
    <row r="2216" spans="1:13" ht="14.4">
      <c r="A2216" s="201" t="str">
        <f ca="1">IFERROR(__xludf.DUMMYFUNCTION("""COMPUTED_VALUE"""),"W")</f>
        <v>W</v>
      </c>
      <c r="B2216" s="209" t="str">
        <f ca="1">IFERROR(__xludf.DUMMYFUNCTION("""COMPUTED_VALUE"""),"Miriam Stavlund")</f>
        <v>Miriam Stavlund</v>
      </c>
      <c r="C2216" s="201">
        <f ca="1">IFERROR(__xludf.DUMMYFUNCTION("""COMPUTED_VALUE"""),10)</f>
        <v>10</v>
      </c>
      <c r="D2216" s="201" t="str">
        <f ca="1">IFERROR(__xludf.DUMMYFUNCTION("""COMPUTED_VALUE"""),"G")</f>
        <v>G</v>
      </c>
      <c r="E2216" s="202" t="str">
        <f ca="1">IFERROR(__xludf.DUMMYFUNCTION("""COMPUTED_VALUE"""),"F")</f>
        <v>F</v>
      </c>
      <c r="F2216" s="210" t="str">
        <f ca="1">IFERROR(__xludf.DUMMYFUNCTION("""COMPUTED_VALUE"""),"J")</f>
        <v>J</v>
      </c>
      <c r="G2216" s="210">
        <f ca="1">IFERROR(__xludf.DUMMYFUNCTION("""COMPUTED_VALUE"""),7)</f>
        <v>7</v>
      </c>
      <c r="H2216" s="206">
        <v>16</v>
      </c>
      <c r="I2216" s="206"/>
      <c r="J2216" s="206" t="s">
        <v>121</v>
      </c>
      <c r="K2216" s="206"/>
      <c r="L2216" s="206" t="str">
        <v xml:space="preserve"> 16</v>
      </c>
      <c r="M2216" s="206" t="str">
        <v/>
      </c>
    </row>
    <row r="2217" spans="1:13" ht="14.4">
      <c r="A2217" s="201" t="str">
        <f ca="1">IFERROR(__xludf.DUMMYFUNCTION("""COMPUTED_VALUE"""),"W")</f>
        <v>W</v>
      </c>
      <c r="B2217" s="209" t="str">
        <f ca="1">IFERROR(__xludf.DUMMYFUNCTION("""COMPUTED_VALUE"""),"Rylan Woods")</f>
        <v>Rylan Woods</v>
      </c>
      <c r="C2217" s="201">
        <f ca="1">IFERROR(__xludf.DUMMYFUNCTION("""COMPUTED_VALUE"""),10)</f>
        <v>10</v>
      </c>
      <c r="D2217" s="201" t="str">
        <f ca="1">IFERROR(__xludf.DUMMYFUNCTION("""COMPUTED_VALUE"""),"G")</f>
        <v>G</v>
      </c>
      <c r="E2217" s="202" t="str">
        <f ca="1">IFERROR(__xludf.DUMMYFUNCTION("""COMPUTED_VALUE"""),"F")</f>
        <v>F</v>
      </c>
      <c r="F2217" s="210" t="str">
        <f ca="1">IFERROR(__xludf.DUMMYFUNCTION("""COMPUTED_VALUE"""),"J")</f>
        <v>J</v>
      </c>
      <c r="G2217" s="210">
        <f ca="1">IFERROR(__xludf.DUMMYFUNCTION("""COMPUTED_VALUE"""),7)</f>
        <v>7</v>
      </c>
      <c r="H2217" s="206"/>
      <c r="I2217" s="206"/>
      <c r="J2217" s="206"/>
      <c r="K2217" s="206"/>
      <c r="L2217" s="206" t="str">
        <v/>
      </c>
      <c r="M2217" s="206" t="str">
        <v/>
      </c>
    </row>
    <row r="2218" spans="1:13" ht="14.4">
      <c r="A2218" s="201" t="str">
        <f ca="1">IFERROR(__xludf.DUMMYFUNCTION("""COMPUTED_VALUE"""),"W")</f>
        <v>W</v>
      </c>
      <c r="B2218" s="209" t="str">
        <f ca="1">IFERROR(__xludf.DUMMYFUNCTION("""COMPUTED_VALUE"""),"Sally Horne")</f>
        <v>Sally Horne</v>
      </c>
      <c r="C2218" s="201">
        <f ca="1">IFERROR(__xludf.DUMMYFUNCTION("""COMPUTED_VALUE"""),9)</f>
        <v>9</v>
      </c>
      <c r="D2218" s="201" t="str">
        <f ca="1">IFERROR(__xludf.DUMMYFUNCTION("""COMPUTED_VALUE"""),"G")</f>
        <v>G</v>
      </c>
      <c r="E2218" s="202" t="str">
        <f ca="1">IFERROR(__xludf.DUMMYFUNCTION("""COMPUTED_VALUE"""),"F")</f>
        <v>F</v>
      </c>
      <c r="F2218" s="210" t="str">
        <f ca="1">IFERROR(__xludf.DUMMYFUNCTION("""COMPUTED_VALUE"""),"J")</f>
        <v>J</v>
      </c>
      <c r="G2218" s="210">
        <f ca="1">IFERROR(__xludf.DUMMYFUNCTION("""COMPUTED_VALUE"""),7)</f>
        <v>7</v>
      </c>
      <c r="H2218" s="206">
        <v>48.55</v>
      </c>
      <c r="I2218" s="206"/>
      <c r="J2218" s="206" t="s">
        <v>121</v>
      </c>
      <c r="K2218" s="206"/>
      <c r="L2218" s="206" t="str">
        <v xml:space="preserve"> 48.55</v>
      </c>
      <c r="M2218" s="206" t="str">
        <v/>
      </c>
    </row>
    <row r="2219" spans="1:13" ht="14.4">
      <c r="A2219" s="201" t="str">
        <f ca="1">IFERROR(__xludf.DUMMYFUNCTION("""COMPUTED_VALUE"""),"W")</f>
        <v>W</v>
      </c>
      <c r="B2219" s="209" t="str">
        <f ca="1">IFERROR(__xludf.DUMMYFUNCTION("""COMPUTED_VALUE"""),"Tennley Jackson")</f>
        <v>Tennley Jackson</v>
      </c>
      <c r="C2219" s="201">
        <f ca="1">IFERROR(__xludf.DUMMYFUNCTION("""COMPUTED_VALUE"""),10)</f>
        <v>10</v>
      </c>
      <c r="D2219" s="201" t="str">
        <f ca="1">IFERROR(__xludf.DUMMYFUNCTION("""COMPUTED_VALUE"""),"G")</f>
        <v>G</v>
      </c>
      <c r="E2219" s="202" t="str">
        <f ca="1">IFERROR(__xludf.DUMMYFUNCTION("""COMPUTED_VALUE"""),"F")</f>
        <v>F</v>
      </c>
      <c r="F2219" s="210" t="str">
        <f ca="1">IFERROR(__xludf.DUMMYFUNCTION("""COMPUTED_VALUE"""),"J")</f>
        <v>J</v>
      </c>
      <c r="G2219" s="210">
        <f ca="1">IFERROR(__xludf.DUMMYFUNCTION("""COMPUTED_VALUE"""),7)</f>
        <v>7</v>
      </c>
      <c r="H2219" s="206">
        <v>17.899999999999999</v>
      </c>
      <c r="I2219" s="206"/>
      <c r="J2219" s="206" t="s">
        <v>121</v>
      </c>
      <c r="K2219" s="206"/>
      <c r="L2219" s="206" t="str">
        <v xml:space="preserve"> 17.9</v>
      </c>
      <c r="M2219" s="206" t="str">
        <v/>
      </c>
    </row>
    <row r="2220" spans="1:13" ht="14.4">
      <c r="A2220" s="201" t="str">
        <f ca="1">IFERROR(__xludf.DUMMYFUNCTION("""COMPUTED_VALUE"""),"W")</f>
        <v>W</v>
      </c>
      <c r="B2220" s="209" t="str">
        <f ca="1">IFERROR(__xludf.DUMMYFUNCTION("""COMPUTED_VALUE"""),"Vivian Fernandez")</f>
        <v>Vivian Fernandez</v>
      </c>
      <c r="C2220" s="201">
        <f ca="1">IFERROR(__xludf.DUMMYFUNCTION("""COMPUTED_VALUE"""),10)</f>
        <v>10</v>
      </c>
      <c r="D2220" s="201" t="str">
        <f ca="1">IFERROR(__xludf.DUMMYFUNCTION("""COMPUTED_VALUE"""),"G")</f>
        <v>G</v>
      </c>
      <c r="E2220" s="202" t="str">
        <f ca="1">IFERROR(__xludf.DUMMYFUNCTION("""COMPUTED_VALUE"""),"F")</f>
        <v>F</v>
      </c>
      <c r="F2220" s="210" t="str">
        <f ca="1">IFERROR(__xludf.DUMMYFUNCTION("""COMPUTED_VALUE"""),"J")</f>
        <v>J</v>
      </c>
      <c r="G2220" s="210">
        <f ca="1">IFERROR(__xludf.DUMMYFUNCTION("""COMPUTED_VALUE"""),7)</f>
        <v>7</v>
      </c>
      <c r="H2220" s="206"/>
      <c r="I2220" s="206"/>
      <c r="J2220" s="206"/>
      <c r="K2220" s="206"/>
      <c r="L2220" s="206" t="str">
        <v/>
      </c>
      <c r="M2220" s="206" t="str">
        <v/>
      </c>
    </row>
    <row r="2221" spans="1:13" ht="14.4">
      <c r="A2221" s="201" t="str">
        <f ca="1">IFERROR(__xludf.DUMMYFUNCTION("""COMPUTED_VALUE"""),"W")</f>
        <v>W</v>
      </c>
      <c r="B2221" s="209" t="str">
        <f ca="1">IFERROR(__xludf.DUMMYFUNCTION("""COMPUTED_VALUE"""),"Caleb Hoover")</f>
        <v>Caleb Hoover</v>
      </c>
      <c r="C2221" s="201">
        <f ca="1">IFERROR(__xludf.DUMMYFUNCTION("""COMPUTED_VALUE"""),13)</f>
        <v>13</v>
      </c>
      <c r="D2221" s="201" t="str">
        <f ca="1">IFERROR(__xludf.DUMMYFUNCTION("""COMPUTED_VALUE"""),"B")</f>
        <v>B</v>
      </c>
      <c r="E2221" s="202" t="str">
        <f ca="1">IFERROR(__xludf.DUMMYFUNCTION("""COMPUTED_VALUE"""),"I")</f>
        <v>I</v>
      </c>
      <c r="F2221" s="210" t="str">
        <f ca="1">IFERROR(__xludf.DUMMYFUNCTION("""COMPUTED_VALUE"""),"S")</f>
        <v>S</v>
      </c>
      <c r="G2221" s="210">
        <f ca="1">IFERROR(__xludf.DUMMYFUNCTION("""COMPUTED_VALUE"""),7)</f>
        <v>7</v>
      </c>
      <c r="H2221" s="206"/>
      <c r="I2221" s="206">
        <v>135.55000000000001</v>
      </c>
      <c r="J2221" s="206"/>
      <c r="K2221" s="206" t="s">
        <v>123</v>
      </c>
      <c r="L2221" s="206" t="str">
        <v xml:space="preserve"> -135.55</v>
      </c>
      <c r="M2221" s="206" t="str">
        <v>^</v>
      </c>
    </row>
    <row r="2222" spans="1:13" ht="14.4">
      <c r="A2222" s="201" t="str">
        <f ca="1">IFERROR(__xludf.DUMMYFUNCTION("""COMPUTED_VALUE"""),"W")</f>
        <v>W</v>
      </c>
      <c r="B2222" s="209" t="str">
        <f ca="1">IFERROR(__xludf.DUMMYFUNCTION("""COMPUTED_VALUE"""),"Colt Armstrong")</f>
        <v>Colt Armstrong</v>
      </c>
      <c r="C2222" s="201">
        <f ca="1">IFERROR(__xludf.DUMMYFUNCTION("""COMPUTED_VALUE"""),13)</f>
        <v>13</v>
      </c>
      <c r="D2222" s="201" t="str">
        <f ca="1">IFERROR(__xludf.DUMMYFUNCTION("""COMPUTED_VALUE"""),"B")</f>
        <v>B</v>
      </c>
      <c r="E2222" s="202" t="str">
        <f ca="1">IFERROR(__xludf.DUMMYFUNCTION("""COMPUTED_VALUE"""),"I")</f>
        <v>I</v>
      </c>
      <c r="F2222" s="210" t="str">
        <f ca="1">IFERROR(__xludf.DUMMYFUNCTION("""COMPUTED_VALUE"""),"S")</f>
        <v>S</v>
      </c>
      <c r="G2222" s="210">
        <f ca="1">IFERROR(__xludf.DUMMYFUNCTION("""COMPUTED_VALUE"""),7)</f>
        <v>7</v>
      </c>
      <c r="H2222" s="206"/>
      <c r="I2222" s="206"/>
      <c r="J2222" s="206"/>
      <c r="K2222" s="206"/>
      <c r="L2222" s="206" t="str">
        <v/>
      </c>
      <c r="M2222" s="206" t="str">
        <v/>
      </c>
    </row>
    <row r="2223" spans="1:13" ht="14.4">
      <c r="A2223" s="201" t="str">
        <f ca="1">IFERROR(__xludf.DUMMYFUNCTION("""COMPUTED_VALUE"""),"W")</f>
        <v>W</v>
      </c>
      <c r="B2223" s="209" t="str">
        <f ca="1">IFERROR(__xludf.DUMMYFUNCTION("""COMPUTED_VALUE"""),"Jacob Stickelmaier")</f>
        <v>Jacob Stickelmaier</v>
      </c>
      <c r="C2223" s="201">
        <f ca="1">IFERROR(__xludf.DUMMYFUNCTION("""COMPUTED_VALUE"""),13)</f>
        <v>13</v>
      </c>
      <c r="D2223" s="201" t="str">
        <f ca="1">IFERROR(__xludf.DUMMYFUNCTION("""COMPUTED_VALUE"""),"B")</f>
        <v>B</v>
      </c>
      <c r="E2223" s="202" t="str">
        <f ca="1">IFERROR(__xludf.DUMMYFUNCTION("""COMPUTED_VALUE"""),"I")</f>
        <v>I</v>
      </c>
      <c r="F2223" s="210" t="str">
        <f ca="1">IFERROR(__xludf.DUMMYFUNCTION("""COMPUTED_VALUE"""),"S")</f>
        <v>S</v>
      </c>
      <c r="G2223" s="210">
        <f ca="1">IFERROR(__xludf.DUMMYFUNCTION("""COMPUTED_VALUE"""),7)</f>
        <v>7</v>
      </c>
      <c r="H2223" s="206"/>
      <c r="I2223" s="206"/>
      <c r="J2223" s="206"/>
      <c r="K2223" s="206"/>
      <c r="L2223" s="206" t="str">
        <v/>
      </c>
      <c r="M2223" s="206" t="str">
        <v/>
      </c>
    </row>
    <row r="2224" spans="1:13" ht="14.4">
      <c r="A2224" s="201" t="str">
        <f ca="1">IFERROR(__xludf.DUMMYFUNCTION("""COMPUTED_VALUE"""),"W")</f>
        <v>W</v>
      </c>
      <c r="B2224" s="209" t="str">
        <f ca="1">IFERROR(__xludf.DUMMYFUNCTION("""COMPUTED_VALUE"""),"James Horne")</f>
        <v>James Horne</v>
      </c>
      <c r="C2224" s="201">
        <f ca="1">IFERROR(__xludf.DUMMYFUNCTION("""COMPUTED_VALUE"""),13)</f>
        <v>13</v>
      </c>
      <c r="D2224" s="201" t="str">
        <f ca="1">IFERROR(__xludf.DUMMYFUNCTION("""COMPUTED_VALUE"""),"B")</f>
        <v>B</v>
      </c>
      <c r="E2224" s="202" t="str">
        <f ca="1">IFERROR(__xludf.DUMMYFUNCTION("""COMPUTED_VALUE"""),"I")</f>
        <v>I</v>
      </c>
      <c r="F2224" s="210" t="str">
        <f ca="1">IFERROR(__xludf.DUMMYFUNCTION("""COMPUTED_VALUE"""),"S")</f>
        <v>S</v>
      </c>
      <c r="G2224" s="210">
        <f ca="1">IFERROR(__xludf.DUMMYFUNCTION("""COMPUTED_VALUE"""),7)</f>
        <v>7</v>
      </c>
      <c r="H2224" s="206"/>
      <c r="I2224" s="206">
        <v>38.1</v>
      </c>
      <c r="J2224" s="206"/>
      <c r="K2224" s="206" t="s">
        <v>121</v>
      </c>
      <c r="L2224" s="206" t="str">
        <v xml:space="preserve"> 38.1</v>
      </c>
      <c r="M2224" s="206" t="str">
        <v/>
      </c>
    </row>
    <row r="2225" spans="1:13" ht="14.4">
      <c r="A2225" s="201" t="str">
        <f ca="1">IFERROR(__xludf.DUMMYFUNCTION("""COMPUTED_VALUE"""),"W")</f>
        <v>W</v>
      </c>
      <c r="B2225" s="209" t="str">
        <f ca="1">IFERROR(__xludf.DUMMYFUNCTION("""COMPUTED_VALUE"""),"Elizabeth Bell")</f>
        <v>Elizabeth Bell</v>
      </c>
      <c r="C2225" s="201">
        <f ca="1">IFERROR(__xludf.DUMMYFUNCTION("""COMPUTED_VALUE"""),14)</f>
        <v>14</v>
      </c>
      <c r="D2225" s="201" t="str">
        <f ca="1">IFERROR(__xludf.DUMMYFUNCTION("""COMPUTED_VALUE"""),"G")</f>
        <v>G</v>
      </c>
      <c r="E2225" s="202" t="str">
        <f ca="1">IFERROR(__xludf.DUMMYFUNCTION("""COMPUTED_VALUE"""),"I")</f>
        <v>I</v>
      </c>
      <c r="F2225" s="210" t="str">
        <f ca="1">IFERROR(__xludf.DUMMYFUNCTION("""COMPUTED_VALUE"""),"S")</f>
        <v>S</v>
      </c>
      <c r="G2225" s="210">
        <f ca="1">IFERROR(__xludf.DUMMYFUNCTION("""COMPUTED_VALUE"""),7)</f>
        <v>7</v>
      </c>
      <c r="H2225" s="206">
        <v>137.5</v>
      </c>
      <c r="I2225" s="206"/>
      <c r="J2225" s="206" t="s">
        <v>123</v>
      </c>
      <c r="K2225" s="206"/>
      <c r="L2225" s="206" t="str">
        <v xml:space="preserve"> -137.5</v>
      </c>
      <c r="M2225" s="206" t="str">
        <v>^</v>
      </c>
    </row>
    <row r="2226" spans="1:13" ht="14.4">
      <c r="A2226" s="201" t="str">
        <f ca="1">IFERROR(__xludf.DUMMYFUNCTION("""COMPUTED_VALUE"""),"W")</f>
        <v>W</v>
      </c>
      <c r="B2226" s="209" t="str">
        <f ca="1">IFERROR(__xludf.DUMMYFUNCTION("""COMPUTED_VALUE"""),"Gianna Thiede")</f>
        <v>Gianna Thiede</v>
      </c>
      <c r="C2226" s="201">
        <f ca="1">IFERROR(__xludf.DUMMYFUNCTION("""COMPUTED_VALUE"""),13)</f>
        <v>13</v>
      </c>
      <c r="D2226" s="201" t="str">
        <f ca="1">IFERROR(__xludf.DUMMYFUNCTION("""COMPUTED_VALUE"""),"G")</f>
        <v>G</v>
      </c>
      <c r="E2226" s="202" t="str">
        <f ca="1">IFERROR(__xludf.DUMMYFUNCTION("""COMPUTED_VALUE"""),"I")</f>
        <v>I</v>
      </c>
      <c r="F2226" s="210" t="str">
        <f ca="1">IFERROR(__xludf.DUMMYFUNCTION("""COMPUTED_VALUE"""),"S")</f>
        <v>S</v>
      </c>
      <c r="G2226" s="210">
        <f ca="1">IFERROR(__xludf.DUMMYFUNCTION("""COMPUTED_VALUE"""),7)</f>
        <v>7</v>
      </c>
      <c r="H2226" s="206"/>
      <c r="I2226" s="206"/>
      <c r="J2226" s="206"/>
      <c r="K2226" s="206"/>
      <c r="L2226" s="206" t="str">
        <v/>
      </c>
      <c r="M2226" s="206" t="str">
        <v/>
      </c>
    </row>
    <row r="2227" spans="1:13" ht="14.4">
      <c r="A2227" s="201" t="str">
        <f ca="1">IFERROR(__xludf.DUMMYFUNCTION("""COMPUTED_VALUE"""),"W")</f>
        <v>W</v>
      </c>
      <c r="B2227" s="209" t="str">
        <f ca="1">IFERROR(__xludf.DUMMYFUNCTION("""COMPUTED_VALUE"""),"Helena Horne")</f>
        <v>Helena Horne</v>
      </c>
      <c r="C2227" s="201">
        <f ca="1">IFERROR(__xludf.DUMMYFUNCTION("""COMPUTED_VALUE"""),13)</f>
        <v>13</v>
      </c>
      <c r="D2227" s="201" t="str">
        <f ca="1">IFERROR(__xludf.DUMMYFUNCTION("""COMPUTED_VALUE"""),"G")</f>
        <v>G</v>
      </c>
      <c r="E2227" s="202" t="str">
        <f ca="1">IFERROR(__xludf.DUMMYFUNCTION("""COMPUTED_VALUE"""),"I")</f>
        <v>I</v>
      </c>
      <c r="F2227" s="210" t="str">
        <f ca="1">IFERROR(__xludf.DUMMYFUNCTION("""COMPUTED_VALUE"""),"S")</f>
        <v>S</v>
      </c>
      <c r="G2227" s="210">
        <f ca="1">IFERROR(__xludf.DUMMYFUNCTION("""COMPUTED_VALUE"""),7)</f>
        <v>7</v>
      </c>
      <c r="H2227" s="206">
        <v>84.55</v>
      </c>
      <c r="I2227" s="206"/>
      <c r="J2227" s="206" t="s">
        <v>121</v>
      </c>
      <c r="K2227" s="206"/>
      <c r="L2227" s="206" t="str">
        <v xml:space="preserve"> 84.55</v>
      </c>
      <c r="M2227" s="206" t="str">
        <v/>
      </c>
    </row>
    <row r="2228" spans="1:13" ht="14.4">
      <c r="A2228" s="201" t="str">
        <f ca="1">IFERROR(__xludf.DUMMYFUNCTION("""COMPUTED_VALUE"""),"W")</f>
        <v>W</v>
      </c>
      <c r="B2228" s="209" t="str">
        <f ca="1">IFERROR(__xludf.DUMMYFUNCTION("""COMPUTED_VALUE"""),"Scarlet Temme")</f>
        <v>Scarlet Temme</v>
      </c>
      <c r="C2228" s="201">
        <f ca="1">IFERROR(__xludf.DUMMYFUNCTION("""COMPUTED_VALUE"""),13)</f>
        <v>13</v>
      </c>
      <c r="D2228" s="201" t="str">
        <f ca="1">IFERROR(__xludf.DUMMYFUNCTION("""COMPUTED_VALUE"""),"G")</f>
        <v>G</v>
      </c>
      <c r="E2228" s="202" t="str">
        <f ca="1">IFERROR(__xludf.DUMMYFUNCTION("""COMPUTED_VALUE"""),"I")</f>
        <v>I</v>
      </c>
      <c r="F2228" s="210" t="str">
        <f ca="1">IFERROR(__xludf.DUMMYFUNCTION("""COMPUTED_VALUE"""),"S")</f>
        <v>S</v>
      </c>
      <c r="G2228" s="210">
        <f ca="1">IFERROR(__xludf.DUMMYFUNCTION("""COMPUTED_VALUE"""),7)</f>
        <v>7</v>
      </c>
      <c r="H2228" s="206"/>
      <c r="I2228" s="206"/>
      <c r="J2228" s="206"/>
      <c r="K2228" s="206"/>
      <c r="L2228" s="206" t="str">
        <v/>
      </c>
      <c r="M2228" s="206" t="str">
        <v/>
      </c>
    </row>
    <row r="2229" spans="1:13" ht="14.4">
      <c r="A2229" s="201" t="str">
        <f ca="1">IFERROR(__xludf.DUMMYFUNCTION("""COMPUTED_VALUE"""),"W")</f>
        <v>W</v>
      </c>
      <c r="B2229" s="209" t="str">
        <f ca="1">IFERROR(__xludf.DUMMYFUNCTION("""COMPUTED_VALUE"""),"Tatum Kline")</f>
        <v>Tatum Kline</v>
      </c>
      <c r="C2229" s="201">
        <f ca="1">IFERROR(__xludf.DUMMYFUNCTION("""COMPUTED_VALUE"""),14)</f>
        <v>14</v>
      </c>
      <c r="D2229" s="201" t="str">
        <f ca="1">IFERROR(__xludf.DUMMYFUNCTION("""COMPUTED_VALUE"""),"G")</f>
        <v>G</v>
      </c>
      <c r="E2229" s="202" t="str">
        <f ca="1">IFERROR(__xludf.DUMMYFUNCTION("""COMPUTED_VALUE"""),"I")</f>
        <v>I</v>
      </c>
      <c r="F2229" s="210" t="str">
        <f ca="1">IFERROR(__xludf.DUMMYFUNCTION("""COMPUTED_VALUE"""),"S")</f>
        <v>S</v>
      </c>
      <c r="G2229" s="210">
        <f ca="1">IFERROR(__xludf.DUMMYFUNCTION("""COMPUTED_VALUE"""),7)</f>
        <v>7</v>
      </c>
      <c r="H2229" s="206">
        <v>135.4</v>
      </c>
      <c r="I2229" s="206"/>
      <c r="J2229" s="206" t="s">
        <v>123</v>
      </c>
      <c r="K2229" s="206"/>
      <c r="L2229" s="206" t="str">
        <v xml:space="preserve"> -135.4</v>
      </c>
      <c r="M2229" s="206" t="str">
        <v>^</v>
      </c>
    </row>
    <row r="2230" spans="1:13" ht="14.4">
      <c r="A2230" s="201" t="str">
        <f ca="1">IFERROR(__xludf.DUMMYFUNCTION("""COMPUTED_VALUE"""),"W")</f>
        <v>W</v>
      </c>
      <c r="B2230" s="209" t="str">
        <f ca="1">IFERROR(__xludf.DUMMYFUNCTION("""COMPUTED_VALUE"""),"Benjamin Pollack")</f>
        <v>Benjamin Pollack</v>
      </c>
      <c r="C2230" s="201">
        <f ca="1">IFERROR(__xludf.DUMMYFUNCTION("""COMPUTED_VALUE"""),11)</f>
        <v>11</v>
      </c>
      <c r="D2230" s="201" t="str">
        <f ca="1">IFERROR(__xludf.DUMMYFUNCTION("""COMPUTED_VALUE"""),"B")</f>
        <v>B</v>
      </c>
      <c r="E2230" s="202" t="str">
        <f ca="1">IFERROR(__xludf.DUMMYFUNCTION("""COMPUTED_VALUE"""),"J")</f>
        <v>J</v>
      </c>
      <c r="F2230" s="210" t="str">
        <f ca="1">IFERROR(__xludf.DUMMYFUNCTION("""COMPUTED_VALUE"""),"I")</f>
        <v>I</v>
      </c>
      <c r="G2230" s="210">
        <f ca="1">IFERROR(__xludf.DUMMYFUNCTION("""COMPUTED_VALUE"""),7)</f>
        <v>7</v>
      </c>
      <c r="H2230" s="206"/>
      <c r="I2230" s="206">
        <v>63.65</v>
      </c>
      <c r="J2230" s="206"/>
      <c r="K2230" s="206" t="s">
        <v>121</v>
      </c>
      <c r="L2230" s="206" t="str">
        <v xml:space="preserve"> 63.65</v>
      </c>
      <c r="M2230" s="206" t="str">
        <v/>
      </c>
    </row>
    <row r="2231" spans="1:13" ht="14.4">
      <c r="A2231" s="201" t="str">
        <f ca="1">IFERROR(__xludf.DUMMYFUNCTION("""COMPUTED_VALUE"""),"W")</f>
        <v>W</v>
      </c>
      <c r="B2231" s="209" t="str">
        <f ca="1">IFERROR(__xludf.DUMMYFUNCTION("""COMPUTED_VALUE"""),"John Horne")</f>
        <v>John Horne</v>
      </c>
      <c r="C2231" s="201">
        <f ca="1">IFERROR(__xludf.DUMMYFUNCTION("""COMPUTED_VALUE"""),12)</f>
        <v>12</v>
      </c>
      <c r="D2231" s="201" t="str">
        <f ca="1">IFERROR(__xludf.DUMMYFUNCTION("""COMPUTED_VALUE"""),"B")</f>
        <v>B</v>
      </c>
      <c r="E2231" s="202" t="str">
        <f ca="1">IFERROR(__xludf.DUMMYFUNCTION("""COMPUTED_VALUE"""),"J")</f>
        <v>J</v>
      </c>
      <c r="F2231" s="210" t="str">
        <f ca="1">IFERROR(__xludf.DUMMYFUNCTION("""COMPUTED_VALUE"""),"I")</f>
        <v>I</v>
      </c>
      <c r="G2231" s="210">
        <f ca="1">IFERROR(__xludf.DUMMYFUNCTION("""COMPUTED_VALUE"""),7)</f>
        <v>7</v>
      </c>
      <c r="H2231" s="206"/>
      <c r="I2231" s="206">
        <v>55.85</v>
      </c>
      <c r="J2231" s="206"/>
      <c r="K2231" s="206" t="s">
        <v>121</v>
      </c>
      <c r="L2231" s="206" t="str">
        <v xml:space="preserve"> 55.85</v>
      </c>
      <c r="M2231" s="206" t="str">
        <v/>
      </c>
    </row>
    <row r="2232" spans="1:13" ht="14.4">
      <c r="A2232" s="201" t="str">
        <f ca="1">IFERROR(__xludf.DUMMYFUNCTION("""COMPUTED_VALUE"""),"W")</f>
        <v>W</v>
      </c>
      <c r="B2232" s="209" t="str">
        <f ca="1">IFERROR(__xludf.DUMMYFUNCTION("""COMPUTED_VALUE"""),"Zachary Napoli")</f>
        <v>Zachary Napoli</v>
      </c>
      <c r="C2232" s="201">
        <f ca="1">IFERROR(__xludf.DUMMYFUNCTION("""COMPUTED_VALUE"""),11)</f>
        <v>11</v>
      </c>
      <c r="D2232" s="201" t="str">
        <f ca="1">IFERROR(__xludf.DUMMYFUNCTION("""COMPUTED_VALUE"""),"B")</f>
        <v>B</v>
      </c>
      <c r="E2232" s="202" t="str">
        <f ca="1">IFERROR(__xludf.DUMMYFUNCTION("""COMPUTED_VALUE"""),"J")</f>
        <v>J</v>
      </c>
      <c r="F2232" s="210" t="str">
        <f ca="1">IFERROR(__xludf.DUMMYFUNCTION("""COMPUTED_VALUE"""),"I")</f>
        <v>I</v>
      </c>
      <c r="G2232" s="210">
        <f ca="1">IFERROR(__xludf.DUMMYFUNCTION("""COMPUTED_VALUE"""),7)</f>
        <v>7</v>
      </c>
      <c r="H2232" s="206"/>
      <c r="I2232" s="206">
        <v>81</v>
      </c>
      <c r="J2232" s="206"/>
      <c r="K2232" s="206" t="s">
        <v>123</v>
      </c>
      <c r="L2232" s="206" t="str">
        <v xml:space="preserve"> -81</v>
      </c>
      <c r="M2232" s="206" t="str">
        <v>^</v>
      </c>
    </row>
    <row r="2233" spans="1:13" ht="14.4">
      <c r="A2233" s="201" t="str">
        <f ca="1">IFERROR(__xludf.DUMMYFUNCTION("""COMPUTED_VALUE"""),"W")</f>
        <v>W</v>
      </c>
      <c r="B2233" s="209" t="str">
        <f ca="1">IFERROR(__xludf.DUMMYFUNCTION("""COMPUTED_VALUE"""),"Anna Lucia Stavlund")</f>
        <v>Anna Lucia Stavlund</v>
      </c>
      <c r="C2233" s="201">
        <f ca="1">IFERROR(__xludf.DUMMYFUNCTION("""COMPUTED_VALUE"""),12)</f>
        <v>12</v>
      </c>
      <c r="D2233" s="201" t="str">
        <f ca="1">IFERROR(__xludf.DUMMYFUNCTION("""COMPUTED_VALUE"""),"G")</f>
        <v>G</v>
      </c>
      <c r="E2233" s="202" t="str">
        <f ca="1">IFERROR(__xludf.DUMMYFUNCTION("""COMPUTED_VALUE"""),"J")</f>
        <v>J</v>
      </c>
      <c r="F2233" s="210" t="str">
        <f ca="1">IFERROR(__xludf.DUMMYFUNCTION("""COMPUTED_VALUE"""),"I")</f>
        <v>I</v>
      </c>
      <c r="G2233" s="210">
        <f ca="1">IFERROR(__xludf.DUMMYFUNCTION("""COMPUTED_VALUE"""),7)</f>
        <v>7</v>
      </c>
      <c r="H2233" s="206"/>
      <c r="I2233" s="206"/>
      <c r="J2233" s="206"/>
      <c r="K2233" s="206"/>
      <c r="L2233" s="206" t="str">
        <v/>
      </c>
      <c r="M2233" s="206" t="str">
        <v/>
      </c>
    </row>
    <row r="2234" spans="1:13" ht="14.4">
      <c r="A2234" s="201" t="str">
        <f ca="1">IFERROR(__xludf.DUMMYFUNCTION("""COMPUTED_VALUE"""),"W")</f>
        <v>W</v>
      </c>
      <c r="B2234" s="209" t="str">
        <f ca="1">IFERROR(__xludf.DUMMYFUNCTION("""COMPUTED_VALUE"""),"Isabelle Horne")</f>
        <v>Isabelle Horne</v>
      </c>
      <c r="C2234" s="201">
        <f ca="1">IFERROR(__xludf.DUMMYFUNCTION("""COMPUTED_VALUE"""),12)</f>
        <v>12</v>
      </c>
      <c r="D2234" s="201" t="str">
        <f ca="1">IFERROR(__xludf.DUMMYFUNCTION("""COMPUTED_VALUE"""),"G")</f>
        <v>G</v>
      </c>
      <c r="E2234" s="202" t="str">
        <f ca="1">IFERROR(__xludf.DUMMYFUNCTION("""COMPUTED_VALUE"""),"J")</f>
        <v>J</v>
      </c>
      <c r="F2234" s="210" t="str">
        <f ca="1">IFERROR(__xludf.DUMMYFUNCTION("""COMPUTED_VALUE"""),"I")</f>
        <v>I</v>
      </c>
      <c r="G2234" s="210">
        <f ca="1">IFERROR(__xludf.DUMMYFUNCTION("""COMPUTED_VALUE"""),7)</f>
        <v>7</v>
      </c>
      <c r="H2234" s="206">
        <v>77</v>
      </c>
      <c r="I2234" s="206"/>
      <c r="J2234" s="206" t="s">
        <v>123</v>
      </c>
      <c r="K2234" s="206"/>
      <c r="L2234" s="206" t="str">
        <v xml:space="preserve"> -77</v>
      </c>
      <c r="M2234" s="206" t="str">
        <v>^</v>
      </c>
    </row>
    <row r="2235" spans="1:13" ht="14.4">
      <c r="A2235" s="201" t="str">
        <f ca="1">IFERROR(__xludf.DUMMYFUNCTION("""COMPUTED_VALUE"""),"W")</f>
        <v>W</v>
      </c>
      <c r="B2235" s="209" t="str">
        <f ca="1">IFERROR(__xludf.DUMMYFUNCTION("""COMPUTED_VALUE"""),"Luciana Fernandez")</f>
        <v>Luciana Fernandez</v>
      </c>
      <c r="C2235" s="201">
        <f ca="1">IFERROR(__xludf.DUMMYFUNCTION("""COMPUTED_VALUE"""),12)</f>
        <v>12</v>
      </c>
      <c r="D2235" s="201" t="str">
        <f ca="1">IFERROR(__xludf.DUMMYFUNCTION("""COMPUTED_VALUE"""),"G")</f>
        <v>G</v>
      </c>
      <c r="E2235" s="202" t="str">
        <f ca="1">IFERROR(__xludf.DUMMYFUNCTION("""COMPUTED_VALUE"""),"J")</f>
        <v>J</v>
      </c>
      <c r="F2235" s="210" t="str">
        <f ca="1">IFERROR(__xludf.DUMMYFUNCTION("""COMPUTED_VALUE"""),"I")</f>
        <v>I</v>
      </c>
      <c r="G2235" s="210">
        <f ca="1">IFERROR(__xludf.DUMMYFUNCTION("""COMPUTED_VALUE"""),7)</f>
        <v>7</v>
      </c>
      <c r="H2235" s="206"/>
      <c r="I2235" s="206"/>
      <c r="J2235" s="206"/>
      <c r="K2235" s="206"/>
      <c r="L2235" s="206" t="str">
        <v/>
      </c>
      <c r="M2235" s="206" t="str">
        <v/>
      </c>
    </row>
    <row r="2236" spans="1:13" ht="14.4">
      <c r="A2236" s="201" t="str">
        <f ca="1">IFERROR(__xludf.DUMMYFUNCTION("""COMPUTED_VALUE"""),"W")</f>
        <v>W</v>
      </c>
      <c r="B2236" s="209" t="str">
        <f ca="1">IFERROR(__xludf.DUMMYFUNCTION("""COMPUTED_VALUE"""),"Sara Armstrong")</f>
        <v>Sara Armstrong</v>
      </c>
      <c r="C2236" s="201">
        <f ca="1">IFERROR(__xludf.DUMMYFUNCTION("""COMPUTED_VALUE"""),11)</f>
        <v>11</v>
      </c>
      <c r="D2236" s="201" t="str">
        <f ca="1">IFERROR(__xludf.DUMMYFUNCTION("""COMPUTED_VALUE"""),"G")</f>
        <v>G</v>
      </c>
      <c r="E2236" s="202" t="str">
        <f ca="1">IFERROR(__xludf.DUMMYFUNCTION("""COMPUTED_VALUE"""),"J")</f>
        <v>J</v>
      </c>
      <c r="F2236" s="210" t="str">
        <f ca="1">IFERROR(__xludf.DUMMYFUNCTION("""COMPUTED_VALUE"""),"I")</f>
        <v>I</v>
      </c>
      <c r="G2236" s="210">
        <f ca="1">IFERROR(__xludf.DUMMYFUNCTION("""COMPUTED_VALUE"""),7)</f>
        <v>7</v>
      </c>
      <c r="H2236" s="206"/>
      <c r="I2236" s="206"/>
      <c r="J2236" s="206"/>
      <c r="K2236" s="206"/>
      <c r="L2236" s="206" t="str">
        <v/>
      </c>
      <c r="M2236" s="206" t="str">
        <v/>
      </c>
    </row>
    <row r="2237" spans="1:13" ht="14.4">
      <c r="A2237" s="201" t="str">
        <f ca="1">IFERROR(__xludf.DUMMYFUNCTION("""COMPUTED_VALUE"""),"W")</f>
        <v>W</v>
      </c>
      <c r="B2237" s="209" t="str">
        <f ca="1">IFERROR(__xludf.DUMMYFUNCTION("""COMPUTED_VALUE"""),"David Graham")</f>
        <v>David Graham</v>
      </c>
      <c r="C2237" s="201">
        <f ca="1">IFERROR(__xludf.DUMMYFUNCTION("""COMPUTED_VALUE"""),18)</f>
        <v>18</v>
      </c>
      <c r="D2237" s="201" t="str">
        <f ca="1">IFERROR(__xludf.DUMMYFUNCTION("""COMPUTED_VALUE"""),"B")</f>
        <v>B</v>
      </c>
      <c r="E2237" s="202" t="str">
        <f ca="1">IFERROR(__xludf.DUMMYFUNCTION("""COMPUTED_VALUE"""),"S")</f>
        <v>S</v>
      </c>
      <c r="F2237" s="210" t="str">
        <f ca="1">IFERROR(__xludf.DUMMYFUNCTION("""COMPUTED_VALUE"""),"S")</f>
        <v>S</v>
      </c>
      <c r="G2237" s="210">
        <f ca="1">IFERROR(__xludf.DUMMYFUNCTION("""COMPUTED_VALUE"""),7)</f>
        <v>7</v>
      </c>
      <c r="H2237" s="206"/>
      <c r="I2237" s="206"/>
      <c r="J2237" s="206"/>
      <c r="K2237" s="206"/>
      <c r="L2237" s="206" t="str">
        <v/>
      </c>
      <c r="M2237" s="206" t="str">
        <v/>
      </c>
    </row>
    <row r="2238" spans="1:13" ht="14.4">
      <c r="A2238" s="201" t="str">
        <f ca="1">IFERROR(__xludf.DUMMYFUNCTION("""COMPUTED_VALUE"""),"W")</f>
        <v>W</v>
      </c>
      <c r="B2238" s="209" t="str">
        <f ca="1">IFERROR(__xludf.DUMMYFUNCTION("""COMPUTED_VALUE"""),"Silas Mitchell")</f>
        <v>Silas Mitchell</v>
      </c>
      <c r="C2238" s="201">
        <f ca="1">IFERROR(__xludf.DUMMYFUNCTION("""COMPUTED_VALUE"""),15)</f>
        <v>15</v>
      </c>
      <c r="D2238" s="201" t="str">
        <f ca="1">IFERROR(__xludf.DUMMYFUNCTION("""COMPUTED_VALUE"""),"B")</f>
        <v>B</v>
      </c>
      <c r="E2238" s="202" t="str">
        <f ca="1">IFERROR(__xludf.DUMMYFUNCTION("""COMPUTED_VALUE"""),"S")</f>
        <v>S</v>
      </c>
      <c r="F2238" s="210" t="str">
        <f ca="1">IFERROR(__xludf.DUMMYFUNCTION("""COMPUTED_VALUE"""),"S")</f>
        <v>S</v>
      </c>
      <c r="G2238" s="210">
        <f ca="1">IFERROR(__xludf.DUMMYFUNCTION("""COMPUTED_VALUE"""),7)</f>
        <v>7</v>
      </c>
      <c r="H2238" s="206"/>
      <c r="I2238" s="206">
        <v>131.75</v>
      </c>
      <c r="J2238" s="206"/>
      <c r="K2238" s="206" t="s">
        <v>121</v>
      </c>
      <c r="L2238" s="206" t="str">
        <v xml:space="preserve"> 131.75</v>
      </c>
      <c r="M2238" s="206" t="str">
        <v/>
      </c>
    </row>
    <row r="2239" spans="1:13" ht="14.4">
      <c r="A2239" s="201" t="str">
        <f ca="1">IFERROR(__xludf.DUMMYFUNCTION("""COMPUTED_VALUE"""),"W")</f>
        <v>W</v>
      </c>
      <c r="B2239" s="209" t="str">
        <f ca="1">IFERROR(__xludf.DUMMYFUNCTION("""COMPUTED_VALUE"""),"Eleanor Stavlund")</f>
        <v>Eleanor Stavlund</v>
      </c>
      <c r="C2239" s="201">
        <f ca="1">IFERROR(__xludf.DUMMYFUNCTION("""COMPUTED_VALUE"""),15)</f>
        <v>15</v>
      </c>
      <c r="D2239" s="201" t="str">
        <f ca="1">IFERROR(__xludf.DUMMYFUNCTION("""COMPUTED_VALUE"""),"G")</f>
        <v>G</v>
      </c>
      <c r="E2239" s="202" t="str">
        <f ca="1">IFERROR(__xludf.DUMMYFUNCTION("""COMPUTED_VALUE"""),"S")</f>
        <v>S</v>
      </c>
      <c r="F2239" s="210" t="str">
        <f ca="1">IFERROR(__xludf.DUMMYFUNCTION("""COMPUTED_VALUE"""),"S")</f>
        <v>S</v>
      </c>
      <c r="G2239" s="210">
        <f ca="1">IFERROR(__xludf.DUMMYFUNCTION("""COMPUTED_VALUE"""),7)</f>
        <v>7</v>
      </c>
      <c r="H2239" s="206"/>
      <c r="I2239" s="206"/>
      <c r="J2239" s="206"/>
      <c r="K2239" s="206"/>
      <c r="L2239" s="206" t="str">
        <v/>
      </c>
      <c r="M2239" s="206" t="str">
        <v/>
      </c>
    </row>
    <row r="2240" spans="1:13" ht="14.4">
      <c r="A2240" s="201" t="str">
        <f ca="1">IFERROR(__xludf.DUMMYFUNCTION("""COMPUTED_VALUE"""),"WC")</f>
        <v>WC</v>
      </c>
      <c r="B2240" s="209" t="str">
        <f ca="1">IFERROR(__xludf.DUMMYFUNCTION("""COMPUTED_VALUE"""),"Andrew Bierma")</f>
        <v>Andrew Bierma</v>
      </c>
      <c r="C2240" s="201">
        <f ca="1">IFERROR(__xludf.DUMMYFUNCTION("""COMPUTED_VALUE"""),10)</f>
        <v>10</v>
      </c>
      <c r="D2240" s="201" t="str">
        <f ca="1">IFERROR(__xludf.DUMMYFUNCTION("""COMPUTED_VALUE"""),"B")</f>
        <v>B</v>
      </c>
      <c r="E2240" s="202" t="str">
        <f ca="1">IFERROR(__xludf.DUMMYFUNCTION("""COMPUTED_VALUE"""),"F")</f>
        <v>F</v>
      </c>
      <c r="F2240" s="210" t="str">
        <f ca="1">IFERROR(__xludf.DUMMYFUNCTION("""COMPUTED_VALUE"""),"J")</f>
        <v>J</v>
      </c>
      <c r="G2240" s="210">
        <f ca="1">IFERROR(__xludf.DUMMYFUNCTION("""COMPUTED_VALUE"""),4)</f>
        <v>4</v>
      </c>
      <c r="H2240" s="206"/>
      <c r="I2240" s="206"/>
      <c r="J2240" s="206"/>
      <c r="K2240" s="206"/>
      <c r="L2240" s="206" t="str">
        <v/>
      </c>
      <c r="M2240" s="206" t="str">
        <v/>
      </c>
    </row>
    <row r="2241" spans="1:13" ht="14.4">
      <c r="A2241" s="201" t="str">
        <f ca="1">IFERROR(__xludf.DUMMYFUNCTION("""COMPUTED_VALUE"""),"WC")</f>
        <v>WC</v>
      </c>
      <c r="B2241" s="209" t="str">
        <f ca="1">IFERROR(__xludf.DUMMYFUNCTION("""COMPUTED_VALUE"""),"Donald Sheldon")</f>
        <v>Donald Sheldon</v>
      </c>
      <c r="C2241" s="201">
        <f ca="1">IFERROR(__xludf.DUMMYFUNCTION("""COMPUTED_VALUE"""),9)</f>
        <v>9</v>
      </c>
      <c r="D2241" s="201" t="str">
        <f ca="1">IFERROR(__xludf.DUMMYFUNCTION("""COMPUTED_VALUE"""),"B")</f>
        <v>B</v>
      </c>
      <c r="E2241" s="202" t="str">
        <f ca="1">IFERROR(__xludf.DUMMYFUNCTION("""COMPUTED_VALUE"""),"F")</f>
        <v>F</v>
      </c>
      <c r="F2241" s="210" t="str">
        <f ca="1">IFERROR(__xludf.DUMMYFUNCTION("""COMPUTED_VALUE"""),"J")</f>
        <v>J</v>
      </c>
      <c r="G2241" s="210">
        <f ca="1">IFERROR(__xludf.DUMMYFUNCTION("""COMPUTED_VALUE"""),4)</f>
        <v>4</v>
      </c>
      <c r="H2241" s="206"/>
      <c r="I2241" s="206"/>
      <c r="J2241" s="206"/>
      <c r="K2241" s="206"/>
      <c r="L2241" s="206" t="str">
        <v/>
      </c>
      <c r="M2241" s="206" t="str">
        <v/>
      </c>
    </row>
    <row r="2242" spans="1:13" ht="14.4">
      <c r="A2242" s="201" t="str">
        <f ca="1">IFERROR(__xludf.DUMMYFUNCTION("""COMPUTED_VALUE"""),"WC")</f>
        <v>WC</v>
      </c>
      <c r="B2242" s="209" t="str">
        <f ca="1">IFERROR(__xludf.DUMMYFUNCTION("""COMPUTED_VALUE"""),"Eric Campagna")</f>
        <v>Eric Campagna</v>
      </c>
      <c r="C2242" s="201">
        <f ca="1">IFERROR(__xludf.DUMMYFUNCTION("""COMPUTED_VALUE"""),8)</f>
        <v>8</v>
      </c>
      <c r="D2242" s="201" t="str">
        <f ca="1">IFERROR(__xludf.DUMMYFUNCTION("""COMPUTED_VALUE"""),"B")</f>
        <v>B</v>
      </c>
      <c r="E2242" s="202" t="str">
        <f ca="1">IFERROR(__xludf.DUMMYFUNCTION("""COMPUTED_VALUE"""),"F")</f>
        <v>F</v>
      </c>
      <c r="F2242" s="210" t="str">
        <f ca="1">IFERROR(__xludf.DUMMYFUNCTION("""COMPUTED_VALUE"""),"J")</f>
        <v>J</v>
      </c>
      <c r="G2242" s="210">
        <f ca="1">IFERROR(__xludf.DUMMYFUNCTION("""COMPUTED_VALUE"""),4)</f>
        <v>4</v>
      </c>
      <c r="H2242" s="206"/>
      <c r="I2242" s="206"/>
      <c r="J2242" s="206"/>
      <c r="K2242" s="206"/>
      <c r="L2242" s="206" t="str">
        <v/>
      </c>
      <c r="M2242" s="206" t="str">
        <v/>
      </c>
    </row>
    <row r="2243" spans="1:13" ht="14.4">
      <c r="A2243" s="201" t="str">
        <f ca="1">IFERROR(__xludf.DUMMYFUNCTION("""COMPUTED_VALUE"""),"WC")</f>
        <v>WC</v>
      </c>
      <c r="B2243" s="209" t="str">
        <f ca="1">IFERROR(__xludf.DUMMYFUNCTION("""COMPUTED_VALUE"""),"Freddy Wood")</f>
        <v>Freddy Wood</v>
      </c>
      <c r="C2243" s="201">
        <f ca="1">IFERROR(__xludf.DUMMYFUNCTION("""COMPUTED_VALUE"""),8)</f>
        <v>8</v>
      </c>
      <c r="D2243" s="201" t="str">
        <f ca="1">IFERROR(__xludf.DUMMYFUNCTION("""COMPUTED_VALUE"""),"B")</f>
        <v>B</v>
      </c>
      <c r="E2243" s="202" t="str">
        <f ca="1">IFERROR(__xludf.DUMMYFUNCTION("""COMPUTED_VALUE"""),"F")</f>
        <v>F</v>
      </c>
      <c r="F2243" s="210" t="str">
        <f ca="1">IFERROR(__xludf.DUMMYFUNCTION("""COMPUTED_VALUE"""),"J")</f>
        <v>J</v>
      </c>
      <c r="G2243" s="210">
        <f ca="1">IFERROR(__xludf.DUMMYFUNCTION("""COMPUTED_VALUE"""),4)</f>
        <v>4</v>
      </c>
      <c r="H2243" s="206"/>
      <c r="I2243" s="206"/>
      <c r="J2243" s="206"/>
      <c r="K2243" s="206"/>
      <c r="L2243" s="206" t="str">
        <v/>
      </c>
      <c r="M2243" s="206" t="str">
        <v/>
      </c>
    </row>
    <row r="2244" spans="1:13" ht="14.4">
      <c r="A2244" s="201" t="str">
        <f ca="1">IFERROR(__xludf.DUMMYFUNCTION("""COMPUTED_VALUE"""),"WC")</f>
        <v>WC</v>
      </c>
      <c r="B2244" s="209" t="str">
        <f ca="1">IFERROR(__xludf.DUMMYFUNCTION("""COMPUTED_VALUE"""),"Garrett Mansuy")</f>
        <v>Garrett Mansuy</v>
      </c>
      <c r="C2244" s="201">
        <f ca="1">IFERROR(__xludf.DUMMYFUNCTION("""COMPUTED_VALUE"""),7)</f>
        <v>7</v>
      </c>
      <c r="D2244" s="201" t="str">
        <f ca="1">IFERROR(__xludf.DUMMYFUNCTION("""COMPUTED_VALUE"""),"B")</f>
        <v>B</v>
      </c>
      <c r="E2244" s="202" t="str">
        <f ca="1">IFERROR(__xludf.DUMMYFUNCTION("""COMPUTED_VALUE"""),"F")</f>
        <v>F</v>
      </c>
      <c r="F2244" s="210" t="str">
        <f ca="1">IFERROR(__xludf.DUMMYFUNCTION("""COMPUTED_VALUE"""),"J")</f>
        <v>J</v>
      </c>
      <c r="G2244" s="210">
        <f ca="1">IFERROR(__xludf.DUMMYFUNCTION("""COMPUTED_VALUE"""),4)</f>
        <v>4</v>
      </c>
      <c r="H2244" s="206"/>
      <c r="I2244" s="206">
        <v>41.6</v>
      </c>
      <c r="J2244" s="206"/>
      <c r="K2244" s="206" t="s">
        <v>121</v>
      </c>
      <c r="L2244" s="206" t="str">
        <v xml:space="preserve"> 41.6</v>
      </c>
      <c r="M2244" s="206" t="str">
        <v/>
      </c>
    </row>
    <row r="2245" spans="1:13" ht="14.4">
      <c r="A2245" s="201" t="str">
        <f ca="1">IFERROR(__xludf.DUMMYFUNCTION("""COMPUTED_VALUE"""),"WC")</f>
        <v>WC</v>
      </c>
      <c r="B2245" s="209" t="str">
        <f ca="1">IFERROR(__xludf.DUMMYFUNCTION("""COMPUTED_VALUE"""),"Graham Grinnell")</f>
        <v>Graham Grinnell</v>
      </c>
      <c r="C2245" s="201">
        <f ca="1">IFERROR(__xludf.DUMMYFUNCTION("""COMPUTED_VALUE"""),7)</f>
        <v>7</v>
      </c>
      <c r="D2245" s="201" t="str">
        <f ca="1">IFERROR(__xludf.DUMMYFUNCTION("""COMPUTED_VALUE"""),"B")</f>
        <v>B</v>
      </c>
      <c r="E2245" s="202" t="str">
        <f ca="1">IFERROR(__xludf.DUMMYFUNCTION("""COMPUTED_VALUE"""),"F")</f>
        <v>F</v>
      </c>
      <c r="F2245" s="210" t="str">
        <f ca="1">IFERROR(__xludf.DUMMYFUNCTION("""COMPUTED_VALUE"""),"J")</f>
        <v>J</v>
      </c>
      <c r="G2245" s="210">
        <f ca="1">IFERROR(__xludf.DUMMYFUNCTION("""COMPUTED_VALUE"""),4)</f>
        <v>4</v>
      </c>
      <c r="H2245" s="206"/>
      <c r="I2245" s="206"/>
      <c r="J2245" s="206"/>
      <c r="K2245" s="206"/>
      <c r="L2245" s="206" t="str">
        <v/>
      </c>
      <c r="M2245" s="206" t="str">
        <v/>
      </c>
    </row>
    <row r="2246" spans="1:13" ht="14.4">
      <c r="A2246" s="201" t="str">
        <f ca="1">IFERROR(__xludf.DUMMYFUNCTION("""COMPUTED_VALUE"""),"WC")</f>
        <v>WC</v>
      </c>
      <c r="B2246" s="209" t="str">
        <f ca="1">IFERROR(__xludf.DUMMYFUNCTION("""COMPUTED_VALUE"""),"Lucas Thompson")</f>
        <v>Lucas Thompson</v>
      </c>
      <c r="C2246" s="201">
        <f ca="1">IFERROR(__xludf.DUMMYFUNCTION("""COMPUTED_VALUE"""),9)</f>
        <v>9</v>
      </c>
      <c r="D2246" s="201" t="str">
        <f ca="1">IFERROR(__xludf.DUMMYFUNCTION("""COMPUTED_VALUE"""),"B")</f>
        <v>B</v>
      </c>
      <c r="E2246" s="202" t="str">
        <f ca="1">IFERROR(__xludf.DUMMYFUNCTION("""COMPUTED_VALUE"""),"F")</f>
        <v>F</v>
      </c>
      <c r="F2246" s="210" t="str">
        <f ca="1">IFERROR(__xludf.DUMMYFUNCTION("""COMPUTED_VALUE"""),"J")</f>
        <v>J</v>
      </c>
      <c r="G2246" s="210">
        <f ca="1">IFERROR(__xludf.DUMMYFUNCTION("""COMPUTED_VALUE"""),4)</f>
        <v>4</v>
      </c>
      <c r="H2246" s="206"/>
      <c r="I2246" s="206"/>
      <c r="J2246" s="206"/>
      <c r="K2246" s="206"/>
      <c r="L2246" s="206" t="str">
        <v/>
      </c>
      <c r="M2246" s="206" t="str">
        <v/>
      </c>
    </row>
    <row r="2247" spans="1:13" ht="14.4">
      <c r="A2247" s="201" t="str">
        <f ca="1">IFERROR(__xludf.DUMMYFUNCTION("""COMPUTED_VALUE"""),"WC")</f>
        <v>WC</v>
      </c>
      <c r="B2247" s="209" t="str">
        <f ca="1">IFERROR(__xludf.DUMMYFUNCTION("""COMPUTED_VALUE"""),"Randolph Shults")</f>
        <v>Randolph Shults</v>
      </c>
      <c r="C2247" s="201">
        <f ca="1">IFERROR(__xludf.DUMMYFUNCTION("""COMPUTED_VALUE"""),9)</f>
        <v>9</v>
      </c>
      <c r="D2247" s="201" t="str">
        <f ca="1">IFERROR(__xludf.DUMMYFUNCTION("""COMPUTED_VALUE"""),"B")</f>
        <v>B</v>
      </c>
      <c r="E2247" s="202" t="str">
        <f ca="1">IFERROR(__xludf.DUMMYFUNCTION("""COMPUTED_VALUE"""),"F")</f>
        <v>F</v>
      </c>
      <c r="F2247" s="210" t="str">
        <f ca="1">IFERROR(__xludf.DUMMYFUNCTION("""COMPUTED_VALUE"""),"J")</f>
        <v>J</v>
      </c>
      <c r="G2247" s="210">
        <f ca="1">IFERROR(__xludf.DUMMYFUNCTION("""COMPUTED_VALUE"""),4)</f>
        <v>4</v>
      </c>
      <c r="H2247" s="206"/>
      <c r="I2247" s="206">
        <v>41.4</v>
      </c>
      <c r="J2247" s="206"/>
      <c r="K2247" s="206" t="s">
        <v>121</v>
      </c>
      <c r="L2247" s="206" t="str">
        <v xml:space="preserve"> 41.4</v>
      </c>
      <c r="M2247" s="206" t="str">
        <v/>
      </c>
    </row>
    <row r="2248" spans="1:13" ht="14.4">
      <c r="A2248" s="201" t="str">
        <f ca="1">IFERROR(__xludf.DUMMYFUNCTION("""COMPUTED_VALUE"""),"WC")</f>
        <v>WC</v>
      </c>
      <c r="B2248" s="209" t="str">
        <f ca="1">IFERROR(__xludf.DUMMYFUNCTION("""COMPUTED_VALUE"""),"Sullivan McNamara")</f>
        <v>Sullivan McNamara</v>
      </c>
      <c r="C2248" s="201">
        <f ca="1">IFERROR(__xludf.DUMMYFUNCTION("""COMPUTED_VALUE"""),8)</f>
        <v>8</v>
      </c>
      <c r="D2248" s="201" t="str">
        <f ca="1">IFERROR(__xludf.DUMMYFUNCTION("""COMPUTED_VALUE"""),"B")</f>
        <v>B</v>
      </c>
      <c r="E2248" s="202" t="str">
        <f ca="1">IFERROR(__xludf.DUMMYFUNCTION("""COMPUTED_VALUE"""),"F")</f>
        <v>F</v>
      </c>
      <c r="F2248" s="210" t="str">
        <f ca="1">IFERROR(__xludf.DUMMYFUNCTION("""COMPUTED_VALUE"""),"J")</f>
        <v>J</v>
      </c>
      <c r="G2248" s="210">
        <f ca="1">IFERROR(__xludf.DUMMYFUNCTION("""COMPUTED_VALUE"""),4)</f>
        <v>4</v>
      </c>
      <c r="H2248" s="206"/>
      <c r="I2248" s="206">
        <v>65.3</v>
      </c>
      <c r="J2248" s="206"/>
      <c r="K2248" s="206" t="s">
        <v>121</v>
      </c>
      <c r="L2248" s="206" t="str">
        <v xml:space="preserve"> 65.3</v>
      </c>
      <c r="M2248" s="206" t="str">
        <v/>
      </c>
    </row>
    <row r="2249" spans="1:13" ht="14.4">
      <c r="A2249" s="201" t="str">
        <f ca="1">IFERROR(__xludf.DUMMYFUNCTION("""COMPUTED_VALUE"""),"WC")</f>
        <v>WC</v>
      </c>
      <c r="B2249" s="209" t="str">
        <f ca="1">IFERROR(__xludf.DUMMYFUNCTION("""COMPUTED_VALUE"""),"William Burke")</f>
        <v>William Burke</v>
      </c>
      <c r="C2249" s="201">
        <f ca="1">IFERROR(__xludf.DUMMYFUNCTION("""COMPUTED_VALUE"""),9)</f>
        <v>9</v>
      </c>
      <c r="D2249" s="201" t="str">
        <f ca="1">IFERROR(__xludf.DUMMYFUNCTION("""COMPUTED_VALUE"""),"B")</f>
        <v>B</v>
      </c>
      <c r="E2249" s="202" t="str">
        <f ca="1">IFERROR(__xludf.DUMMYFUNCTION("""COMPUTED_VALUE"""),"F")</f>
        <v>F</v>
      </c>
      <c r="F2249" s="210" t="str">
        <f ca="1">IFERROR(__xludf.DUMMYFUNCTION("""COMPUTED_VALUE"""),"J")</f>
        <v>J</v>
      </c>
      <c r="G2249" s="210">
        <f ca="1">IFERROR(__xludf.DUMMYFUNCTION("""COMPUTED_VALUE"""),4)</f>
        <v>4</v>
      </c>
      <c r="H2249" s="206"/>
      <c r="I2249" s="206"/>
      <c r="J2249" s="206"/>
      <c r="K2249" s="206"/>
      <c r="L2249" s="206" t="str">
        <v/>
      </c>
      <c r="M2249" s="206" t="str">
        <v/>
      </c>
    </row>
    <row r="2250" spans="1:13" ht="14.4">
      <c r="A2250" s="201" t="str">
        <f ca="1">IFERROR(__xludf.DUMMYFUNCTION("""COMPUTED_VALUE"""),"WC")</f>
        <v>WC</v>
      </c>
      <c r="B2250" s="209" t="str">
        <f ca="1">IFERROR(__xludf.DUMMYFUNCTION("""COMPUTED_VALUE"""),"Ana Negrelli")</f>
        <v>Ana Negrelli</v>
      </c>
      <c r="C2250" s="201">
        <f ca="1">IFERROR(__xludf.DUMMYFUNCTION("""COMPUTED_VALUE"""),7)</f>
        <v>7</v>
      </c>
      <c r="D2250" s="201" t="str">
        <f ca="1">IFERROR(__xludf.DUMMYFUNCTION("""COMPUTED_VALUE"""),"G")</f>
        <v>G</v>
      </c>
      <c r="E2250" s="202" t="str">
        <f ca="1">IFERROR(__xludf.DUMMYFUNCTION("""COMPUTED_VALUE"""),"F")</f>
        <v>F</v>
      </c>
      <c r="F2250" s="210" t="str">
        <f ca="1">IFERROR(__xludf.DUMMYFUNCTION("""COMPUTED_VALUE"""),"J")</f>
        <v>J</v>
      </c>
      <c r="G2250" s="210">
        <f ca="1">IFERROR(__xludf.DUMMYFUNCTION("""COMPUTED_VALUE"""),4)</f>
        <v>4</v>
      </c>
      <c r="H2250" s="206"/>
      <c r="I2250" s="206"/>
      <c r="J2250" s="206"/>
      <c r="K2250" s="206"/>
      <c r="L2250" s="206" t="str">
        <v/>
      </c>
      <c r="M2250" s="206" t="str">
        <v/>
      </c>
    </row>
    <row r="2251" spans="1:13" ht="14.4">
      <c r="A2251" s="201" t="str">
        <f ca="1">IFERROR(__xludf.DUMMYFUNCTION("""COMPUTED_VALUE"""),"WC")</f>
        <v>WC</v>
      </c>
      <c r="B2251" s="209" t="str">
        <f ca="1">IFERROR(__xludf.DUMMYFUNCTION("""COMPUTED_VALUE"""),"Annabelle Ebaugh")</f>
        <v>Annabelle Ebaugh</v>
      </c>
      <c r="C2251" s="201">
        <f ca="1">IFERROR(__xludf.DUMMYFUNCTION("""COMPUTED_VALUE"""),10)</f>
        <v>10</v>
      </c>
      <c r="D2251" s="201" t="str">
        <f ca="1">IFERROR(__xludf.DUMMYFUNCTION("""COMPUTED_VALUE"""),"G")</f>
        <v>G</v>
      </c>
      <c r="E2251" s="202" t="str">
        <f ca="1">IFERROR(__xludf.DUMMYFUNCTION("""COMPUTED_VALUE"""),"F")</f>
        <v>F</v>
      </c>
      <c r="F2251" s="210" t="str">
        <f ca="1">IFERROR(__xludf.DUMMYFUNCTION("""COMPUTED_VALUE"""),"J")</f>
        <v>J</v>
      </c>
      <c r="G2251" s="210">
        <f ca="1">IFERROR(__xludf.DUMMYFUNCTION("""COMPUTED_VALUE"""),4)</f>
        <v>4</v>
      </c>
      <c r="H2251" s="206">
        <v>68.900000000000006</v>
      </c>
      <c r="I2251" s="206"/>
      <c r="J2251" s="206" t="s">
        <v>121</v>
      </c>
      <c r="K2251" s="206"/>
      <c r="L2251" s="206" t="str">
        <v xml:space="preserve"> 68.9</v>
      </c>
      <c r="M2251" s="206" t="str">
        <v/>
      </c>
    </row>
    <row r="2252" spans="1:13" ht="14.4">
      <c r="A2252" s="201" t="str">
        <f ca="1">IFERROR(__xludf.DUMMYFUNCTION("""COMPUTED_VALUE"""),"WC")</f>
        <v>WC</v>
      </c>
      <c r="B2252" s="209" t="str">
        <f ca="1">IFERROR(__xludf.DUMMYFUNCTION("""COMPUTED_VALUE"""),"Annelise Saunders")</f>
        <v>Annelise Saunders</v>
      </c>
      <c r="C2252" s="201">
        <f ca="1">IFERROR(__xludf.DUMMYFUNCTION("""COMPUTED_VALUE"""),7)</f>
        <v>7</v>
      </c>
      <c r="D2252" s="201" t="str">
        <f ca="1">IFERROR(__xludf.DUMMYFUNCTION("""COMPUTED_VALUE"""),"G")</f>
        <v>G</v>
      </c>
      <c r="E2252" s="202" t="str">
        <f ca="1">IFERROR(__xludf.DUMMYFUNCTION("""COMPUTED_VALUE"""),"F")</f>
        <v>F</v>
      </c>
      <c r="F2252" s="210" t="str">
        <f ca="1">IFERROR(__xludf.DUMMYFUNCTION("""COMPUTED_VALUE"""),"J")</f>
        <v>J</v>
      </c>
      <c r="G2252" s="210">
        <f ca="1">IFERROR(__xludf.DUMMYFUNCTION("""COMPUTED_VALUE"""),4)</f>
        <v>4</v>
      </c>
      <c r="H2252" s="206">
        <v>30.9</v>
      </c>
      <c r="I2252" s="206"/>
      <c r="J2252" s="206" t="s">
        <v>121</v>
      </c>
      <c r="K2252" s="206"/>
      <c r="L2252" s="206" t="str">
        <v xml:space="preserve"> 30.9</v>
      </c>
      <c r="M2252" s="206" t="str">
        <v/>
      </c>
    </row>
    <row r="2253" spans="1:13" ht="14.4">
      <c r="A2253" s="201" t="str">
        <f ca="1">IFERROR(__xludf.DUMMYFUNCTION("""COMPUTED_VALUE"""),"WC")</f>
        <v>WC</v>
      </c>
      <c r="B2253" s="209" t="str">
        <f ca="1">IFERROR(__xludf.DUMMYFUNCTION("""COMPUTED_VALUE"""),"Averie Watkins")</f>
        <v>Averie Watkins</v>
      </c>
      <c r="C2253" s="201">
        <f ca="1">IFERROR(__xludf.DUMMYFUNCTION("""COMPUTED_VALUE"""),10)</f>
        <v>10</v>
      </c>
      <c r="D2253" s="201" t="str">
        <f ca="1">IFERROR(__xludf.DUMMYFUNCTION("""COMPUTED_VALUE"""),"G")</f>
        <v>G</v>
      </c>
      <c r="E2253" s="202" t="str">
        <f ca="1">IFERROR(__xludf.DUMMYFUNCTION("""COMPUTED_VALUE"""),"F")</f>
        <v>F</v>
      </c>
      <c r="F2253" s="210" t="str">
        <f ca="1">IFERROR(__xludf.DUMMYFUNCTION("""COMPUTED_VALUE"""),"J")</f>
        <v>J</v>
      </c>
      <c r="G2253" s="210">
        <f ca="1">IFERROR(__xludf.DUMMYFUNCTION("""COMPUTED_VALUE"""),4)</f>
        <v>4</v>
      </c>
      <c r="H2253" s="206"/>
      <c r="I2253" s="206"/>
      <c r="J2253" s="206"/>
      <c r="K2253" s="206"/>
      <c r="L2253" s="206" t="str">
        <v/>
      </c>
      <c r="M2253" s="206" t="str">
        <v/>
      </c>
    </row>
    <row r="2254" spans="1:13" ht="14.4">
      <c r="A2254" s="201" t="str">
        <f ca="1">IFERROR(__xludf.DUMMYFUNCTION("""COMPUTED_VALUE"""),"WC")</f>
        <v>WC</v>
      </c>
      <c r="B2254" s="209" t="str">
        <f ca="1">IFERROR(__xludf.DUMMYFUNCTION("""COMPUTED_VALUE"""),"Bailey Themak")</f>
        <v>Bailey Themak</v>
      </c>
      <c r="C2254" s="201">
        <f ca="1">IFERROR(__xludf.DUMMYFUNCTION("""COMPUTED_VALUE"""),7)</f>
        <v>7</v>
      </c>
      <c r="D2254" s="201" t="str">
        <f ca="1">IFERROR(__xludf.DUMMYFUNCTION("""COMPUTED_VALUE"""),"G")</f>
        <v>G</v>
      </c>
      <c r="E2254" s="202" t="str">
        <f ca="1">IFERROR(__xludf.DUMMYFUNCTION("""COMPUTED_VALUE"""),"F")</f>
        <v>F</v>
      </c>
      <c r="F2254" s="210" t="str">
        <f ca="1">IFERROR(__xludf.DUMMYFUNCTION("""COMPUTED_VALUE"""),"J")</f>
        <v>J</v>
      </c>
      <c r="G2254" s="210">
        <f ca="1">IFERROR(__xludf.DUMMYFUNCTION("""COMPUTED_VALUE"""),4)</f>
        <v>4</v>
      </c>
      <c r="H2254" s="206"/>
      <c r="I2254" s="206"/>
      <c r="J2254" s="206"/>
      <c r="K2254" s="206"/>
      <c r="L2254" s="206" t="str">
        <v/>
      </c>
      <c r="M2254" s="206" t="str">
        <v/>
      </c>
    </row>
    <row r="2255" spans="1:13" ht="14.4">
      <c r="A2255" s="201" t="str">
        <f ca="1">IFERROR(__xludf.DUMMYFUNCTION("""COMPUTED_VALUE"""),"WC")</f>
        <v>WC</v>
      </c>
      <c r="B2255" s="209" t="str">
        <f ca="1">IFERROR(__xludf.DUMMYFUNCTION("""COMPUTED_VALUE"""),"Eleanor Manos")</f>
        <v>Eleanor Manos</v>
      </c>
      <c r="C2255" s="201">
        <f ca="1">IFERROR(__xludf.DUMMYFUNCTION("""COMPUTED_VALUE"""),9)</f>
        <v>9</v>
      </c>
      <c r="D2255" s="201" t="str">
        <f ca="1">IFERROR(__xludf.DUMMYFUNCTION("""COMPUTED_VALUE"""),"G")</f>
        <v>G</v>
      </c>
      <c r="E2255" s="202" t="str">
        <f ca="1">IFERROR(__xludf.DUMMYFUNCTION("""COMPUTED_VALUE"""),"F")</f>
        <v>F</v>
      </c>
      <c r="F2255" s="210" t="str">
        <f ca="1">IFERROR(__xludf.DUMMYFUNCTION("""COMPUTED_VALUE"""),"J")</f>
        <v>J</v>
      </c>
      <c r="G2255" s="210">
        <f ca="1">IFERROR(__xludf.DUMMYFUNCTION("""COMPUTED_VALUE"""),4)</f>
        <v>4</v>
      </c>
      <c r="H2255" s="206">
        <v>47.6</v>
      </c>
      <c r="I2255" s="206"/>
      <c r="J2255" s="206" t="s">
        <v>121</v>
      </c>
      <c r="K2255" s="206"/>
      <c r="L2255" s="206" t="str">
        <v xml:space="preserve"> 47.6</v>
      </c>
      <c r="M2255" s="206" t="str">
        <v/>
      </c>
    </row>
    <row r="2256" spans="1:13" ht="14.4">
      <c r="A2256" s="201" t="str">
        <f ca="1">IFERROR(__xludf.DUMMYFUNCTION("""COMPUTED_VALUE"""),"WC")</f>
        <v>WC</v>
      </c>
      <c r="B2256" s="209" t="str">
        <f ca="1">IFERROR(__xludf.DUMMYFUNCTION("""COMPUTED_VALUE"""),"Emily Fay")</f>
        <v>Emily Fay</v>
      </c>
      <c r="C2256" s="201">
        <f ca="1">IFERROR(__xludf.DUMMYFUNCTION("""COMPUTED_VALUE"""),9)</f>
        <v>9</v>
      </c>
      <c r="D2256" s="201" t="str">
        <f ca="1">IFERROR(__xludf.DUMMYFUNCTION("""COMPUTED_VALUE"""),"G")</f>
        <v>G</v>
      </c>
      <c r="E2256" s="202" t="str">
        <f ca="1">IFERROR(__xludf.DUMMYFUNCTION("""COMPUTED_VALUE"""),"F")</f>
        <v>F</v>
      </c>
      <c r="F2256" s="210" t="str">
        <f ca="1">IFERROR(__xludf.DUMMYFUNCTION("""COMPUTED_VALUE"""),"J")</f>
        <v>J</v>
      </c>
      <c r="G2256" s="210">
        <f ca="1">IFERROR(__xludf.DUMMYFUNCTION("""COMPUTED_VALUE"""),4)</f>
        <v>4</v>
      </c>
      <c r="H2256" s="206">
        <v>63.5</v>
      </c>
      <c r="I2256" s="206"/>
      <c r="J2256" s="206" t="s">
        <v>121</v>
      </c>
      <c r="K2256" s="206"/>
      <c r="L2256" s="206" t="str">
        <v xml:space="preserve"> 63.5</v>
      </c>
      <c r="M2256" s="206" t="str">
        <v/>
      </c>
    </row>
    <row r="2257" spans="1:13" ht="14.4">
      <c r="A2257" s="201" t="str">
        <f ca="1">IFERROR(__xludf.DUMMYFUNCTION("""COMPUTED_VALUE"""),"WC")</f>
        <v>WC</v>
      </c>
      <c r="B2257" s="209" t="str">
        <f ca="1">IFERROR(__xludf.DUMMYFUNCTION("""COMPUTED_VALUE"""),"Emma Naing")</f>
        <v>Emma Naing</v>
      </c>
      <c r="C2257" s="201">
        <f ca="1">IFERROR(__xludf.DUMMYFUNCTION("""COMPUTED_VALUE"""),8)</f>
        <v>8</v>
      </c>
      <c r="D2257" s="201" t="str">
        <f ca="1">IFERROR(__xludf.DUMMYFUNCTION("""COMPUTED_VALUE"""),"G")</f>
        <v>G</v>
      </c>
      <c r="E2257" s="202" t="str">
        <f ca="1">IFERROR(__xludf.DUMMYFUNCTION("""COMPUTED_VALUE"""),"F")</f>
        <v>F</v>
      </c>
      <c r="F2257" s="210" t="str">
        <f ca="1">IFERROR(__xludf.DUMMYFUNCTION("""COMPUTED_VALUE"""),"J")</f>
        <v>J</v>
      </c>
      <c r="G2257" s="210">
        <f ca="1">IFERROR(__xludf.DUMMYFUNCTION("""COMPUTED_VALUE"""),4)</f>
        <v>4</v>
      </c>
      <c r="H2257" s="206"/>
      <c r="I2257" s="206"/>
      <c r="J2257" s="206"/>
      <c r="K2257" s="206"/>
      <c r="L2257" s="206" t="str">
        <v/>
      </c>
      <c r="M2257" s="206" t="str">
        <v/>
      </c>
    </row>
    <row r="2258" spans="1:13" ht="14.4">
      <c r="A2258" s="201" t="str">
        <f ca="1">IFERROR(__xludf.DUMMYFUNCTION("""COMPUTED_VALUE"""),"WC")</f>
        <v>WC</v>
      </c>
      <c r="B2258" s="209" t="str">
        <f ca="1">IFERROR(__xludf.DUMMYFUNCTION("""COMPUTED_VALUE"""),"Erin Grinnell")</f>
        <v>Erin Grinnell</v>
      </c>
      <c r="C2258" s="201">
        <f ca="1">IFERROR(__xludf.DUMMYFUNCTION("""COMPUTED_VALUE"""),10)</f>
        <v>10</v>
      </c>
      <c r="D2258" s="201" t="str">
        <f ca="1">IFERROR(__xludf.DUMMYFUNCTION("""COMPUTED_VALUE"""),"G")</f>
        <v>G</v>
      </c>
      <c r="E2258" s="202" t="str">
        <f ca="1">IFERROR(__xludf.DUMMYFUNCTION("""COMPUTED_VALUE"""),"F")</f>
        <v>F</v>
      </c>
      <c r="F2258" s="210" t="str">
        <f ca="1">IFERROR(__xludf.DUMMYFUNCTION("""COMPUTED_VALUE"""),"J")</f>
        <v>J</v>
      </c>
      <c r="G2258" s="210">
        <f ca="1">IFERROR(__xludf.DUMMYFUNCTION("""COMPUTED_VALUE"""),4)</f>
        <v>4</v>
      </c>
      <c r="H2258" s="206">
        <v>40.4</v>
      </c>
      <c r="I2258" s="206"/>
      <c r="J2258" s="206" t="s">
        <v>121</v>
      </c>
      <c r="K2258" s="206"/>
      <c r="L2258" s="206" t="str">
        <v xml:space="preserve"> 40.4</v>
      </c>
      <c r="M2258" s="206" t="str">
        <v/>
      </c>
    </row>
    <row r="2259" spans="1:13" ht="14.4">
      <c r="A2259" s="201" t="str">
        <f ca="1">IFERROR(__xludf.DUMMYFUNCTION("""COMPUTED_VALUE"""),"WC")</f>
        <v>WC</v>
      </c>
      <c r="B2259" s="209" t="str">
        <f ca="1">IFERROR(__xludf.DUMMYFUNCTION("""COMPUTED_VALUE"""),"Eva Negrelli")</f>
        <v>Eva Negrelli</v>
      </c>
      <c r="C2259" s="201">
        <f ca="1">IFERROR(__xludf.DUMMYFUNCTION("""COMPUTED_VALUE"""),9)</f>
        <v>9</v>
      </c>
      <c r="D2259" s="201" t="str">
        <f ca="1">IFERROR(__xludf.DUMMYFUNCTION("""COMPUTED_VALUE"""),"G")</f>
        <v>G</v>
      </c>
      <c r="E2259" s="202" t="str">
        <f ca="1">IFERROR(__xludf.DUMMYFUNCTION("""COMPUTED_VALUE"""),"F")</f>
        <v>F</v>
      </c>
      <c r="F2259" s="210" t="str">
        <f ca="1">IFERROR(__xludf.DUMMYFUNCTION("""COMPUTED_VALUE"""),"J")</f>
        <v>J</v>
      </c>
      <c r="G2259" s="210">
        <f ca="1">IFERROR(__xludf.DUMMYFUNCTION("""COMPUTED_VALUE"""),4)</f>
        <v>4</v>
      </c>
      <c r="H2259" s="206">
        <v>57.5</v>
      </c>
      <c r="I2259" s="206"/>
      <c r="J2259" s="206" t="s">
        <v>121</v>
      </c>
      <c r="K2259" s="206"/>
      <c r="L2259" s="206" t="str">
        <v xml:space="preserve"> 57.5</v>
      </c>
      <c r="M2259" s="206" t="str">
        <v/>
      </c>
    </row>
    <row r="2260" spans="1:13" ht="14.4">
      <c r="A2260" s="201" t="str">
        <f ca="1">IFERROR(__xludf.DUMMYFUNCTION("""COMPUTED_VALUE"""),"WC")</f>
        <v>WC</v>
      </c>
      <c r="B2260" s="209" t="str">
        <f ca="1">IFERROR(__xludf.DUMMYFUNCTION("""COMPUTED_VALUE"""),"Isabella Naing")</f>
        <v>Isabella Naing</v>
      </c>
      <c r="C2260" s="201">
        <f ca="1">IFERROR(__xludf.DUMMYFUNCTION("""COMPUTED_VALUE"""),10)</f>
        <v>10</v>
      </c>
      <c r="D2260" s="201" t="str">
        <f ca="1">IFERROR(__xludf.DUMMYFUNCTION("""COMPUTED_VALUE"""),"G")</f>
        <v>G</v>
      </c>
      <c r="E2260" s="202" t="str">
        <f ca="1">IFERROR(__xludf.DUMMYFUNCTION("""COMPUTED_VALUE"""),"F")</f>
        <v>F</v>
      </c>
      <c r="F2260" s="210" t="str">
        <f ca="1">IFERROR(__xludf.DUMMYFUNCTION("""COMPUTED_VALUE"""),"J")</f>
        <v>J</v>
      </c>
      <c r="G2260" s="210">
        <f ca="1">IFERROR(__xludf.DUMMYFUNCTION("""COMPUTED_VALUE"""),4)</f>
        <v>4</v>
      </c>
      <c r="H2260" s="206"/>
      <c r="I2260" s="206"/>
      <c r="J2260" s="206"/>
      <c r="K2260" s="206"/>
      <c r="L2260" s="206" t="str">
        <v/>
      </c>
      <c r="M2260" s="206" t="str">
        <v/>
      </c>
    </row>
    <row r="2261" spans="1:13" ht="14.4">
      <c r="A2261" s="201" t="str">
        <f ca="1">IFERROR(__xludf.DUMMYFUNCTION("""COMPUTED_VALUE"""),"WC")</f>
        <v>WC</v>
      </c>
      <c r="B2261" s="209" t="str">
        <f ca="1">IFERROR(__xludf.DUMMYFUNCTION("""COMPUTED_VALUE"""),"Ivonne Valle")</f>
        <v>Ivonne Valle</v>
      </c>
      <c r="C2261" s="201">
        <f ca="1">IFERROR(__xludf.DUMMYFUNCTION("""COMPUTED_VALUE"""),8)</f>
        <v>8</v>
      </c>
      <c r="D2261" s="201" t="str">
        <f ca="1">IFERROR(__xludf.DUMMYFUNCTION("""COMPUTED_VALUE"""),"G")</f>
        <v>G</v>
      </c>
      <c r="E2261" s="202" t="str">
        <f ca="1">IFERROR(__xludf.DUMMYFUNCTION("""COMPUTED_VALUE"""),"F")</f>
        <v>F</v>
      </c>
      <c r="F2261" s="210" t="str">
        <f ca="1">IFERROR(__xludf.DUMMYFUNCTION("""COMPUTED_VALUE"""),"J")</f>
        <v>J</v>
      </c>
      <c r="G2261" s="210">
        <f ca="1">IFERROR(__xludf.DUMMYFUNCTION("""COMPUTED_VALUE"""),4)</f>
        <v>4</v>
      </c>
      <c r="H2261" s="206"/>
      <c r="I2261" s="206"/>
      <c r="J2261" s="206"/>
      <c r="K2261" s="206"/>
      <c r="L2261" s="206" t="str">
        <v/>
      </c>
      <c r="M2261" s="206" t="str">
        <v/>
      </c>
    </row>
    <row r="2262" spans="1:13" ht="14.4">
      <c r="A2262" s="201" t="str">
        <f ca="1">IFERROR(__xludf.DUMMYFUNCTION("""COMPUTED_VALUE"""),"WC")</f>
        <v>WC</v>
      </c>
      <c r="B2262" s="209" t="str">
        <f ca="1">IFERROR(__xludf.DUMMYFUNCTION("""COMPUTED_VALUE"""),"Joelle Saunders")</f>
        <v>Joelle Saunders</v>
      </c>
      <c r="C2262" s="201">
        <f ca="1">IFERROR(__xludf.DUMMYFUNCTION("""COMPUTED_VALUE"""),9)</f>
        <v>9</v>
      </c>
      <c r="D2262" s="201" t="str">
        <f ca="1">IFERROR(__xludf.DUMMYFUNCTION("""COMPUTED_VALUE"""),"G")</f>
        <v>G</v>
      </c>
      <c r="E2262" s="202" t="str">
        <f ca="1">IFERROR(__xludf.DUMMYFUNCTION("""COMPUTED_VALUE"""),"F")</f>
        <v>F</v>
      </c>
      <c r="F2262" s="210" t="str">
        <f ca="1">IFERROR(__xludf.DUMMYFUNCTION("""COMPUTED_VALUE"""),"J")</f>
        <v>J</v>
      </c>
      <c r="G2262" s="210">
        <f ca="1">IFERROR(__xludf.DUMMYFUNCTION("""COMPUTED_VALUE"""),4)</f>
        <v>4</v>
      </c>
      <c r="H2262" s="206">
        <v>64.099999999999994</v>
      </c>
      <c r="I2262" s="206"/>
      <c r="J2262" s="206" t="s">
        <v>121</v>
      </c>
      <c r="K2262" s="206"/>
      <c r="L2262" s="206" t="str">
        <v xml:space="preserve"> 64.1</v>
      </c>
      <c r="M2262" s="206" t="str">
        <v/>
      </c>
    </row>
    <row r="2263" spans="1:13" ht="14.4">
      <c r="A2263" s="201" t="str">
        <f ca="1">IFERROR(__xludf.DUMMYFUNCTION("""COMPUTED_VALUE"""),"WC")</f>
        <v>WC</v>
      </c>
      <c r="B2263" s="209" t="str">
        <f ca="1">IFERROR(__xludf.DUMMYFUNCTION("""COMPUTED_VALUE"""),"Kaitlin Ebaugh")</f>
        <v>Kaitlin Ebaugh</v>
      </c>
      <c r="C2263" s="201">
        <f ca="1">IFERROR(__xludf.DUMMYFUNCTION("""COMPUTED_VALUE"""),7)</f>
        <v>7</v>
      </c>
      <c r="D2263" s="201" t="str">
        <f ca="1">IFERROR(__xludf.DUMMYFUNCTION("""COMPUTED_VALUE"""),"G")</f>
        <v>G</v>
      </c>
      <c r="E2263" s="202" t="str">
        <f ca="1">IFERROR(__xludf.DUMMYFUNCTION("""COMPUTED_VALUE"""),"F")</f>
        <v>F</v>
      </c>
      <c r="F2263" s="210" t="str">
        <f ca="1">IFERROR(__xludf.DUMMYFUNCTION("""COMPUTED_VALUE"""),"J")</f>
        <v>J</v>
      </c>
      <c r="G2263" s="210">
        <f ca="1">IFERROR(__xludf.DUMMYFUNCTION("""COMPUTED_VALUE"""),4)</f>
        <v>4</v>
      </c>
      <c r="H2263" s="206"/>
      <c r="I2263" s="206"/>
      <c r="J2263" s="206"/>
      <c r="K2263" s="206"/>
      <c r="L2263" s="206" t="str">
        <v/>
      </c>
      <c r="M2263" s="206" t="str">
        <v/>
      </c>
    </row>
    <row r="2264" spans="1:13" ht="14.4">
      <c r="A2264" s="201" t="str">
        <f ca="1">IFERROR(__xludf.DUMMYFUNCTION("""COMPUTED_VALUE"""),"WC")</f>
        <v>WC</v>
      </c>
      <c r="B2264" s="209" t="str">
        <f ca="1">IFERROR(__xludf.DUMMYFUNCTION("""COMPUTED_VALUE"""),"Katherine Tkachuk")</f>
        <v>Katherine Tkachuk</v>
      </c>
      <c r="C2264" s="201">
        <f ca="1">IFERROR(__xludf.DUMMYFUNCTION("""COMPUTED_VALUE"""),10)</f>
        <v>10</v>
      </c>
      <c r="D2264" s="201" t="str">
        <f ca="1">IFERROR(__xludf.DUMMYFUNCTION("""COMPUTED_VALUE"""),"G")</f>
        <v>G</v>
      </c>
      <c r="E2264" s="202" t="str">
        <f ca="1">IFERROR(__xludf.DUMMYFUNCTION("""COMPUTED_VALUE"""),"F")</f>
        <v>F</v>
      </c>
      <c r="F2264" s="210" t="str">
        <f ca="1">IFERROR(__xludf.DUMMYFUNCTION("""COMPUTED_VALUE"""),"J")</f>
        <v>J</v>
      </c>
      <c r="G2264" s="210">
        <f ca="1">IFERROR(__xludf.DUMMYFUNCTION("""COMPUTED_VALUE"""),4)</f>
        <v>4</v>
      </c>
      <c r="H2264" s="206"/>
      <c r="I2264" s="206"/>
      <c r="J2264" s="206"/>
      <c r="K2264" s="206"/>
      <c r="L2264" s="206" t="str">
        <v/>
      </c>
      <c r="M2264" s="206" t="str">
        <v/>
      </c>
    </row>
    <row r="2265" spans="1:13" ht="14.4">
      <c r="A2265" s="201" t="str">
        <f ca="1">IFERROR(__xludf.DUMMYFUNCTION("""COMPUTED_VALUE"""),"WC")</f>
        <v>WC</v>
      </c>
      <c r="B2265" s="209" t="str">
        <f ca="1">IFERROR(__xludf.DUMMYFUNCTION("""COMPUTED_VALUE"""),"Leyat Belay")</f>
        <v>Leyat Belay</v>
      </c>
      <c r="C2265" s="201">
        <f ca="1">IFERROR(__xludf.DUMMYFUNCTION("""COMPUTED_VALUE"""),10)</f>
        <v>10</v>
      </c>
      <c r="D2265" s="201" t="str">
        <f ca="1">IFERROR(__xludf.DUMMYFUNCTION("""COMPUTED_VALUE"""),"G")</f>
        <v>G</v>
      </c>
      <c r="E2265" s="202" t="str">
        <f ca="1">IFERROR(__xludf.DUMMYFUNCTION("""COMPUTED_VALUE"""),"F")</f>
        <v>F</v>
      </c>
      <c r="F2265" s="210" t="str">
        <f ca="1">IFERROR(__xludf.DUMMYFUNCTION("""COMPUTED_VALUE"""),"J")</f>
        <v>J</v>
      </c>
      <c r="G2265" s="210">
        <f ca="1">IFERROR(__xludf.DUMMYFUNCTION("""COMPUTED_VALUE"""),4)</f>
        <v>4</v>
      </c>
      <c r="H2265" s="206"/>
      <c r="I2265" s="206"/>
      <c r="J2265" s="206"/>
      <c r="K2265" s="206"/>
      <c r="L2265" s="206" t="str">
        <v/>
      </c>
      <c r="M2265" s="206" t="str">
        <v/>
      </c>
    </row>
    <row r="2266" spans="1:13" ht="14.4">
      <c r="A2266" s="201" t="str">
        <f ca="1">IFERROR(__xludf.DUMMYFUNCTION("""COMPUTED_VALUE"""),"WC")</f>
        <v>WC</v>
      </c>
      <c r="B2266" s="209" t="str">
        <f ca="1">IFERROR(__xludf.DUMMYFUNCTION("""COMPUTED_VALUE"""),"Lily Verne")</f>
        <v>Lily Verne</v>
      </c>
      <c r="C2266" s="201">
        <f ca="1">IFERROR(__xludf.DUMMYFUNCTION("""COMPUTED_VALUE"""),9)</f>
        <v>9</v>
      </c>
      <c r="D2266" s="201" t="str">
        <f ca="1">IFERROR(__xludf.DUMMYFUNCTION("""COMPUTED_VALUE"""),"G")</f>
        <v>G</v>
      </c>
      <c r="E2266" s="202" t="str">
        <f ca="1">IFERROR(__xludf.DUMMYFUNCTION("""COMPUTED_VALUE"""),"F")</f>
        <v>F</v>
      </c>
      <c r="F2266" s="210" t="str">
        <f ca="1">IFERROR(__xludf.DUMMYFUNCTION("""COMPUTED_VALUE"""),"J")</f>
        <v>J</v>
      </c>
      <c r="G2266" s="210">
        <f ca="1">IFERROR(__xludf.DUMMYFUNCTION("""COMPUTED_VALUE"""),4)</f>
        <v>4</v>
      </c>
      <c r="H2266" s="206">
        <v>49.7</v>
      </c>
      <c r="I2266" s="206"/>
      <c r="J2266" s="206" t="s">
        <v>121</v>
      </c>
      <c r="K2266" s="206"/>
      <c r="L2266" s="206" t="str">
        <v xml:space="preserve"> 49.7</v>
      </c>
      <c r="M2266" s="206" t="str">
        <v/>
      </c>
    </row>
    <row r="2267" spans="1:13" ht="14.4">
      <c r="A2267" s="201" t="str">
        <f ca="1">IFERROR(__xludf.DUMMYFUNCTION("""COMPUTED_VALUE"""),"WC")</f>
        <v>WC</v>
      </c>
      <c r="B2267" s="209" t="str">
        <f ca="1">IFERROR(__xludf.DUMMYFUNCTION("""COMPUTED_VALUE"""),"Lydia Bremer")</f>
        <v>Lydia Bremer</v>
      </c>
      <c r="C2267" s="201">
        <f ca="1">IFERROR(__xludf.DUMMYFUNCTION("""COMPUTED_VALUE"""),10)</f>
        <v>10</v>
      </c>
      <c r="D2267" s="201" t="str">
        <f ca="1">IFERROR(__xludf.DUMMYFUNCTION("""COMPUTED_VALUE"""),"G")</f>
        <v>G</v>
      </c>
      <c r="E2267" s="202" t="str">
        <f ca="1">IFERROR(__xludf.DUMMYFUNCTION("""COMPUTED_VALUE"""),"F")</f>
        <v>F</v>
      </c>
      <c r="F2267" s="210" t="str">
        <f ca="1">IFERROR(__xludf.DUMMYFUNCTION("""COMPUTED_VALUE"""),"J")</f>
        <v>J</v>
      </c>
      <c r="G2267" s="210">
        <f ca="1">IFERROR(__xludf.DUMMYFUNCTION("""COMPUTED_VALUE"""),4)</f>
        <v>4</v>
      </c>
      <c r="H2267" s="206">
        <v>40.9</v>
      </c>
      <c r="I2267" s="206"/>
      <c r="J2267" s="206" t="s">
        <v>121</v>
      </c>
      <c r="K2267" s="206"/>
      <c r="L2267" s="206" t="str">
        <v xml:space="preserve"> 40.9</v>
      </c>
      <c r="M2267" s="206" t="str">
        <v/>
      </c>
    </row>
    <row r="2268" spans="1:13" ht="14.4">
      <c r="A2268" s="201" t="str">
        <f ca="1">IFERROR(__xludf.DUMMYFUNCTION("""COMPUTED_VALUE"""),"WC")</f>
        <v>WC</v>
      </c>
      <c r="B2268" s="209" t="str">
        <f ca="1">IFERROR(__xludf.DUMMYFUNCTION("""COMPUTED_VALUE"""),"Meena Belay")</f>
        <v>Meena Belay</v>
      </c>
      <c r="C2268" s="201">
        <f ca="1">IFERROR(__xludf.DUMMYFUNCTION("""COMPUTED_VALUE"""),7)</f>
        <v>7</v>
      </c>
      <c r="D2268" s="201" t="str">
        <f ca="1">IFERROR(__xludf.DUMMYFUNCTION("""COMPUTED_VALUE"""),"G")</f>
        <v>G</v>
      </c>
      <c r="E2268" s="202" t="str">
        <f ca="1">IFERROR(__xludf.DUMMYFUNCTION("""COMPUTED_VALUE"""),"F")</f>
        <v>F</v>
      </c>
      <c r="F2268" s="210" t="str">
        <f ca="1">IFERROR(__xludf.DUMMYFUNCTION("""COMPUTED_VALUE"""),"J")</f>
        <v>J</v>
      </c>
      <c r="G2268" s="210">
        <f ca="1">IFERROR(__xludf.DUMMYFUNCTION("""COMPUTED_VALUE"""),4)</f>
        <v>4</v>
      </c>
      <c r="H2268" s="206"/>
      <c r="I2268" s="206"/>
      <c r="J2268" s="206"/>
      <c r="K2268" s="206"/>
      <c r="L2268" s="206" t="str">
        <v/>
      </c>
      <c r="M2268" s="206" t="str">
        <v/>
      </c>
    </row>
    <row r="2269" spans="1:13" ht="14.4">
      <c r="A2269" s="201" t="str">
        <f ca="1">IFERROR(__xludf.DUMMYFUNCTION("""COMPUTED_VALUE"""),"WC")</f>
        <v>WC</v>
      </c>
      <c r="B2269" s="209" t="str">
        <f ca="1">IFERROR(__xludf.DUMMYFUNCTION("""COMPUTED_VALUE"""),"Natalie Geffen")</f>
        <v>Natalie Geffen</v>
      </c>
      <c r="C2269" s="201">
        <f ca="1">IFERROR(__xludf.DUMMYFUNCTION("""COMPUTED_VALUE"""),8)</f>
        <v>8</v>
      </c>
      <c r="D2269" s="201" t="str">
        <f ca="1">IFERROR(__xludf.DUMMYFUNCTION("""COMPUTED_VALUE"""),"G")</f>
        <v>G</v>
      </c>
      <c r="E2269" s="202" t="str">
        <f ca="1">IFERROR(__xludf.DUMMYFUNCTION("""COMPUTED_VALUE"""),"F")</f>
        <v>F</v>
      </c>
      <c r="F2269" s="210" t="str">
        <f ca="1">IFERROR(__xludf.DUMMYFUNCTION("""COMPUTED_VALUE"""),"J")</f>
        <v>J</v>
      </c>
      <c r="G2269" s="210">
        <f ca="1">IFERROR(__xludf.DUMMYFUNCTION("""COMPUTED_VALUE"""),4)</f>
        <v>4</v>
      </c>
      <c r="H2269" s="206"/>
      <c r="I2269" s="206"/>
      <c r="J2269" s="206"/>
      <c r="K2269" s="206"/>
      <c r="L2269" s="206" t="str">
        <v/>
      </c>
      <c r="M2269" s="206" t="str">
        <v/>
      </c>
    </row>
    <row r="2270" spans="1:13" ht="14.4">
      <c r="A2270" s="201" t="str">
        <f ca="1">IFERROR(__xludf.DUMMYFUNCTION("""COMPUTED_VALUE"""),"WC")</f>
        <v>WC</v>
      </c>
      <c r="B2270" s="209" t="str">
        <f ca="1">IFERROR(__xludf.DUMMYFUNCTION("""COMPUTED_VALUE"""),"Ryleigh Lamb")</f>
        <v>Ryleigh Lamb</v>
      </c>
      <c r="C2270" s="201">
        <f ca="1">IFERROR(__xludf.DUMMYFUNCTION("""COMPUTED_VALUE"""),7)</f>
        <v>7</v>
      </c>
      <c r="D2270" s="201" t="str">
        <f ca="1">IFERROR(__xludf.DUMMYFUNCTION("""COMPUTED_VALUE"""),"G")</f>
        <v>G</v>
      </c>
      <c r="E2270" s="202" t="str">
        <f ca="1">IFERROR(__xludf.DUMMYFUNCTION("""COMPUTED_VALUE"""),"F")</f>
        <v>F</v>
      </c>
      <c r="F2270" s="210" t="str">
        <f ca="1">IFERROR(__xludf.DUMMYFUNCTION("""COMPUTED_VALUE"""),"J")</f>
        <v>J</v>
      </c>
      <c r="G2270" s="210">
        <f ca="1">IFERROR(__xludf.DUMMYFUNCTION("""COMPUTED_VALUE"""),4)</f>
        <v>4</v>
      </c>
      <c r="H2270" s="206"/>
      <c r="I2270" s="206"/>
      <c r="J2270" s="206"/>
      <c r="K2270" s="206"/>
      <c r="L2270" s="206" t="str">
        <v/>
      </c>
      <c r="M2270" s="206" t="str">
        <v/>
      </c>
    </row>
    <row r="2271" spans="1:13" ht="14.4">
      <c r="A2271" s="201" t="str">
        <f ca="1">IFERROR(__xludf.DUMMYFUNCTION("""COMPUTED_VALUE"""),"WC")</f>
        <v>WC</v>
      </c>
      <c r="B2271" s="209" t="str">
        <f ca="1">IFERROR(__xludf.DUMMYFUNCTION("""COMPUTED_VALUE"""),"Jackson Steider")</f>
        <v>Jackson Steider</v>
      </c>
      <c r="C2271" s="201">
        <f ca="1">IFERROR(__xludf.DUMMYFUNCTION("""COMPUTED_VALUE"""),14)</f>
        <v>14</v>
      </c>
      <c r="D2271" s="201" t="str">
        <f ca="1">IFERROR(__xludf.DUMMYFUNCTION("""COMPUTED_VALUE"""),"B")</f>
        <v>B</v>
      </c>
      <c r="E2271" s="202" t="str">
        <f ca="1">IFERROR(__xludf.DUMMYFUNCTION("""COMPUTED_VALUE"""),"I")</f>
        <v>I</v>
      </c>
      <c r="F2271" s="210" t="str">
        <f ca="1">IFERROR(__xludf.DUMMYFUNCTION("""COMPUTED_VALUE"""),"S")</f>
        <v>S</v>
      </c>
      <c r="G2271" s="210">
        <f ca="1">IFERROR(__xludf.DUMMYFUNCTION("""COMPUTED_VALUE"""),4)</f>
        <v>4</v>
      </c>
      <c r="H2271" s="206"/>
      <c r="I2271" s="206"/>
      <c r="J2271" s="206"/>
      <c r="K2271" s="206"/>
      <c r="L2271" s="206" t="str">
        <v/>
      </c>
      <c r="M2271" s="206" t="str">
        <v/>
      </c>
    </row>
    <row r="2272" spans="1:13" ht="14.4">
      <c r="A2272" s="201" t="str">
        <f ca="1">IFERROR(__xludf.DUMMYFUNCTION("""COMPUTED_VALUE"""),"WC")</f>
        <v>WC</v>
      </c>
      <c r="B2272" s="209" t="str">
        <f ca="1">IFERROR(__xludf.DUMMYFUNCTION("""COMPUTED_VALUE"""),"Kaleb Abeye")</f>
        <v>Kaleb Abeye</v>
      </c>
      <c r="C2272" s="201">
        <f ca="1">IFERROR(__xludf.DUMMYFUNCTION("""COMPUTED_VALUE"""),14)</f>
        <v>14</v>
      </c>
      <c r="D2272" s="201" t="str">
        <f ca="1">IFERROR(__xludf.DUMMYFUNCTION("""COMPUTED_VALUE"""),"B")</f>
        <v>B</v>
      </c>
      <c r="E2272" s="202" t="str">
        <f ca="1">IFERROR(__xludf.DUMMYFUNCTION("""COMPUTED_VALUE"""),"I")</f>
        <v>I</v>
      </c>
      <c r="F2272" s="210" t="str">
        <f ca="1">IFERROR(__xludf.DUMMYFUNCTION("""COMPUTED_VALUE"""),"S")</f>
        <v>S</v>
      </c>
      <c r="G2272" s="210">
        <f ca="1">IFERROR(__xludf.DUMMYFUNCTION("""COMPUTED_VALUE"""),4)</f>
        <v>4</v>
      </c>
      <c r="H2272" s="206"/>
      <c r="I2272" s="206"/>
      <c r="J2272" s="206"/>
      <c r="K2272" s="206"/>
      <c r="L2272" s="206" t="str">
        <v/>
      </c>
      <c r="M2272" s="206" t="str">
        <v/>
      </c>
    </row>
    <row r="2273" spans="1:13" ht="14.4">
      <c r="A2273" s="201" t="str">
        <f ca="1">IFERROR(__xludf.DUMMYFUNCTION("""COMPUTED_VALUE"""),"WC")</f>
        <v>WC</v>
      </c>
      <c r="B2273" s="209" t="str">
        <f ca="1">IFERROR(__xludf.DUMMYFUNCTION("""COMPUTED_VALUE"""),"Luke Goodson")</f>
        <v>Luke Goodson</v>
      </c>
      <c r="C2273" s="201">
        <f ca="1">IFERROR(__xludf.DUMMYFUNCTION("""COMPUTED_VALUE"""),13)</f>
        <v>13</v>
      </c>
      <c r="D2273" s="201" t="str">
        <f ca="1">IFERROR(__xludf.DUMMYFUNCTION("""COMPUTED_VALUE"""),"B")</f>
        <v>B</v>
      </c>
      <c r="E2273" s="202" t="str">
        <f ca="1">IFERROR(__xludf.DUMMYFUNCTION("""COMPUTED_VALUE"""),"I")</f>
        <v>I</v>
      </c>
      <c r="F2273" s="210" t="str">
        <f ca="1">IFERROR(__xludf.DUMMYFUNCTION("""COMPUTED_VALUE"""),"S")</f>
        <v>S</v>
      </c>
      <c r="G2273" s="210">
        <f ca="1">IFERROR(__xludf.DUMMYFUNCTION("""COMPUTED_VALUE"""),4)</f>
        <v>4</v>
      </c>
      <c r="H2273" s="206"/>
      <c r="I2273" s="206"/>
      <c r="J2273" s="206"/>
      <c r="K2273" s="206"/>
      <c r="L2273" s="206" t="str">
        <v/>
      </c>
      <c r="M2273" s="206" t="str">
        <v/>
      </c>
    </row>
    <row r="2274" spans="1:13" ht="14.4">
      <c r="A2274" s="201" t="str">
        <f ca="1">IFERROR(__xludf.DUMMYFUNCTION("""COMPUTED_VALUE"""),"WC")</f>
        <v>WC</v>
      </c>
      <c r="B2274" s="209" t="str">
        <f ca="1">IFERROR(__xludf.DUMMYFUNCTION("""COMPUTED_VALUE"""),"Nathaniel Grannis")</f>
        <v>Nathaniel Grannis</v>
      </c>
      <c r="C2274" s="201">
        <f ca="1">IFERROR(__xludf.DUMMYFUNCTION("""COMPUTED_VALUE"""),13)</f>
        <v>13</v>
      </c>
      <c r="D2274" s="201" t="str">
        <f ca="1">IFERROR(__xludf.DUMMYFUNCTION("""COMPUTED_VALUE"""),"B")</f>
        <v>B</v>
      </c>
      <c r="E2274" s="202" t="str">
        <f ca="1">IFERROR(__xludf.DUMMYFUNCTION("""COMPUTED_VALUE"""),"I")</f>
        <v>I</v>
      </c>
      <c r="F2274" s="210" t="str">
        <f ca="1">IFERROR(__xludf.DUMMYFUNCTION("""COMPUTED_VALUE"""),"S")</f>
        <v>S</v>
      </c>
      <c r="G2274" s="210">
        <f ca="1">IFERROR(__xludf.DUMMYFUNCTION("""COMPUTED_VALUE"""),4)</f>
        <v>4</v>
      </c>
      <c r="H2274" s="206"/>
      <c r="I2274" s="206">
        <v>244.9</v>
      </c>
      <c r="J2274" s="206"/>
      <c r="K2274" s="206" t="s">
        <v>123</v>
      </c>
      <c r="L2274" s="206" t="str">
        <v xml:space="preserve"> -244.9</v>
      </c>
      <c r="M2274" s="206" t="str">
        <v>^</v>
      </c>
    </row>
    <row r="2275" spans="1:13" ht="14.4">
      <c r="A2275" s="201" t="str">
        <f ca="1">IFERROR(__xludf.DUMMYFUNCTION("""COMPUTED_VALUE"""),"WC")</f>
        <v>WC</v>
      </c>
      <c r="B2275" s="209" t="str">
        <f ca="1">IFERROR(__xludf.DUMMYFUNCTION("""COMPUTED_VALUE"""),"Nathnael Belay")</f>
        <v>Nathnael Belay</v>
      </c>
      <c r="C2275" s="201">
        <f ca="1">IFERROR(__xludf.DUMMYFUNCTION("""COMPUTED_VALUE"""),14)</f>
        <v>14</v>
      </c>
      <c r="D2275" s="201" t="str">
        <f ca="1">IFERROR(__xludf.DUMMYFUNCTION("""COMPUTED_VALUE"""),"B")</f>
        <v>B</v>
      </c>
      <c r="E2275" s="202" t="str">
        <f ca="1">IFERROR(__xludf.DUMMYFUNCTION("""COMPUTED_VALUE"""),"I")</f>
        <v>I</v>
      </c>
      <c r="F2275" s="210" t="str">
        <f ca="1">IFERROR(__xludf.DUMMYFUNCTION("""COMPUTED_VALUE"""),"S")</f>
        <v>S</v>
      </c>
      <c r="G2275" s="210">
        <f ca="1">IFERROR(__xludf.DUMMYFUNCTION("""COMPUTED_VALUE"""),4)</f>
        <v>4</v>
      </c>
      <c r="H2275" s="206"/>
      <c r="I2275" s="206"/>
      <c r="J2275" s="206"/>
      <c r="K2275" s="206"/>
      <c r="L2275" s="206" t="str">
        <v/>
      </c>
      <c r="M2275" s="206" t="str">
        <v/>
      </c>
    </row>
    <row r="2276" spans="1:13" ht="14.4">
      <c r="A2276" s="201" t="str">
        <f ca="1">IFERROR(__xludf.DUMMYFUNCTION("""COMPUTED_VALUE"""),"WC")</f>
        <v>WC</v>
      </c>
      <c r="B2276" s="209" t="str">
        <f ca="1">IFERROR(__xludf.DUMMYFUNCTION("""COMPUTED_VALUE"""),"AnnaGrace Mansfield")</f>
        <v>AnnaGrace Mansfield</v>
      </c>
      <c r="C2276" s="201">
        <f ca="1">IFERROR(__xludf.DUMMYFUNCTION("""COMPUTED_VALUE"""),13)</f>
        <v>13</v>
      </c>
      <c r="D2276" s="201" t="str">
        <f ca="1">IFERROR(__xludf.DUMMYFUNCTION("""COMPUTED_VALUE"""),"G")</f>
        <v>G</v>
      </c>
      <c r="E2276" s="202" t="str">
        <f ca="1">IFERROR(__xludf.DUMMYFUNCTION("""COMPUTED_VALUE"""),"I")</f>
        <v>I</v>
      </c>
      <c r="F2276" s="210" t="str">
        <f ca="1">IFERROR(__xludf.DUMMYFUNCTION("""COMPUTED_VALUE"""),"S")</f>
        <v>S</v>
      </c>
      <c r="G2276" s="210">
        <f ca="1">IFERROR(__xludf.DUMMYFUNCTION("""COMPUTED_VALUE"""),4)</f>
        <v>4</v>
      </c>
      <c r="H2276" s="206"/>
      <c r="I2276" s="206"/>
      <c r="J2276" s="206"/>
      <c r="K2276" s="206"/>
      <c r="L2276" s="206" t="str">
        <v/>
      </c>
      <c r="M2276" s="206" t="str">
        <v/>
      </c>
    </row>
    <row r="2277" spans="1:13" ht="14.4">
      <c r="A2277" s="201" t="str">
        <f ca="1">IFERROR(__xludf.DUMMYFUNCTION("""COMPUTED_VALUE"""),"WC")</f>
        <v>WC</v>
      </c>
      <c r="B2277" s="209" t="str">
        <f ca="1">IFERROR(__xludf.DUMMYFUNCTION("""COMPUTED_VALUE"""),"Catalina Coronado")</f>
        <v>Catalina Coronado</v>
      </c>
      <c r="C2277" s="201">
        <f ca="1">IFERROR(__xludf.DUMMYFUNCTION("""COMPUTED_VALUE"""),13)</f>
        <v>13</v>
      </c>
      <c r="D2277" s="201" t="str">
        <f ca="1">IFERROR(__xludf.DUMMYFUNCTION("""COMPUTED_VALUE"""),"G")</f>
        <v>G</v>
      </c>
      <c r="E2277" s="202" t="str">
        <f ca="1">IFERROR(__xludf.DUMMYFUNCTION("""COMPUTED_VALUE"""),"I")</f>
        <v>I</v>
      </c>
      <c r="F2277" s="210" t="str">
        <f ca="1">IFERROR(__xludf.DUMMYFUNCTION("""COMPUTED_VALUE"""),"S")</f>
        <v>S</v>
      </c>
      <c r="G2277" s="210">
        <f ca="1">IFERROR(__xludf.DUMMYFUNCTION("""COMPUTED_VALUE"""),4)</f>
        <v>4</v>
      </c>
      <c r="H2277" s="206"/>
      <c r="I2277" s="206"/>
      <c r="J2277" s="206"/>
      <c r="K2277" s="206"/>
      <c r="L2277" s="206" t="str">
        <v/>
      </c>
      <c r="M2277" s="206" t="str">
        <v/>
      </c>
    </row>
    <row r="2278" spans="1:13" ht="14.4">
      <c r="A2278" s="201" t="str">
        <f ca="1">IFERROR(__xludf.DUMMYFUNCTION("""COMPUTED_VALUE"""),"WC")</f>
        <v>WC</v>
      </c>
      <c r="B2278" s="209" t="str">
        <f ca="1">IFERROR(__xludf.DUMMYFUNCTION("""COMPUTED_VALUE"""),"Elena Tkachuk")</f>
        <v>Elena Tkachuk</v>
      </c>
      <c r="C2278" s="201">
        <f ca="1">IFERROR(__xludf.DUMMYFUNCTION("""COMPUTED_VALUE"""),14)</f>
        <v>14</v>
      </c>
      <c r="D2278" s="201" t="str">
        <f ca="1">IFERROR(__xludf.DUMMYFUNCTION("""COMPUTED_VALUE"""),"G")</f>
        <v>G</v>
      </c>
      <c r="E2278" s="202" t="str">
        <f ca="1">IFERROR(__xludf.DUMMYFUNCTION("""COMPUTED_VALUE"""),"I")</f>
        <v>I</v>
      </c>
      <c r="F2278" s="210" t="str">
        <f ca="1">IFERROR(__xludf.DUMMYFUNCTION("""COMPUTED_VALUE"""),"S")</f>
        <v>S</v>
      </c>
      <c r="G2278" s="210">
        <f ca="1">IFERROR(__xludf.DUMMYFUNCTION("""COMPUTED_VALUE"""),4)</f>
        <v>4</v>
      </c>
      <c r="H2278" s="206"/>
      <c r="I2278" s="206"/>
      <c r="J2278" s="206"/>
      <c r="K2278" s="206"/>
      <c r="L2278" s="206" t="str">
        <v/>
      </c>
      <c r="M2278" s="206" t="str">
        <v/>
      </c>
    </row>
    <row r="2279" spans="1:13" ht="14.4">
      <c r="A2279" s="201" t="str">
        <f ca="1">IFERROR(__xludf.DUMMYFUNCTION("""COMPUTED_VALUE"""),"WC")</f>
        <v>WC</v>
      </c>
      <c r="B2279" s="209" t="str">
        <f ca="1">IFERROR(__xludf.DUMMYFUNCTION("""COMPUTED_VALUE"""),"Elle Marshall")</f>
        <v>Elle Marshall</v>
      </c>
      <c r="C2279" s="201">
        <f ca="1">IFERROR(__xludf.DUMMYFUNCTION("""COMPUTED_VALUE"""),13)</f>
        <v>13</v>
      </c>
      <c r="D2279" s="201" t="str">
        <f ca="1">IFERROR(__xludf.DUMMYFUNCTION("""COMPUTED_VALUE"""),"G")</f>
        <v>G</v>
      </c>
      <c r="E2279" s="202" t="str">
        <f ca="1">IFERROR(__xludf.DUMMYFUNCTION("""COMPUTED_VALUE"""),"I")</f>
        <v>I</v>
      </c>
      <c r="F2279" s="210" t="str">
        <f ca="1">IFERROR(__xludf.DUMMYFUNCTION("""COMPUTED_VALUE"""),"S")</f>
        <v>S</v>
      </c>
      <c r="G2279" s="210">
        <f ca="1">IFERROR(__xludf.DUMMYFUNCTION("""COMPUTED_VALUE"""),4)</f>
        <v>4</v>
      </c>
      <c r="H2279" s="206"/>
      <c r="I2279" s="206"/>
      <c r="J2279" s="206"/>
      <c r="K2279" s="206"/>
      <c r="L2279" s="206" t="str">
        <v/>
      </c>
      <c r="M2279" s="206" t="str">
        <v/>
      </c>
    </row>
    <row r="2280" spans="1:13" ht="14.4">
      <c r="A2280" s="201" t="str">
        <f ca="1">IFERROR(__xludf.DUMMYFUNCTION("""COMPUTED_VALUE"""),"WC")</f>
        <v>WC</v>
      </c>
      <c r="B2280" s="209" t="str">
        <f ca="1">IFERROR(__xludf.DUMMYFUNCTION("""COMPUTED_VALUE"""),"Gabrielle Miranda")</f>
        <v>Gabrielle Miranda</v>
      </c>
      <c r="C2280" s="201">
        <f ca="1">IFERROR(__xludf.DUMMYFUNCTION("""COMPUTED_VALUE"""),13)</f>
        <v>13</v>
      </c>
      <c r="D2280" s="201" t="str">
        <f ca="1">IFERROR(__xludf.DUMMYFUNCTION("""COMPUTED_VALUE"""),"G")</f>
        <v>G</v>
      </c>
      <c r="E2280" s="202" t="str">
        <f ca="1">IFERROR(__xludf.DUMMYFUNCTION("""COMPUTED_VALUE"""),"I")</f>
        <v>I</v>
      </c>
      <c r="F2280" s="210" t="str">
        <f ca="1">IFERROR(__xludf.DUMMYFUNCTION("""COMPUTED_VALUE"""),"S")</f>
        <v>S</v>
      </c>
      <c r="G2280" s="210">
        <f ca="1">IFERROR(__xludf.DUMMYFUNCTION("""COMPUTED_VALUE"""),4)</f>
        <v>4</v>
      </c>
      <c r="H2280" s="206"/>
      <c r="I2280" s="206"/>
      <c r="J2280" s="206"/>
      <c r="K2280" s="206"/>
      <c r="L2280" s="206" t="str">
        <v/>
      </c>
      <c r="M2280" s="206" t="str">
        <v/>
      </c>
    </row>
    <row r="2281" spans="1:13" ht="14.4">
      <c r="A2281" s="201" t="str">
        <f ca="1">IFERROR(__xludf.DUMMYFUNCTION("""COMPUTED_VALUE"""),"WC")</f>
        <v>WC</v>
      </c>
      <c r="B2281" s="209" t="str">
        <f ca="1">IFERROR(__xludf.DUMMYFUNCTION("""COMPUTED_VALUE"""),"Kendall Schottler")</f>
        <v>Kendall Schottler</v>
      </c>
      <c r="C2281" s="201">
        <f ca="1">IFERROR(__xludf.DUMMYFUNCTION("""COMPUTED_VALUE"""),13)</f>
        <v>13</v>
      </c>
      <c r="D2281" s="201" t="str">
        <f ca="1">IFERROR(__xludf.DUMMYFUNCTION("""COMPUTED_VALUE"""),"G")</f>
        <v>G</v>
      </c>
      <c r="E2281" s="202" t="str">
        <f ca="1">IFERROR(__xludf.DUMMYFUNCTION("""COMPUTED_VALUE"""),"I")</f>
        <v>I</v>
      </c>
      <c r="F2281" s="210" t="str">
        <f ca="1">IFERROR(__xludf.DUMMYFUNCTION("""COMPUTED_VALUE"""),"S")</f>
        <v>S</v>
      </c>
      <c r="G2281" s="210">
        <f ca="1">IFERROR(__xludf.DUMMYFUNCTION("""COMPUTED_VALUE"""),4)</f>
        <v>4</v>
      </c>
      <c r="H2281" s="206"/>
      <c r="I2281" s="206"/>
      <c r="J2281" s="206"/>
      <c r="K2281" s="206"/>
      <c r="L2281" s="206" t="str">
        <v/>
      </c>
      <c r="M2281" s="206" t="str">
        <v/>
      </c>
    </row>
    <row r="2282" spans="1:13" ht="14.4">
      <c r="A2282" s="201" t="str">
        <f ca="1">IFERROR(__xludf.DUMMYFUNCTION("""COMPUTED_VALUE"""),"WC")</f>
        <v>WC</v>
      </c>
      <c r="B2282" s="209" t="str">
        <f ca="1">IFERROR(__xludf.DUMMYFUNCTION("""COMPUTED_VALUE"""),"Millie Manos")</f>
        <v>Millie Manos</v>
      </c>
      <c r="C2282" s="201">
        <f ca="1">IFERROR(__xludf.DUMMYFUNCTION("""COMPUTED_VALUE"""),14)</f>
        <v>14</v>
      </c>
      <c r="D2282" s="201" t="str">
        <f ca="1">IFERROR(__xludf.DUMMYFUNCTION("""COMPUTED_VALUE"""),"G")</f>
        <v>G</v>
      </c>
      <c r="E2282" s="202" t="str">
        <f ca="1">IFERROR(__xludf.DUMMYFUNCTION("""COMPUTED_VALUE"""),"I")</f>
        <v>I</v>
      </c>
      <c r="F2282" s="210" t="str">
        <f ca="1">IFERROR(__xludf.DUMMYFUNCTION("""COMPUTED_VALUE"""),"S")</f>
        <v>S</v>
      </c>
      <c r="G2282" s="210">
        <f ca="1">IFERROR(__xludf.DUMMYFUNCTION("""COMPUTED_VALUE"""),4)</f>
        <v>4</v>
      </c>
      <c r="H2282" s="206"/>
      <c r="I2282" s="206"/>
      <c r="J2282" s="206"/>
      <c r="K2282" s="206"/>
      <c r="L2282" s="206" t="str">
        <v/>
      </c>
      <c r="M2282" s="206" t="str">
        <v/>
      </c>
    </row>
    <row r="2283" spans="1:13" ht="14.4">
      <c r="A2283" s="201" t="str">
        <f ca="1">IFERROR(__xludf.DUMMYFUNCTION("""COMPUTED_VALUE"""),"WC")</f>
        <v>WC</v>
      </c>
      <c r="B2283" s="209" t="str">
        <f ca="1">IFERROR(__xludf.DUMMYFUNCTION("""COMPUTED_VALUE"""),"Carl White IV")</f>
        <v>Carl White IV</v>
      </c>
      <c r="C2283" s="201">
        <f ca="1">IFERROR(__xludf.DUMMYFUNCTION("""COMPUTED_VALUE"""),12)</f>
        <v>12</v>
      </c>
      <c r="D2283" s="201" t="str">
        <f ca="1">IFERROR(__xludf.DUMMYFUNCTION("""COMPUTED_VALUE"""),"B")</f>
        <v>B</v>
      </c>
      <c r="E2283" s="202" t="str">
        <f ca="1">IFERROR(__xludf.DUMMYFUNCTION("""COMPUTED_VALUE"""),"J")</f>
        <v>J</v>
      </c>
      <c r="F2283" s="210" t="str">
        <f ca="1">IFERROR(__xludf.DUMMYFUNCTION("""COMPUTED_VALUE"""),"I")</f>
        <v>I</v>
      </c>
      <c r="G2283" s="210">
        <f ca="1">IFERROR(__xludf.DUMMYFUNCTION("""COMPUTED_VALUE"""),4)</f>
        <v>4</v>
      </c>
      <c r="H2283" s="206"/>
      <c r="I2283" s="206"/>
      <c r="J2283" s="206"/>
      <c r="K2283" s="206"/>
      <c r="L2283" s="206" t="str">
        <v/>
      </c>
      <c r="M2283" s="206" t="str">
        <v/>
      </c>
    </row>
    <row r="2284" spans="1:13" ht="14.4">
      <c r="A2284" s="201" t="str">
        <f ca="1">IFERROR(__xludf.DUMMYFUNCTION("""COMPUTED_VALUE"""),"WC")</f>
        <v>WC</v>
      </c>
      <c r="B2284" s="209" t="str">
        <f ca="1">IFERROR(__xludf.DUMMYFUNCTION("""COMPUTED_VALUE"""),"Dylan Platt")</f>
        <v>Dylan Platt</v>
      </c>
      <c r="C2284" s="201">
        <f ca="1">IFERROR(__xludf.DUMMYFUNCTION("""COMPUTED_VALUE"""),12)</f>
        <v>12</v>
      </c>
      <c r="D2284" s="201" t="str">
        <f ca="1">IFERROR(__xludf.DUMMYFUNCTION("""COMPUTED_VALUE"""),"B")</f>
        <v>B</v>
      </c>
      <c r="E2284" s="202" t="str">
        <f ca="1">IFERROR(__xludf.DUMMYFUNCTION("""COMPUTED_VALUE"""),"J")</f>
        <v>J</v>
      </c>
      <c r="F2284" s="210" t="str">
        <f ca="1">IFERROR(__xludf.DUMMYFUNCTION("""COMPUTED_VALUE"""),"I")</f>
        <v>I</v>
      </c>
      <c r="G2284" s="210">
        <f ca="1">IFERROR(__xludf.DUMMYFUNCTION("""COMPUTED_VALUE"""),4)</f>
        <v>4</v>
      </c>
      <c r="H2284" s="206"/>
      <c r="I2284" s="206"/>
      <c r="J2284" s="206"/>
      <c r="K2284" s="206"/>
      <c r="L2284" s="206" t="str">
        <v/>
      </c>
      <c r="M2284" s="206" t="str">
        <v/>
      </c>
    </row>
    <row r="2285" spans="1:13" ht="14.4">
      <c r="A2285" s="201" t="str">
        <f ca="1">IFERROR(__xludf.DUMMYFUNCTION("""COMPUTED_VALUE"""),"WC")</f>
        <v>WC</v>
      </c>
      <c r="B2285" s="209" t="str">
        <f ca="1">IFERROR(__xludf.DUMMYFUNCTION("""COMPUTED_VALUE"""),"Joshua Thompson")</f>
        <v>Joshua Thompson</v>
      </c>
      <c r="C2285" s="201">
        <f ca="1">IFERROR(__xludf.DUMMYFUNCTION("""COMPUTED_VALUE"""),11)</f>
        <v>11</v>
      </c>
      <c r="D2285" s="201" t="str">
        <f ca="1">IFERROR(__xludf.DUMMYFUNCTION("""COMPUTED_VALUE"""),"B")</f>
        <v>B</v>
      </c>
      <c r="E2285" s="202" t="str">
        <f ca="1">IFERROR(__xludf.DUMMYFUNCTION("""COMPUTED_VALUE"""),"J")</f>
        <v>J</v>
      </c>
      <c r="F2285" s="210" t="str">
        <f ca="1">IFERROR(__xludf.DUMMYFUNCTION("""COMPUTED_VALUE"""),"I")</f>
        <v>I</v>
      </c>
      <c r="G2285" s="210">
        <f ca="1">IFERROR(__xludf.DUMMYFUNCTION("""COMPUTED_VALUE"""),4)</f>
        <v>4</v>
      </c>
      <c r="H2285" s="206"/>
      <c r="I2285" s="206"/>
      <c r="J2285" s="206"/>
      <c r="K2285" s="206"/>
      <c r="L2285" s="206" t="str">
        <v/>
      </c>
      <c r="M2285" s="206" t="str">
        <v/>
      </c>
    </row>
    <row r="2286" spans="1:13" ht="14.4">
      <c r="A2286" s="201" t="str">
        <f ca="1">IFERROR(__xludf.DUMMYFUNCTION("""COMPUTED_VALUE"""),"WC")</f>
        <v>WC</v>
      </c>
      <c r="B2286" s="209" t="str">
        <f ca="1">IFERROR(__xludf.DUMMYFUNCTION("""COMPUTED_VALUE"""),"Matthew Lazo-Kaser")</f>
        <v>Matthew Lazo-Kaser</v>
      </c>
      <c r="C2286" s="201">
        <f ca="1">IFERROR(__xludf.DUMMYFUNCTION("""COMPUTED_VALUE"""),12)</f>
        <v>12</v>
      </c>
      <c r="D2286" s="201" t="str">
        <f ca="1">IFERROR(__xludf.DUMMYFUNCTION("""COMPUTED_VALUE"""),"B")</f>
        <v>B</v>
      </c>
      <c r="E2286" s="202" t="str">
        <f ca="1">IFERROR(__xludf.DUMMYFUNCTION("""COMPUTED_VALUE"""),"J")</f>
        <v>J</v>
      </c>
      <c r="F2286" s="210" t="str">
        <f ca="1">IFERROR(__xludf.DUMMYFUNCTION("""COMPUTED_VALUE"""),"I")</f>
        <v>I</v>
      </c>
      <c r="G2286" s="210">
        <f ca="1">IFERROR(__xludf.DUMMYFUNCTION("""COMPUTED_VALUE"""),4)</f>
        <v>4</v>
      </c>
      <c r="H2286" s="206"/>
      <c r="I2286" s="206">
        <v>93.7</v>
      </c>
      <c r="J2286" s="206"/>
      <c r="K2286" s="206" t="s">
        <v>123</v>
      </c>
      <c r="L2286" s="206" t="str">
        <v xml:space="preserve"> -93.7</v>
      </c>
      <c r="M2286" s="206" t="str">
        <v>^</v>
      </c>
    </row>
    <row r="2287" spans="1:13" ht="14.4">
      <c r="A2287" s="201" t="str">
        <f ca="1">IFERROR(__xludf.DUMMYFUNCTION("""COMPUTED_VALUE"""),"WC")</f>
        <v>WC</v>
      </c>
      <c r="B2287" s="209" t="str">
        <f ca="1">IFERROR(__xludf.DUMMYFUNCTION("""COMPUTED_VALUE"""),"Seamus McNamara")</f>
        <v>Seamus McNamara</v>
      </c>
      <c r="C2287" s="201">
        <f ca="1">IFERROR(__xludf.DUMMYFUNCTION("""COMPUTED_VALUE"""),12)</f>
        <v>12</v>
      </c>
      <c r="D2287" s="201" t="str">
        <f ca="1">IFERROR(__xludf.DUMMYFUNCTION("""COMPUTED_VALUE"""),"B")</f>
        <v>B</v>
      </c>
      <c r="E2287" s="202" t="str">
        <f ca="1">IFERROR(__xludf.DUMMYFUNCTION("""COMPUTED_VALUE"""),"J")</f>
        <v>J</v>
      </c>
      <c r="F2287" s="210" t="str">
        <f ca="1">IFERROR(__xludf.DUMMYFUNCTION("""COMPUTED_VALUE"""),"I")</f>
        <v>I</v>
      </c>
      <c r="G2287" s="210">
        <f ca="1">IFERROR(__xludf.DUMMYFUNCTION("""COMPUTED_VALUE"""),4)</f>
        <v>4</v>
      </c>
      <c r="H2287" s="206"/>
      <c r="I2287" s="206">
        <v>120.2</v>
      </c>
      <c r="J2287" s="206"/>
      <c r="K2287" s="206" t="s">
        <v>121</v>
      </c>
      <c r="L2287" s="206" t="str">
        <v xml:space="preserve"> 120.2</v>
      </c>
      <c r="M2287" s="206" t="str">
        <v/>
      </c>
    </row>
    <row r="2288" spans="1:13" ht="14.4">
      <c r="A2288" s="201" t="str">
        <f ca="1">IFERROR(__xludf.DUMMYFUNCTION("""COMPUTED_VALUE"""),"WC")</f>
        <v>WC</v>
      </c>
      <c r="B2288" s="209" t="str">
        <f ca="1">IFERROR(__xludf.DUMMYFUNCTION("""COMPUTED_VALUE"""),"Alexa Mansuy")</f>
        <v>Alexa Mansuy</v>
      </c>
      <c r="C2288" s="201">
        <f ca="1">IFERROR(__xludf.DUMMYFUNCTION("""COMPUTED_VALUE"""),11)</f>
        <v>11</v>
      </c>
      <c r="D2288" s="201" t="str">
        <f ca="1">IFERROR(__xludf.DUMMYFUNCTION("""COMPUTED_VALUE"""),"G")</f>
        <v>G</v>
      </c>
      <c r="E2288" s="202" t="str">
        <f ca="1">IFERROR(__xludf.DUMMYFUNCTION("""COMPUTED_VALUE"""),"J")</f>
        <v>J</v>
      </c>
      <c r="F2288" s="210" t="str">
        <f ca="1">IFERROR(__xludf.DUMMYFUNCTION("""COMPUTED_VALUE"""),"I")</f>
        <v>I</v>
      </c>
      <c r="G2288" s="210">
        <f ca="1">IFERROR(__xludf.DUMMYFUNCTION("""COMPUTED_VALUE"""),4)</f>
        <v>4</v>
      </c>
      <c r="H2288" s="206">
        <v>117.8</v>
      </c>
      <c r="I2288" s="206"/>
      <c r="J2288" s="206" t="s">
        <v>123</v>
      </c>
      <c r="K2288" s="206"/>
      <c r="L2288" s="206" t="str">
        <v xml:space="preserve"> -117.8</v>
      </c>
      <c r="M2288" s="206" t="str">
        <v>^</v>
      </c>
    </row>
    <row r="2289" spans="1:13" ht="14.4">
      <c r="A2289" s="201" t="str">
        <f ca="1">IFERROR(__xludf.DUMMYFUNCTION("""COMPUTED_VALUE"""),"WC")</f>
        <v>WC</v>
      </c>
      <c r="B2289" s="209" t="str">
        <f ca="1">IFERROR(__xludf.DUMMYFUNCTION("""COMPUTED_VALUE"""),"Charlotte Fay")</f>
        <v>Charlotte Fay</v>
      </c>
      <c r="C2289" s="201">
        <f ca="1">IFERROR(__xludf.DUMMYFUNCTION("""COMPUTED_VALUE"""),11)</f>
        <v>11</v>
      </c>
      <c r="D2289" s="201" t="str">
        <f ca="1">IFERROR(__xludf.DUMMYFUNCTION("""COMPUTED_VALUE"""),"G")</f>
        <v>G</v>
      </c>
      <c r="E2289" s="202" t="str">
        <f ca="1">IFERROR(__xludf.DUMMYFUNCTION("""COMPUTED_VALUE"""),"J")</f>
        <v>J</v>
      </c>
      <c r="F2289" s="210" t="str">
        <f ca="1">IFERROR(__xludf.DUMMYFUNCTION("""COMPUTED_VALUE"""),"I")</f>
        <v>I</v>
      </c>
      <c r="G2289" s="210">
        <f ca="1">IFERROR(__xludf.DUMMYFUNCTION("""COMPUTED_VALUE"""),4)</f>
        <v>4</v>
      </c>
      <c r="H2289" s="206">
        <v>80.2</v>
      </c>
      <c r="I2289" s="206"/>
      <c r="J2289" s="206" t="s">
        <v>121</v>
      </c>
      <c r="K2289" s="206"/>
      <c r="L2289" s="206" t="str">
        <v xml:space="preserve"> 80.2</v>
      </c>
      <c r="M2289" s="206" t="str">
        <v/>
      </c>
    </row>
    <row r="2290" spans="1:13" ht="14.4">
      <c r="A2290" s="201" t="str">
        <f ca="1">IFERROR(__xludf.DUMMYFUNCTION("""COMPUTED_VALUE"""),"WC")</f>
        <v>WC</v>
      </c>
      <c r="B2290" s="209" t="str">
        <f ca="1">IFERROR(__xludf.DUMMYFUNCTION("""COMPUTED_VALUE"""),"Madison Ebaugh")</f>
        <v>Madison Ebaugh</v>
      </c>
      <c r="C2290" s="201">
        <f ca="1">IFERROR(__xludf.DUMMYFUNCTION("""COMPUTED_VALUE"""),12)</f>
        <v>12</v>
      </c>
      <c r="D2290" s="201" t="str">
        <f ca="1">IFERROR(__xludf.DUMMYFUNCTION("""COMPUTED_VALUE"""),"G")</f>
        <v>G</v>
      </c>
      <c r="E2290" s="202" t="str">
        <f ca="1">IFERROR(__xludf.DUMMYFUNCTION("""COMPUTED_VALUE"""),"J")</f>
        <v>J</v>
      </c>
      <c r="F2290" s="210" t="str">
        <f ca="1">IFERROR(__xludf.DUMMYFUNCTION("""COMPUTED_VALUE"""),"I")</f>
        <v>I</v>
      </c>
      <c r="G2290" s="210">
        <f ca="1">IFERROR(__xludf.DUMMYFUNCTION("""COMPUTED_VALUE"""),4)</f>
        <v>4</v>
      </c>
      <c r="H2290" s="206">
        <v>82</v>
      </c>
      <c r="I2290" s="206"/>
      <c r="J2290" s="206" t="s">
        <v>121</v>
      </c>
      <c r="K2290" s="206"/>
      <c r="L2290" s="206" t="str">
        <v xml:space="preserve"> 82</v>
      </c>
      <c r="M2290" s="206" t="str">
        <v/>
      </c>
    </row>
    <row r="2291" spans="1:13" ht="14.4">
      <c r="A2291" s="201" t="str">
        <f ca="1">IFERROR(__xludf.DUMMYFUNCTION("""COMPUTED_VALUE"""),"WC")</f>
        <v>WC</v>
      </c>
      <c r="B2291" s="209" t="str">
        <f ca="1">IFERROR(__xludf.DUMMYFUNCTION("""COMPUTED_VALUE"""),"Sophie Pinkston")</f>
        <v>Sophie Pinkston</v>
      </c>
      <c r="C2291" s="201">
        <f ca="1">IFERROR(__xludf.DUMMYFUNCTION("""COMPUTED_VALUE"""),12)</f>
        <v>12</v>
      </c>
      <c r="D2291" s="201" t="str">
        <f ca="1">IFERROR(__xludf.DUMMYFUNCTION("""COMPUTED_VALUE"""),"G")</f>
        <v>G</v>
      </c>
      <c r="E2291" s="202" t="str">
        <f ca="1">IFERROR(__xludf.DUMMYFUNCTION("""COMPUTED_VALUE"""),"J")</f>
        <v>J</v>
      </c>
      <c r="F2291" s="210" t="str">
        <f ca="1">IFERROR(__xludf.DUMMYFUNCTION("""COMPUTED_VALUE"""),"I")</f>
        <v>I</v>
      </c>
      <c r="G2291" s="210">
        <f ca="1">IFERROR(__xludf.DUMMYFUNCTION("""COMPUTED_VALUE"""),4)</f>
        <v>4</v>
      </c>
      <c r="H2291" s="206"/>
      <c r="I2291" s="206"/>
      <c r="J2291" s="206"/>
      <c r="K2291" s="206"/>
      <c r="L2291" s="206" t="str">
        <v/>
      </c>
      <c r="M2291" s="206" t="str">
        <v/>
      </c>
    </row>
    <row r="2292" spans="1:13" ht="14.4">
      <c r="A2292" s="201" t="str">
        <f ca="1">IFERROR(__xludf.DUMMYFUNCTION("""COMPUTED_VALUE"""),"WC")</f>
        <v>WC</v>
      </c>
      <c r="B2292" s="209" t="str">
        <f ca="1">IFERROR(__xludf.DUMMYFUNCTION("""COMPUTED_VALUE"""),"Aidan Thomas")</f>
        <v>Aidan Thomas</v>
      </c>
      <c r="C2292" s="201">
        <f ca="1">IFERROR(__xludf.DUMMYFUNCTION("""COMPUTED_VALUE"""),18)</f>
        <v>18</v>
      </c>
      <c r="D2292" s="201" t="str">
        <f ca="1">IFERROR(__xludf.DUMMYFUNCTION("""COMPUTED_VALUE"""),"B")</f>
        <v>B</v>
      </c>
      <c r="E2292" s="202" t="str">
        <f ca="1">IFERROR(__xludf.DUMMYFUNCTION("""COMPUTED_VALUE"""),"S")</f>
        <v>S</v>
      </c>
      <c r="F2292" s="210" t="str">
        <f ca="1">IFERROR(__xludf.DUMMYFUNCTION("""COMPUTED_VALUE"""),"S")</f>
        <v>S</v>
      </c>
      <c r="G2292" s="210">
        <f ca="1">IFERROR(__xludf.DUMMYFUNCTION("""COMPUTED_VALUE"""),4)</f>
        <v>4</v>
      </c>
      <c r="H2292" s="206"/>
      <c r="I2292" s="206">
        <v>210.7</v>
      </c>
      <c r="J2292" s="206"/>
      <c r="K2292" s="206" t="s">
        <v>121</v>
      </c>
      <c r="L2292" s="206" t="str">
        <v xml:space="preserve"> 210.7</v>
      </c>
      <c r="M2292" s="206" t="str">
        <v/>
      </c>
    </row>
    <row r="2293" spans="1:13" ht="14.4">
      <c r="A2293" s="201" t="str">
        <f ca="1">IFERROR(__xludf.DUMMYFUNCTION("""COMPUTED_VALUE"""),"WC")</f>
        <v>WC</v>
      </c>
      <c r="B2293" s="209" t="str">
        <f ca="1">IFERROR(__xludf.DUMMYFUNCTION("""COMPUTED_VALUE"""),"Champe Mitchell")</f>
        <v>Champe Mitchell</v>
      </c>
      <c r="C2293" s="201">
        <f ca="1">IFERROR(__xludf.DUMMYFUNCTION("""COMPUTED_VALUE"""),16)</f>
        <v>16</v>
      </c>
      <c r="D2293" s="201" t="str">
        <f ca="1">IFERROR(__xludf.DUMMYFUNCTION("""COMPUTED_VALUE"""),"B")</f>
        <v>B</v>
      </c>
      <c r="E2293" s="202" t="str">
        <f ca="1">IFERROR(__xludf.DUMMYFUNCTION("""COMPUTED_VALUE"""),"S")</f>
        <v>S</v>
      </c>
      <c r="F2293" s="210" t="str">
        <f ca="1">IFERROR(__xludf.DUMMYFUNCTION("""COMPUTED_VALUE"""),"S")</f>
        <v>S</v>
      </c>
      <c r="G2293" s="210">
        <f ca="1">IFERROR(__xludf.DUMMYFUNCTION("""COMPUTED_VALUE"""),4)</f>
        <v>4</v>
      </c>
      <c r="H2293" s="206"/>
      <c r="I2293" s="206"/>
      <c r="J2293" s="206"/>
      <c r="K2293" s="206"/>
      <c r="L2293" s="206" t="str">
        <v/>
      </c>
      <c r="M2293" s="206" t="str">
        <v/>
      </c>
    </row>
    <row r="2294" spans="1:13" ht="14.4">
      <c r="A2294" s="201" t="str">
        <f ca="1">IFERROR(__xludf.DUMMYFUNCTION("""COMPUTED_VALUE"""),"WC")</f>
        <v>WC</v>
      </c>
      <c r="B2294" s="209" t="str">
        <f ca="1">IFERROR(__xludf.DUMMYFUNCTION("""COMPUTED_VALUE"""),"David Lyons")</f>
        <v>David Lyons</v>
      </c>
      <c r="C2294" s="201">
        <f ca="1">IFERROR(__xludf.DUMMYFUNCTION("""COMPUTED_VALUE"""),16)</f>
        <v>16</v>
      </c>
      <c r="D2294" s="201" t="str">
        <f ca="1">IFERROR(__xludf.DUMMYFUNCTION("""COMPUTED_VALUE"""),"B")</f>
        <v>B</v>
      </c>
      <c r="E2294" s="202" t="str">
        <f ca="1">IFERROR(__xludf.DUMMYFUNCTION("""COMPUTED_VALUE"""),"S")</f>
        <v>S</v>
      </c>
      <c r="F2294" s="210" t="str">
        <f ca="1">IFERROR(__xludf.DUMMYFUNCTION("""COMPUTED_VALUE"""),"S")</f>
        <v>S</v>
      </c>
      <c r="G2294" s="210">
        <f ca="1">IFERROR(__xludf.DUMMYFUNCTION("""COMPUTED_VALUE"""),4)</f>
        <v>4</v>
      </c>
      <c r="H2294" s="206"/>
      <c r="I2294" s="206"/>
      <c r="J2294" s="206"/>
      <c r="K2294" s="206"/>
      <c r="L2294" s="206" t="str">
        <v/>
      </c>
      <c r="M2294" s="206" t="str">
        <v/>
      </c>
    </row>
    <row r="2295" spans="1:13" ht="14.4">
      <c r="A2295" s="201" t="str">
        <f ca="1">IFERROR(__xludf.DUMMYFUNCTION("""COMPUTED_VALUE"""),"WC")</f>
        <v>WC</v>
      </c>
      <c r="B2295" s="209" t="str">
        <f ca="1">IFERROR(__xludf.DUMMYFUNCTION("""COMPUTED_VALUE"""),"Jake Goodson")</f>
        <v>Jake Goodson</v>
      </c>
      <c r="C2295" s="201">
        <f ca="1">IFERROR(__xludf.DUMMYFUNCTION("""COMPUTED_VALUE"""),16)</f>
        <v>16</v>
      </c>
      <c r="D2295" s="201" t="str">
        <f ca="1">IFERROR(__xludf.DUMMYFUNCTION("""COMPUTED_VALUE"""),"B")</f>
        <v>B</v>
      </c>
      <c r="E2295" s="202" t="str">
        <f ca="1">IFERROR(__xludf.DUMMYFUNCTION("""COMPUTED_VALUE"""),"S")</f>
        <v>S</v>
      </c>
      <c r="F2295" s="210" t="str">
        <f ca="1">IFERROR(__xludf.DUMMYFUNCTION("""COMPUTED_VALUE"""),"S")</f>
        <v>S</v>
      </c>
      <c r="G2295" s="210">
        <f ca="1">IFERROR(__xludf.DUMMYFUNCTION("""COMPUTED_VALUE"""),4)</f>
        <v>4</v>
      </c>
      <c r="H2295" s="206"/>
      <c r="I2295" s="206"/>
      <c r="J2295" s="206"/>
      <c r="K2295" s="206"/>
      <c r="L2295" s="206" t="str">
        <v/>
      </c>
      <c r="M2295" s="206" t="str">
        <v/>
      </c>
    </row>
    <row r="2296" spans="1:13" ht="14.4">
      <c r="A2296" s="201" t="str">
        <f ca="1">IFERROR(__xludf.DUMMYFUNCTION("""COMPUTED_VALUE"""),"WC")</f>
        <v>WC</v>
      </c>
      <c r="B2296" s="209" t="str">
        <f ca="1">IFERROR(__xludf.DUMMYFUNCTION("""COMPUTED_VALUE"""),"Sean Binning")</f>
        <v>Sean Binning</v>
      </c>
      <c r="C2296" s="201">
        <f ca="1">IFERROR(__xludf.DUMMYFUNCTION("""COMPUTED_VALUE"""),18)</f>
        <v>18</v>
      </c>
      <c r="D2296" s="201" t="str">
        <f ca="1">IFERROR(__xludf.DUMMYFUNCTION("""COMPUTED_VALUE"""),"B")</f>
        <v>B</v>
      </c>
      <c r="E2296" s="202" t="str">
        <f ca="1">IFERROR(__xludf.DUMMYFUNCTION("""COMPUTED_VALUE"""),"S")</f>
        <v>S</v>
      </c>
      <c r="F2296" s="210" t="str">
        <f ca="1">IFERROR(__xludf.DUMMYFUNCTION("""COMPUTED_VALUE"""),"S")</f>
        <v>S</v>
      </c>
      <c r="G2296" s="210">
        <f ca="1">IFERROR(__xludf.DUMMYFUNCTION("""COMPUTED_VALUE"""),4)</f>
        <v>4</v>
      </c>
      <c r="H2296" s="206"/>
      <c r="I2296" s="206">
        <v>217.9</v>
      </c>
      <c r="J2296" s="206"/>
      <c r="K2296" s="206" t="s">
        <v>121</v>
      </c>
      <c r="L2296" s="206" t="str">
        <v xml:space="preserve"> 217.9</v>
      </c>
      <c r="M2296" s="206" t="str">
        <v/>
      </c>
    </row>
    <row r="2297" spans="1:13" ht="14.4">
      <c r="A2297" s="201" t="str">
        <f ca="1">IFERROR(__xludf.DUMMYFUNCTION("""COMPUTED_VALUE"""),"WC")</f>
        <v>WC</v>
      </c>
      <c r="B2297" s="209" t="str">
        <f ca="1">IFERROR(__xludf.DUMMYFUNCTION("""COMPUTED_VALUE"""),"Olivia Coronado")</f>
        <v>Olivia Coronado</v>
      </c>
      <c r="C2297" s="201">
        <f ca="1">IFERROR(__xludf.DUMMYFUNCTION("""COMPUTED_VALUE"""),17)</f>
        <v>17</v>
      </c>
      <c r="D2297" s="201" t="str">
        <f ca="1">IFERROR(__xludf.DUMMYFUNCTION("""COMPUTED_VALUE"""),"G")</f>
        <v>G</v>
      </c>
      <c r="E2297" s="202" t="str">
        <f ca="1">IFERROR(__xludf.DUMMYFUNCTION("""COMPUTED_VALUE"""),"S")</f>
        <v>S</v>
      </c>
      <c r="F2297" s="210" t="str">
        <f ca="1">IFERROR(__xludf.DUMMYFUNCTION("""COMPUTED_VALUE"""),"S")</f>
        <v>S</v>
      </c>
      <c r="G2297" s="210">
        <f ca="1">IFERROR(__xludf.DUMMYFUNCTION("""COMPUTED_VALUE"""),4)</f>
        <v>4</v>
      </c>
      <c r="H2297" s="206"/>
      <c r="I2297" s="206"/>
      <c r="J2297" s="206"/>
      <c r="K2297" s="206"/>
      <c r="L2297" s="206" t="str">
        <v/>
      </c>
      <c r="M2297" s="206" t="str">
        <v/>
      </c>
    </row>
    <row r="2298" spans="1:13" ht="14.4">
      <c r="A2298" s="201" t="str">
        <f ca="1">IFERROR(__xludf.DUMMYFUNCTION("""COMPUTED_VALUE"""),"WC")</f>
        <v>WC</v>
      </c>
      <c r="B2298" s="209" t="str">
        <f ca="1">IFERROR(__xludf.DUMMYFUNCTION("""COMPUTED_VALUE"""),"Tea Coronado")</f>
        <v>Tea Coronado</v>
      </c>
      <c r="C2298" s="201">
        <f ca="1">IFERROR(__xludf.DUMMYFUNCTION("""COMPUTED_VALUE"""),15)</f>
        <v>15</v>
      </c>
      <c r="D2298" s="201" t="str">
        <f ca="1">IFERROR(__xludf.DUMMYFUNCTION("""COMPUTED_VALUE"""),"G")</f>
        <v>G</v>
      </c>
      <c r="E2298" s="202" t="str">
        <f ca="1">IFERROR(__xludf.DUMMYFUNCTION("""COMPUTED_VALUE"""),"S")</f>
        <v>S</v>
      </c>
      <c r="F2298" s="210" t="str">
        <f ca="1">IFERROR(__xludf.DUMMYFUNCTION("""COMPUTED_VALUE"""),"S")</f>
        <v>S</v>
      </c>
      <c r="G2298" s="210">
        <f ca="1">IFERROR(__xludf.DUMMYFUNCTION("""COMPUTED_VALUE"""),4)</f>
        <v>4</v>
      </c>
      <c r="H2298" s="206"/>
      <c r="I2298" s="206"/>
      <c r="J2298" s="206"/>
      <c r="K2298" s="206"/>
      <c r="L2298" s="206" t="str">
        <v/>
      </c>
      <c r="M2298" s="206" t="str">
        <v/>
      </c>
    </row>
    <row r="2299" spans="1:13" ht="14.4">
      <c r="A2299" s="201" t="str">
        <f ca="1">IFERROR(__xludf.DUMMYFUNCTION("""COMPUTED_VALUE"""),"WG")</f>
        <v>WG</v>
      </c>
      <c r="B2299" s="209" t="str">
        <f ca="1">IFERROR(__xludf.DUMMYFUNCTION("""COMPUTED_VALUE"""),"Aiden Merkel")</f>
        <v>Aiden Merkel</v>
      </c>
      <c r="C2299" s="201">
        <f ca="1">IFERROR(__xludf.DUMMYFUNCTION("""COMPUTED_VALUE"""),9)</f>
        <v>9</v>
      </c>
      <c r="D2299" s="201" t="str">
        <f ca="1">IFERROR(__xludf.DUMMYFUNCTION("""COMPUTED_VALUE"""),"B")</f>
        <v>B</v>
      </c>
      <c r="E2299" s="202" t="str">
        <f ca="1">IFERROR(__xludf.DUMMYFUNCTION("""COMPUTED_VALUE"""),"F")</f>
        <v>F</v>
      </c>
      <c r="F2299" s="210" t="str">
        <f ca="1">IFERROR(__xludf.DUMMYFUNCTION("""COMPUTED_VALUE"""),"J")</f>
        <v>J</v>
      </c>
      <c r="G2299" s="210">
        <f ca="1">IFERROR(__xludf.DUMMYFUNCTION("""COMPUTED_VALUE"""),2)</f>
        <v>2</v>
      </c>
      <c r="H2299" s="206"/>
      <c r="I2299" s="206"/>
      <c r="J2299" s="206"/>
      <c r="K2299" s="206"/>
      <c r="L2299" s="206" t="str">
        <v/>
      </c>
      <c r="M2299" s="206" t="str">
        <v/>
      </c>
    </row>
    <row r="2300" spans="1:13" ht="14.4">
      <c r="A2300" s="201" t="str">
        <f ca="1">IFERROR(__xludf.DUMMYFUNCTION("""COMPUTED_VALUE"""),"WG")</f>
        <v>WG</v>
      </c>
      <c r="B2300" s="209" t="str">
        <f ca="1">IFERROR(__xludf.DUMMYFUNCTION("""COMPUTED_VALUE"""),"Charlemagne Lalime")</f>
        <v>Charlemagne Lalime</v>
      </c>
      <c r="C2300" s="201">
        <f ca="1">IFERROR(__xludf.DUMMYFUNCTION("""COMPUTED_VALUE"""),8)</f>
        <v>8</v>
      </c>
      <c r="D2300" s="201" t="str">
        <f ca="1">IFERROR(__xludf.DUMMYFUNCTION("""COMPUTED_VALUE"""),"B")</f>
        <v>B</v>
      </c>
      <c r="E2300" s="202" t="str">
        <f ca="1">IFERROR(__xludf.DUMMYFUNCTION("""COMPUTED_VALUE"""),"F")</f>
        <v>F</v>
      </c>
      <c r="F2300" s="210" t="str">
        <f ca="1">IFERROR(__xludf.DUMMYFUNCTION("""COMPUTED_VALUE"""),"J")</f>
        <v>J</v>
      </c>
      <c r="G2300" s="210">
        <f ca="1">IFERROR(__xludf.DUMMYFUNCTION("""COMPUTED_VALUE"""),2)</f>
        <v>2</v>
      </c>
      <c r="H2300" s="206"/>
      <c r="I2300" s="206"/>
      <c r="J2300" s="206"/>
      <c r="K2300" s="206"/>
      <c r="L2300" s="206" t="str">
        <v/>
      </c>
      <c r="M2300" s="206" t="str">
        <v/>
      </c>
    </row>
    <row r="2301" spans="1:13" ht="14.4">
      <c r="A2301" s="201" t="str">
        <f ca="1">IFERROR(__xludf.DUMMYFUNCTION("""COMPUTED_VALUE"""),"WG")</f>
        <v>WG</v>
      </c>
      <c r="B2301" s="209" t="str">
        <f ca="1">IFERROR(__xludf.DUMMYFUNCTION("""COMPUTED_VALUE"""),"Evan Merkel")</f>
        <v>Evan Merkel</v>
      </c>
      <c r="C2301" s="201">
        <f ca="1">IFERROR(__xludf.DUMMYFUNCTION("""COMPUTED_VALUE"""),7)</f>
        <v>7</v>
      </c>
      <c r="D2301" s="201" t="str">
        <f ca="1">IFERROR(__xludf.DUMMYFUNCTION("""COMPUTED_VALUE"""),"B")</f>
        <v>B</v>
      </c>
      <c r="E2301" s="202" t="str">
        <f ca="1">IFERROR(__xludf.DUMMYFUNCTION("""COMPUTED_VALUE"""),"F")</f>
        <v>F</v>
      </c>
      <c r="F2301" s="210" t="str">
        <f ca="1">IFERROR(__xludf.DUMMYFUNCTION("""COMPUTED_VALUE"""),"J")</f>
        <v>J</v>
      </c>
      <c r="G2301" s="210">
        <f ca="1">IFERROR(__xludf.DUMMYFUNCTION("""COMPUTED_VALUE"""),2)</f>
        <v>2</v>
      </c>
      <c r="H2301" s="206"/>
      <c r="I2301" s="206"/>
      <c r="J2301" s="206"/>
      <c r="K2301" s="206"/>
      <c r="L2301" s="206" t="str">
        <v/>
      </c>
      <c r="M2301" s="206" t="str">
        <v/>
      </c>
    </row>
    <row r="2302" spans="1:13" ht="14.4">
      <c r="A2302" s="201" t="str">
        <f ca="1">IFERROR(__xludf.DUMMYFUNCTION("""COMPUTED_VALUE"""),"WG")</f>
        <v>WG</v>
      </c>
      <c r="B2302" s="209" t="str">
        <f ca="1">IFERROR(__xludf.DUMMYFUNCTION("""COMPUTED_VALUE"""),"Iggy Salaita")</f>
        <v>Iggy Salaita</v>
      </c>
      <c r="C2302" s="201">
        <f ca="1">IFERROR(__xludf.DUMMYFUNCTION("""COMPUTED_VALUE"""),9)</f>
        <v>9</v>
      </c>
      <c r="D2302" s="201" t="str">
        <f ca="1">IFERROR(__xludf.DUMMYFUNCTION("""COMPUTED_VALUE"""),"B")</f>
        <v>B</v>
      </c>
      <c r="E2302" s="202" t="str">
        <f ca="1">IFERROR(__xludf.DUMMYFUNCTION("""COMPUTED_VALUE"""),"F")</f>
        <v>F</v>
      </c>
      <c r="F2302" s="210" t="str">
        <f ca="1">IFERROR(__xludf.DUMMYFUNCTION("""COMPUTED_VALUE"""),"J")</f>
        <v>J</v>
      </c>
      <c r="G2302" s="210">
        <f ca="1">IFERROR(__xludf.DUMMYFUNCTION("""COMPUTED_VALUE"""),2)</f>
        <v>2</v>
      </c>
      <c r="H2302" s="206"/>
      <c r="I2302" s="206"/>
      <c r="J2302" s="206"/>
      <c r="K2302" s="206"/>
      <c r="L2302" s="206" t="str">
        <v/>
      </c>
      <c r="M2302" s="206" t="str">
        <v/>
      </c>
    </row>
    <row r="2303" spans="1:13" ht="14.4">
      <c r="A2303" s="201" t="str">
        <f ca="1">IFERROR(__xludf.DUMMYFUNCTION("""COMPUTED_VALUE"""),"WG")</f>
        <v>WG</v>
      </c>
      <c r="B2303" s="209" t="str">
        <f ca="1">IFERROR(__xludf.DUMMYFUNCTION("""COMPUTED_VALUE"""),"Jonah Lanthier")</f>
        <v>Jonah Lanthier</v>
      </c>
      <c r="C2303" s="201">
        <f ca="1">IFERROR(__xludf.DUMMYFUNCTION("""COMPUTED_VALUE"""),10)</f>
        <v>10</v>
      </c>
      <c r="D2303" s="201" t="str">
        <f ca="1">IFERROR(__xludf.DUMMYFUNCTION("""COMPUTED_VALUE"""),"B")</f>
        <v>B</v>
      </c>
      <c r="E2303" s="202" t="str">
        <f ca="1">IFERROR(__xludf.DUMMYFUNCTION("""COMPUTED_VALUE"""),"F")</f>
        <v>F</v>
      </c>
      <c r="F2303" s="210" t="str">
        <f ca="1">IFERROR(__xludf.DUMMYFUNCTION("""COMPUTED_VALUE"""),"J")</f>
        <v>J</v>
      </c>
      <c r="G2303" s="210">
        <f ca="1">IFERROR(__xludf.DUMMYFUNCTION("""COMPUTED_VALUE"""),2)</f>
        <v>2</v>
      </c>
      <c r="H2303" s="206"/>
      <c r="I2303" s="206">
        <v>65</v>
      </c>
      <c r="J2303" s="206"/>
      <c r="K2303" s="206" t="s">
        <v>121</v>
      </c>
      <c r="L2303" s="206" t="str">
        <v xml:space="preserve"> 65</v>
      </c>
      <c r="M2303" s="206" t="str">
        <v/>
      </c>
    </row>
    <row r="2304" spans="1:13" ht="14.4">
      <c r="A2304" s="201" t="str">
        <f ca="1">IFERROR(__xludf.DUMMYFUNCTION("""COMPUTED_VALUE"""),"WG")</f>
        <v>WG</v>
      </c>
      <c r="B2304" s="209" t="str">
        <f ca="1">IFERROR(__xludf.DUMMYFUNCTION("""COMPUTED_VALUE"""),"Liam Seubert")</f>
        <v>Liam Seubert</v>
      </c>
      <c r="C2304" s="201">
        <f ca="1">IFERROR(__xludf.DUMMYFUNCTION("""COMPUTED_VALUE"""),8)</f>
        <v>8</v>
      </c>
      <c r="D2304" s="201" t="str">
        <f ca="1">IFERROR(__xludf.DUMMYFUNCTION("""COMPUTED_VALUE"""),"B")</f>
        <v>B</v>
      </c>
      <c r="E2304" s="202" t="str">
        <f ca="1">IFERROR(__xludf.DUMMYFUNCTION("""COMPUTED_VALUE"""),"F")</f>
        <v>F</v>
      </c>
      <c r="F2304" s="210" t="str">
        <f ca="1">IFERROR(__xludf.DUMMYFUNCTION("""COMPUTED_VALUE"""),"J")</f>
        <v>J</v>
      </c>
      <c r="G2304" s="210">
        <f ca="1">IFERROR(__xludf.DUMMYFUNCTION("""COMPUTED_VALUE"""),2)</f>
        <v>2</v>
      </c>
      <c r="H2304" s="206"/>
      <c r="I2304" s="206">
        <v>11.75</v>
      </c>
      <c r="J2304" s="206"/>
      <c r="K2304" s="206" t="s">
        <v>121</v>
      </c>
      <c r="L2304" s="206" t="str">
        <v xml:space="preserve"> 11.75</v>
      </c>
      <c r="M2304" s="206" t="str">
        <v/>
      </c>
    </row>
    <row r="2305" spans="1:13" ht="14.4">
      <c r="A2305" s="201" t="str">
        <f ca="1">IFERROR(__xludf.DUMMYFUNCTION("""COMPUTED_VALUE"""),"WG")</f>
        <v>WG</v>
      </c>
      <c r="B2305" s="209" t="str">
        <f ca="1">IFERROR(__xludf.DUMMYFUNCTION("""COMPUTED_VALUE"""),"Owen Webb")</f>
        <v>Owen Webb</v>
      </c>
      <c r="C2305" s="201">
        <f ca="1">IFERROR(__xludf.DUMMYFUNCTION("""COMPUTED_VALUE"""),9)</f>
        <v>9</v>
      </c>
      <c r="D2305" s="201" t="str">
        <f ca="1">IFERROR(__xludf.DUMMYFUNCTION("""COMPUTED_VALUE"""),"B")</f>
        <v>B</v>
      </c>
      <c r="E2305" s="202" t="str">
        <f ca="1">IFERROR(__xludf.DUMMYFUNCTION("""COMPUTED_VALUE"""),"F")</f>
        <v>F</v>
      </c>
      <c r="F2305" s="210" t="str">
        <f ca="1">IFERROR(__xludf.DUMMYFUNCTION("""COMPUTED_VALUE"""),"J")</f>
        <v>J</v>
      </c>
      <c r="G2305" s="210">
        <f ca="1">IFERROR(__xludf.DUMMYFUNCTION("""COMPUTED_VALUE"""),2)</f>
        <v>2</v>
      </c>
      <c r="H2305" s="206"/>
      <c r="I2305" s="206">
        <v>48.6</v>
      </c>
      <c r="J2305" s="206"/>
      <c r="K2305" s="206" t="s">
        <v>121</v>
      </c>
      <c r="L2305" s="206" t="str">
        <v xml:space="preserve"> 48.6</v>
      </c>
      <c r="M2305" s="206" t="str">
        <v/>
      </c>
    </row>
    <row r="2306" spans="1:13" ht="14.4">
      <c r="A2306" s="201" t="str">
        <f ca="1">IFERROR(__xludf.DUMMYFUNCTION("""COMPUTED_VALUE"""),"WG")</f>
        <v>WG</v>
      </c>
      <c r="B2306" s="209" t="str">
        <f ca="1">IFERROR(__xludf.DUMMYFUNCTION("""COMPUTED_VALUE"""),"Callyn Lalime")</f>
        <v>Callyn Lalime</v>
      </c>
      <c r="C2306" s="201">
        <f ca="1">IFERROR(__xludf.DUMMYFUNCTION("""COMPUTED_VALUE"""),10)</f>
        <v>10</v>
      </c>
      <c r="D2306" s="201" t="str">
        <f ca="1">IFERROR(__xludf.DUMMYFUNCTION("""COMPUTED_VALUE"""),"G")</f>
        <v>G</v>
      </c>
      <c r="E2306" s="202" t="str">
        <f ca="1">IFERROR(__xludf.DUMMYFUNCTION("""COMPUTED_VALUE"""),"F")</f>
        <v>F</v>
      </c>
      <c r="F2306" s="210" t="str">
        <f ca="1">IFERROR(__xludf.DUMMYFUNCTION("""COMPUTED_VALUE"""),"J")</f>
        <v>J</v>
      </c>
      <c r="G2306" s="210">
        <f ca="1">IFERROR(__xludf.DUMMYFUNCTION("""COMPUTED_VALUE"""),2)</f>
        <v>2</v>
      </c>
      <c r="H2306" s="206">
        <v>43.65</v>
      </c>
      <c r="I2306" s="206"/>
      <c r="J2306" s="206" t="s">
        <v>121</v>
      </c>
      <c r="K2306" s="206"/>
      <c r="L2306" s="206" t="str">
        <v xml:space="preserve"> 43.65</v>
      </c>
      <c r="M2306" s="206" t="str">
        <v/>
      </c>
    </row>
    <row r="2307" spans="1:13" ht="14.4">
      <c r="A2307" s="201" t="str">
        <f ca="1">IFERROR(__xludf.DUMMYFUNCTION("""COMPUTED_VALUE"""),"WG")</f>
        <v>WG</v>
      </c>
      <c r="B2307" s="209" t="str">
        <f ca="1">IFERROR(__xludf.DUMMYFUNCTION("""COMPUTED_VALUE"""),"Daphne Hwang")</f>
        <v>Daphne Hwang</v>
      </c>
      <c r="C2307" s="201">
        <f ca="1">IFERROR(__xludf.DUMMYFUNCTION("""COMPUTED_VALUE"""),9)</f>
        <v>9</v>
      </c>
      <c r="D2307" s="201" t="str">
        <f ca="1">IFERROR(__xludf.DUMMYFUNCTION("""COMPUTED_VALUE"""),"G")</f>
        <v>G</v>
      </c>
      <c r="E2307" s="202" t="str">
        <f ca="1">IFERROR(__xludf.DUMMYFUNCTION("""COMPUTED_VALUE"""),"F")</f>
        <v>F</v>
      </c>
      <c r="F2307" s="210" t="str">
        <f ca="1">IFERROR(__xludf.DUMMYFUNCTION("""COMPUTED_VALUE"""),"J")</f>
        <v>J</v>
      </c>
      <c r="G2307" s="210">
        <f ca="1">IFERROR(__xludf.DUMMYFUNCTION("""COMPUTED_VALUE"""),2)</f>
        <v>2</v>
      </c>
      <c r="H2307" s="206">
        <v>52.5</v>
      </c>
      <c r="I2307" s="206"/>
      <c r="J2307" s="206" t="s">
        <v>121</v>
      </c>
      <c r="K2307" s="206"/>
      <c r="L2307" s="206" t="str">
        <v xml:space="preserve"> 52.5</v>
      </c>
      <c r="M2307" s="206" t="str">
        <v/>
      </c>
    </row>
    <row r="2308" spans="1:13" ht="14.4">
      <c r="A2308" s="201" t="str">
        <f ca="1">IFERROR(__xludf.DUMMYFUNCTION("""COMPUTED_VALUE"""),"WG")</f>
        <v>WG</v>
      </c>
      <c r="B2308" s="209" t="str">
        <f ca="1">IFERROR(__xludf.DUMMYFUNCTION("""COMPUTED_VALUE"""),"Elin Geraghty")</f>
        <v>Elin Geraghty</v>
      </c>
      <c r="C2308" s="201">
        <f ca="1">IFERROR(__xludf.DUMMYFUNCTION("""COMPUTED_VALUE"""),9)</f>
        <v>9</v>
      </c>
      <c r="D2308" s="201" t="str">
        <f ca="1">IFERROR(__xludf.DUMMYFUNCTION("""COMPUTED_VALUE"""),"G")</f>
        <v>G</v>
      </c>
      <c r="E2308" s="202" t="str">
        <f ca="1">IFERROR(__xludf.DUMMYFUNCTION("""COMPUTED_VALUE"""),"F")</f>
        <v>F</v>
      </c>
      <c r="F2308" s="210" t="str">
        <f ca="1">IFERROR(__xludf.DUMMYFUNCTION("""COMPUTED_VALUE"""),"J")</f>
        <v>J</v>
      </c>
      <c r="G2308" s="210">
        <f ca="1">IFERROR(__xludf.DUMMYFUNCTION("""COMPUTED_VALUE"""),2)</f>
        <v>2</v>
      </c>
      <c r="H2308" s="206">
        <v>52.5</v>
      </c>
      <c r="I2308" s="206"/>
      <c r="J2308" s="206" t="s">
        <v>121</v>
      </c>
      <c r="K2308" s="206"/>
      <c r="L2308" s="206" t="str">
        <v xml:space="preserve"> 52.5</v>
      </c>
      <c r="M2308" s="206" t="str">
        <v/>
      </c>
    </row>
    <row r="2309" spans="1:13" ht="14.4">
      <c r="A2309" s="201" t="str">
        <f ca="1">IFERROR(__xludf.DUMMYFUNCTION("""COMPUTED_VALUE"""),"WG")</f>
        <v>WG</v>
      </c>
      <c r="B2309" s="209" t="str">
        <f ca="1">IFERROR(__xludf.DUMMYFUNCTION("""COMPUTED_VALUE"""),"Emma Webb")</f>
        <v>Emma Webb</v>
      </c>
      <c r="C2309" s="201">
        <f ca="1">IFERROR(__xludf.DUMMYFUNCTION("""COMPUTED_VALUE"""),10)</f>
        <v>10</v>
      </c>
      <c r="D2309" s="201" t="str">
        <f ca="1">IFERROR(__xludf.DUMMYFUNCTION("""COMPUTED_VALUE"""),"G")</f>
        <v>G</v>
      </c>
      <c r="E2309" s="202" t="str">
        <f ca="1">IFERROR(__xludf.DUMMYFUNCTION("""COMPUTED_VALUE"""),"F")</f>
        <v>F</v>
      </c>
      <c r="F2309" s="210" t="str">
        <f ca="1">IFERROR(__xludf.DUMMYFUNCTION("""COMPUTED_VALUE"""),"J")</f>
        <v>J</v>
      </c>
      <c r="G2309" s="210">
        <f ca="1">IFERROR(__xludf.DUMMYFUNCTION("""COMPUTED_VALUE"""),2)</f>
        <v>2</v>
      </c>
      <c r="H2309" s="206">
        <v>41.85</v>
      </c>
      <c r="I2309" s="206"/>
      <c r="J2309" s="206" t="s">
        <v>121</v>
      </c>
      <c r="K2309" s="206"/>
      <c r="L2309" s="206" t="str">
        <v xml:space="preserve"> 41.85</v>
      </c>
      <c r="M2309" s="206" t="str">
        <v/>
      </c>
    </row>
    <row r="2310" spans="1:13" ht="14.4">
      <c r="A2310" s="201" t="str">
        <f ca="1">IFERROR(__xludf.DUMMYFUNCTION("""COMPUTED_VALUE"""),"WG")</f>
        <v>WG</v>
      </c>
      <c r="B2310" s="209" t="str">
        <f ca="1">IFERROR(__xludf.DUMMYFUNCTION("""COMPUTED_VALUE"""),"Kaitlyn Ma")</f>
        <v>Kaitlyn Ma</v>
      </c>
      <c r="C2310" s="201">
        <f ca="1">IFERROR(__xludf.DUMMYFUNCTION("""COMPUTED_VALUE"""),10)</f>
        <v>10</v>
      </c>
      <c r="D2310" s="201" t="str">
        <f ca="1">IFERROR(__xludf.DUMMYFUNCTION("""COMPUTED_VALUE"""),"G")</f>
        <v>G</v>
      </c>
      <c r="E2310" s="202" t="str">
        <f ca="1">IFERROR(__xludf.DUMMYFUNCTION("""COMPUTED_VALUE"""),"F")</f>
        <v>F</v>
      </c>
      <c r="F2310" s="210" t="str">
        <f ca="1">IFERROR(__xludf.DUMMYFUNCTION("""COMPUTED_VALUE"""),"J")</f>
        <v>J</v>
      </c>
      <c r="G2310" s="210">
        <f ca="1">IFERROR(__xludf.DUMMYFUNCTION("""COMPUTED_VALUE"""),2)</f>
        <v>2</v>
      </c>
      <c r="H2310" s="206">
        <v>38.299999999999997</v>
      </c>
      <c r="I2310" s="206"/>
      <c r="J2310" s="206" t="s">
        <v>121</v>
      </c>
      <c r="K2310" s="206"/>
      <c r="L2310" s="206" t="str">
        <v xml:space="preserve"> 38.3</v>
      </c>
      <c r="M2310" s="206" t="str">
        <v/>
      </c>
    </row>
    <row r="2311" spans="1:13" ht="14.4">
      <c r="A2311" s="201" t="str">
        <f ca="1">IFERROR(__xludf.DUMMYFUNCTION("""COMPUTED_VALUE"""),"WG")</f>
        <v>WG</v>
      </c>
      <c r="B2311" s="209" t="str">
        <f ca="1">IFERROR(__xludf.DUMMYFUNCTION("""COMPUTED_VALUE"""),"Maggie Donnelly")</f>
        <v>Maggie Donnelly</v>
      </c>
      <c r="C2311" s="201">
        <f ca="1">IFERROR(__xludf.DUMMYFUNCTION("""COMPUTED_VALUE"""),10)</f>
        <v>10</v>
      </c>
      <c r="D2311" s="201" t="str">
        <f ca="1">IFERROR(__xludf.DUMMYFUNCTION("""COMPUTED_VALUE"""),"G")</f>
        <v>G</v>
      </c>
      <c r="E2311" s="202" t="str">
        <f ca="1">IFERROR(__xludf.DUMMYFUNCTION("""COMPUTED_VALUE"""),"F")</f>
        <v>F</v>
      </c>
      <c r="F2311" s="210" t="str">
        <f ca="1">IFERROR(__xludf.DUMMYFUNCTION("""COMPUTED_VALUE"""),"J")</f>
        <v>J</v>
      </c>
      <c r="G2311" s="210">
        <f ca="1">IFERROR(__xludf.DUMMYFUNCTION("""COMPUTED_VALUE"""),2)</f>
        <v>2</v>
      </c>
      <c r="H2311" s="206">
        <v>48.7</v>
      </c>
      <c r="I2311" s="206"/>
      <c r="J2311" s="206" t="s">
        <v>121</v>
      </c>
      <c r="K2311" s="206"/>
      <c r="L2311" s="206" t="str">
        <v xml:space="preserve"> 48.7</v>
      </c>
      <c r="M2311" s="206" t="str">
        <v/>
      </c>
    </row>
    <row r="2312" spans="1:13" ht="14.4">
      <c r="A2312" s="201" t="str">
        <f ca="1">IFERROR(__xludf.DUMMYFUNCTION("""COMPUTED_VALUE"""),"WG")</f>
        <v>WG</v>
      </c>
      <c r="B2312" s="209" t="str">
        <f ca="1">IFERROR(__xludf.DUMMYFUNCTION("""COMPUTED_VALUE"""),"Molly Donnelly")</f>
        <v>Molly Donnelly</v>
      </c>
      <c r="C2312" s="201">
        <f ca="1">IFERROR(__xludf.DUMMYFUNCTION("""COMPUTED_VALUE"""),8)</f>
        <v>8</v>
      </c>
      <c r="D2312" s="201" t="str">
        <f ca="1">IFERROR(__xludf.DUMMYFUNCTION("""COMPUTED_VALUE"""),"G")</f>
        <v>G</v>
      </c>
      <c r="E2312" s="202" t="str">
        <f ca="1">IFERROR(__xludf.DUMMYFUNCTION("""COMPUTED_VALUE"""),"F")</f>
        <v>F</v>
      </c>
      <c r="F2312" s="210" t="str">
        <f ca="1">IFERROR(__xludf.DUMMYFUNCTION("""COMPUTED_VALUE"""),"J")</f>
        <v>J</v>
      </c>
      <c r="G2312" s="210">
        <f ca="1">IFERROR(__xludf.DUMMYFUNCTION("""COMPUTED_VALUE"""),2)</f>
        <v>2</v>
      </c>
      <c r="H2312" s="206">
        <v>48.75</v>
      </c>
      <c r="I2312" s="206"/>
      <c r="J2312" s="206" t="s">
        <v>121</v>
      </c>
      <c r="K2312" s="206"/>
      <c r="L2312" s="206" t="str">
        <v xml:space="preserve"> 48.75</v>
      </c>
      <c r="M2312" s="206" t="str">
        <v/>
      </c>
    </row>
    <row r="2313" spans="1:13" ht="14.4">
      <c r="A2313" s="201" t="str">
        <f ca="1">IFERROR(__xludf.DUMMYFUNCTION("""COMPUTED_VALUE"""),"WG")</f>
        <v>WG</v>
      </c>
      <c r="B2313" s="209" t="str">
        <f ca="1">IFERROR(__xludf.DUMMYFUNCTION("""COMPUTED_VALUE"""),"Samantha Lathier")</f>
        <v>Samantha Lathier</v>
      </c>
      <c r="C2313" s="201">
        <f ca="1">IFERROR(__xludf.DUMMYFUNCTION("""COMPUTED_VALUE"""),7)</f>
        <v>7</v>
      </c>
      <c r="D2313" s="201" t="str">
        <f ca="1">IFERROR(__xludf.DUMMYFUNCTION("""COMPUTED_VALUE"""),"G")</f>
        <v>G</v>
      </c>
      <c r="E2313" s="202" t="str">
        <f ca="1">IFERROR(__xludf.DUMMYFUNCTION("""COMPUTED_VALUE"""),"F")</f>
        <v>F</v>
      </c>
      <c r="F2313" s="210" t="str">
        <f ca="1">IFERROR(__xludf.DUMMYFUNCTION("""COMPUTED_VALUE"""),"J")</f>
        <v>J</v>
      </c>
      <c r="G2313" s="210">
        <f ca="1">IFERROR(__xludf.DUMMYFUNCTION("""COMPUTED_VALUE"""),2)</f>
        <v>2</v>
      </c>
      <c r="H2313" s="206">
        <v>44.05</v>
      </c>
      <c r="I2313" s="206"/>
      <c r="J2313" s="206" t="s">
        <v>121</v>
      </c>
      <c r="K2313" s="206"/>
      <c r="L2313" s="206" t="str">
        <v xml:space="preserve"> 44.05</v>
      </c>
      <c r="M2313" s="206" t="str">
        <v/>
      </c>
    </row>
    <row r="2314" spans="1:13" ht="14.4">
      <c r="A2314" s="201" t="str">
        <f ca="1">IFERROR(__xludf.DUMMYFUNCTION("""COMPUTED_VALUE"""),"WG")</f>
        <v>WG</v>
      </c>
      <c r="B2314" s="209" t="str">
        <f ca="1">IFERROR(__xludf.DUMMYFUNCTION("""COMPUTED_VALUE"""),"Sophia Ma")</f>
        <v>Sophia Ma</v>
      </c>
      <c r="C2314" s="201">
        <f ca="1">IFERROR(__xludf.DUMMYFUNCTION("""COMPUTED_VALUE"""),9)</f>
        <v>9</v>
      </c>
      <c r="D2314" s="201" t="str">
        <f ca="1">IFERROR(__xludf.DUMMYFUNCTION("""COMPUTED_VALUE"""),"G")</f>
        <v>G</v>
      </c>
      <c r="E2314" s="202" t="str">
        <f ca="1">IFERROR(__xludf.DUMMYFUNCTION("""COMPUTED_VALUE"""),"F")</f>
        <v>F</v>
      </c>
      <c r="F2314" s="210" t="str">
        <f ca="1">IFERROR(__xludf.DUMMYFUNCTION("""COMPUTED_VALUE"""),"J")</f>
        <v>J</v>
      </c>
      <c r="G2314" s="210">
        <f ca="1">IFERROR(__xludf.DUMMYFUNCTION("""COMPUTED_VALUE"""),2)</f>
        <v>2</v>
      </c>
      <c r="H2314" s="206"/>
      <c r="I2314" s="206"/>
      <c r="J2314" s="206"/>
      <c r="K2314" s="206"/>
      <c r="L2314" s="206" t="str">
        <v/>
      </c>
      <c r="M2314" s="206" t="str">
        <v/>
      </c>
    </row>
    <row r="2315" spans="1:13" ht="14.4">
      <c r="A2315" s="201" t="str">
        <f ca="1">IFERROR(__xludf.DUMMYFUNCTION("""COMPUTED_VALUE"""),"WG")</f>
        <v>WG</v>
      </c>
      <c r="B2315" s="209" t="str">
        <f ca="1">IFERROR(__xludf.DUMMYFUNCTION("""COMPUTED_VALUE"""),"Zerin Basha")</f>
        <v>Zerin Basha</v>
      </c>
      <c r="C2315" s="201">
        <f ca="1">IFERROR(__xludf.DUMMYFUNCTION("""COMPUTED_VALUE"""),10)</f>
        <v>10</v>
      </c>
      <c r="D2315" s="201" t="str">
        <f ca="1">IFERROR(__xludf.DUMMYFUNCTION("""COMPUTED_VALUE"""),"G")</f>
        <v>G</v>
      </c>
      <c r="E2315" s="202" t="str">
        <f ca="1">IFERROR(__xludf.DUMMYFUNCTION("""COMPUTED_VALUE"""),"F")</f>
        <v>F</v>
      </c>
      <c r="F2315" s="210" t="str">
        <f ca="1">IFERROR(__xludf.DUMMYFUNCTION("""COMPUTED_VALUE"""),"J")</f>
        <v>J</v>
      </c>
      <c r="G2315" s="210">
        <f ca="1">IFERROR(__xludf.DUMMYFUNCTION("""COMPUTED_VALUE"""),2)</f>
        <v>2</v>
      </c>
      <c r="H2315" s="206"/>
      <c r="I2315" s="206"/>
      <c r="J2315" s="206"/>
      <c r="K2315" s="206"/>
      <c r="L2315" s="206" t="str">
        <v/>
      </c>
      <c r="M2315" s="206" t="str">
        <v/>
      </c>
    </row>
    <row r="2316" spans="1:13" ht="14.4">
      <c r="A2316" s="201" t="str">
        <f ca="1">IFERROR(__xludf.DUMMYFUNCTION("""COMPUTED_VALUE"""),"WG")</f>
        <v>WG</v>
      </c>
      <c r="B2316" s="209" t="str">
        <f ca="1">IFERROR(__xludf.DUMMYFUNCTION("""COMPUTED_VALUE"""),"Aiden Milloy")</f>
        <v>Aiden Milloy</v>
      </c>
      <c r="C2316" s="201">
        <f ca="1">IFERROR(__xludf.DUMMYFUNCTION("""COMPUTED_VALUE"""),13)</f>
        <v>13</v>
      </c>
      <c r="D2316" s="201" t="str">
        <f ca="1">IFERROR(__xludf.DUMMYFUNCTION("""COMPUTED_VALUE"""),"B")</f>
        <v>B</v>
      </c>
      <c r="E2316" s="202" t="str">
        <f ca="1">IFERROR(__xludf.DUMMYFUNCTION("""COMPUTED_VALUE"""),"I")</f>
        <v>I</v>
      </c>
      <c r="F2316" s="210" t="str">
        <f ca="1">IFERROR(__xludf.DUMMYFUNCTION("""COMPUTED_VALUE"""),"S")</f>
        <v>S</v>
      </c>
      <c r="G2316" s="210">
        <f ca="1">IFERROR(__xludf.DUMMYFUNCTION("""COMPUTED_VALUE"""),2)</f>
        <v>2</v>
      </c>
      <c r="H2316" s="206"/>
      <c r="I2316" s="206"/>
      <c r="J2316" s="206"/>
      <c r="K2316" s="206"/>
      <c r="L2316" s="206" t="str">
        <v/>
      </c>
      <c r="M2316" s="206" t="str">
        <v/>
      </c>
    </row>
    <row r="2317" spans="1:13" ht="14.4">
      <c r="A2317" s="201" t="str">
        <f ca="1">IFERROR(__xludf.DUMMYFUNCTION("""COMPUTED_VALUE"""),"WG")</f>
        <v>WG</v>
      </c>
      <c r="B2317" s="209" t="str">
        <f ca="1">IFERROR(__xludf.DUMMYFUNCTION("""COMPUTED_VALUE"""),"Jaden Buechler")</f>
        <v>Jaden Buechler</v>
      </c>
      <c r="C2317" s="201">
        <f ca="1">IFERROR(__xludf.DUMMYFUNCTION("""COMPUTED_VALUE"""),14)</f>
        <v>14</v>
      </c>
      <c r="D2317" s="201" t="str">
        <f ca="1">IFERROR(__xludf.DUMMYFUNCTION("""COMPUTED_VALUE"""),"B")</f>
        <v>B</v>
      </c>
      <c r="E2317" s="202" t="str">
        <f ca="1">IFERROR(__xludf.DUMMYFUNCTION("""COMPUTED_VALUE"""),"I")</f>
        <v>I</v>
      </c>
      <c r="F2317" s="210" t="str">
        <f ca="1">IFERROR(__xludf.DUMMYFUNCTION("""COMPUTED_VALUE"""),"S")</f>
        <v>S</v>
      </c>
      <c r="G2317" s="210">
        <f ca="1">IFERROR(__xludf.DUMMYFUNCTION("""COMPUTED_VALUE"""),2)</f>
        <v>2</v>
      </c>
      <c r="H2317" s="206"/>
      <c r="I2317" s="206">
        <v>101.9</v>
      </c>
      <c r="J2317" s="206"/>
      <c r="K2317" s="206" t="s">
        <v>121</v>
      </c>
      <c r="L2317" s="206" t="str">
        <v xml:space="preserve"> 101.9</v>
      </c>
      <c r="M2317" s="206" t="str">
        <v/>
      </c>
    </row>
    <row r="2318" spans="1:13" ht="14.4">
      <c r="A2318" s="201" t="str">
        <f ca="1">IFERROR(__xludf.DUMMYFUNCTION("""COMPUTED_VALUE"""),"WG")</f>
        <v>WG</v>
      </c>
      <c r="B2318" s="209" t="str">
        <f ca="1">IFERROR(__xludf.DUMMYFUNCTION("""COMPUTED_VALUE"""),"Charlotte Petrick")</f>
        <v>Charlotte Petrick</v>
      </c>
      <c r="C2318" s="201">
        <f ca="1">IFERROR(__xludf.DUMMYFUNCTION("""COMPUTED_VALUE"""),13)</f>
        <v>13</v>
      </c>
      <c r="D2318" s="201" t="str">
        <f ca="1">IFERROR(__xludf.DUMMYFUNCTION("""COMPUTED_VALUE"""),"G")</f>
        <v>G</v>
      </c>
      <c r="E2318" s="202" t="str">
        <f ca="1">IFERROR(__xludf.DUMMYFUNCTION("""COMPUTED_VALUE"""),"I")</f>
        <v>I</v>
      </c>
      <c r="F2318" s="210" t="str">
        <f ca="1">IFERROR(__xludf.DUMMYFUNCTION("""COMPUTED_VALUE"""),"S")</f>
        <v>S</v>
      </c>
      <c r="G2318" s="210">
        <f ca="1">IFERROR(__xludf.DUMMYFUNCTION("""COMPUTED_VALUE"""),2)</f>
        <v>2</v>
      </c>
      <c r="H2318" s="206">
        <v>109.8</v>
      </c>
      <c r="I2318" s="206"/>
      <c r="J2318" s="206" t="s">
        <v>121</v>
      </c>
      <c r="K2318" s="206"/>
      <c r="L2318" s="206" t="str">
        <v xml:space="preserve"> 109.8</v>
      </c>
      <c r="M2318" s="206" t="str">
        <v/>
      </c>
    </row>
    <row r="2319" spans="1:13" ht="14.4">
      <c r="A2319" s="201" t="str">
        <f ca="1">IFERROR(__xludf.DUMMYFUNCTION("""COMPUTED_VALUE"""),"WG")</f>
        <v>WG</v>
      </c>
      <c r="B2319" s="209" t="str">
        <f ca="1">IFERROR(__xludf.DUMMYFUNCTION("""COMPUTED_VALUE"""),"Mirabella Lanthier")</f>
        <v>Mirabella Lanthier</v>
      </c>
      <c r="C2319" s="201">
        <f ca="1">IFERROR(__xludf.DUMMYFUNCTION("""COMPUTED_VALUE"""),13)</f>
        <v>13</v>
      </c>
      <c r="D2319" s="201" t="str">
        <f ca="1">IFERROR(__xludf.DUMMYFUNCTION("""COMPUTED_VALUE"""),"G")</f>
        <v>G</v>
      </c>
      <c r="E2319" s="202" t="str">
        <f ca="1">IFERROR(__xludf.DUMMYFUNCTION("""COMPUTED_VALUE"""),"I")</f>
        <v>I</v>
      </c>
      <c r="F2319" s="210" t="str">
        <f ca="1">IFERROR(__xludf.DUMMYFUNCTION("""COMPUTED_VALUE"""),"S")</f>
        <v>S</v>
      </c>
      <c r="G2319" s="210">
        <f ca="1">IFERROR(__xludf.DUMMYFUNCTION("""COMPUTED_VALUE"""),2)</f>
        <v>2</v>
      </c>
      <c r="H2319" s="206">
        <v>94.95</v>
      </c>
      <c r="I2319" s="206"/>
      <c r="J2319" s="206" t="s">
        <v>121</v>
      </c>
      <c r="K2319" s="206"/>
      <c r="L2319" s="206" t="str">
        <v xml:space="preserve"> 94.95</v>
      </c>
      <c r="M2319" s="206" t="str">
        <v/>
      </c>
    </row>
    <row r="2320" spans="1:13" ht="14.4">
      <c r="A2320" s="201" t="str">
        <f ca="1">IFERROR(__xludf.DUMMYFUNCTION("""COMPUTED_VALUE"""),"WG")</f>
        <v>WG</v>
      </c>
      <c r="B2320" s="209" t="str">
        <f ca="1">IFERROR(__xludf.DUMMYFUNCTION("""COMPUTED_VALUE"""),"Asher Lanthier")</f>
        <v>Asher Lanthier</v>
      </c>
      <c r="C2320" s="201">
        <f ca="1">IFERROR(__xludf.DUMMYFUNCTION("""COMPUTED_VALUE"""),11)</f>
        <v>11</v>
      </c>
      <c r="D2320" s="201" t="str">
        <f ca="1">IFERROR(__xludf.DUMMYFUNCTION("""COMPUTED_VALUE"""),"B")</f>
        <v>B</v>
      </c>
      <c r="E2320" s="202" t="str">
        <f ca="1">IFERROR(__xludf.DUMMYFUNCTION("""COMPUTED_VALUE"""),"J")</f>
        <v>J</v>
      </c>
      <c r="F2320" s="210" t="str">
        <f ca="1">IFERROR(__xludf.DUMMYFUNCTION("""COMPUTED_VALUE"""),"I")</f>
        <v>I</v>
      </c>
      <c r="G2320" s="210">
        <f ca="1">IFERROR(__xludf.DUMMYFUNCTION("""COMPUTED_VALUE"""),2)</f>
        <v>2</v>
      </c>
      <c r="H2320" s="206"/>
      <c r="I2320" s="206">
        <v>99.7</v>
      </c>
      <c r="J2320" s="206"/>
      <c r="K2320" s="206" t="s">
        <v>121</v>
      </c>
      <c r="L2320" s="206" t="str">
        <v xml:space="preserve"> 99.7</v>
      </c>
      <c r="M2320" s="206" t="str">
        <v/>
      </c>
    </row>
    <row r="2321" spans="1:13" ht="14.4">
      <c r="A2321" s="201" t="str">
        <f ca="1">IFERROR(__xludf.DUMMYFUNCTION("""COMPUTED_VALUE"""),"WG")</f>
        <v>WG</v>
      </c>
      <c r="B2321" s="209" t="str">
        <f ca="1">IFERROR(__xludf.DUMMYFUNCTION("""COMPUTED_VALUE"""),"Jake Henderson")</f>
        <v>Jake Henderson</v>
      </c>
      <c r="C2321" s="201">
        <f ca="1">IFERROR(__xludf.DUMMYFUNCTION("""COMPUTED_VALUE"""),11)</f>
        <v>11</v>
      </c>
      <c r="D2321" s="201" t="str">
        <f ca="1">IFERROR(__xludf.DUMMYFUNCTION("""COMPUTED_VALUE"""),"B")</f>
        <v>B</v>
      </c>
      <c r="E2321" s="202" t="str">
        <f ca="1">IFERROR(__xludf.DUMMYFUNCTION("""COMPUTED_VALUE"""),"J")</f>
        <v>J</v>
      </c>
      <c r="F2321" s="210" t="str">
        <f ca="1">IFERROR(__xludf.DUMMYFUNCTION("""COMPUTED_VALUE"""),"I")</f>
        <v>I</v>
      </c>
      <c r="G2321" s="210">
        <f ca="1">IFERROR(__xludf.DUMMYFUNCTION("""COMPUTED_VALUE"""),2)</f>
        <v>2</v>
      </c>
      <c r="H2321" s="206"/>
      <c r="I2321" s="206"/>
      <c r="J2321" s="206"/>
      <c r="K2321" s="206"/>
      <c r="L2321" s="206" t="str">
        <v/>
      </c>
      <c r="M2321" s="206" t="str">
        <v/>
      </c>
    </row>
    <row r="2322" spans="1:13" ht="14.4">
      <c r="A2322" s="201" t="str">
        <f ca="1">IFERROR(__xludf.DUMMYFUNCTION("""COMPUTED_VALUE"""),"WG")</f>
        <v>WG</v>
      </c>
      <c r="B2322" s="209" t="str">
        <f ca="1">IFERROR(__xludf.DUMMYFUNCTION("""COMPUTED_VALUE"""),"Ramsay Latham")</f>
        <v>Ramsay Latham</v>
      </c>
      <c r="C2322" s="201">
        <f ca="1">IFERROR(__xludf.DUMMYFUNCTION("""COMPUTED_VALUE"""),12)</f>
        <v>12</v>
      </c>
      <c r="D2322" s="201" t="str">
        <f ca="1">IFERROR(__xludf.DUMMYFUNCTION("""COMPUTED_VALUE"""),"B")</f>
        <v>B</v>
      </c>
      <c r="E2322" s="202" t="str">
        <f ca="1">IFERROR(__xludf.DUMMYFUNCTION("""COMPUTED_VALUE"""),"J")</f>
        <v>J</v>
      </c>
      <c r="F2322" s="210" t="str">
        <f ca="1">IFERROR(__xludf.DUMMYFUNCTION("""COMPUTED_VALUE"""),"I")</f>
        <v>I</v>
      </c>
      <c r="G2322" s="210">
        <f ca="1">IFERROR(__xludf.DUMMYFUNCTION("""COMPUTED_VALUE"""),2)</f>
        <v>2</v>
      </c>
      <c r="H2322" s="206"/>
      <c r="I2322" s="206">
        <v>53.4</v>
      </c>
      <c r="J2322" s="206"/>
      <c r="K2322" s="206" t="s">
        <v>121</v>
      </c>
      <c r="L2322" s="206" t="str">
        <v xml:space="preserve"> 53.4</v>
      </c>
      <c r="M2322" s="206" t="str">
        <v/>
      </c>
    </row>
    <row r="2323" spans="1:13" ht="14.4">
      <c r="A2323" s="201" t="str">
        <f ca="1">IFERROR(__xludf.DUMMYFUNCTION("""COMPUTED_VALUE"""),"WG")</f>
        <v>WG</v>
      </c>
      <c r="B2323" s="209" t="str">
        <f ca="1">IFERROR(__xludf.DUMMYFUNCTION("""COMPUTED_VALUE"""),"Rayan Basha")</f>
        <v>Rayan Basha</v>
      </c>
      <c r="C2323" s="201">
        <f ca="1">IFERROR(__xludf.DUMMYFUNCTION("""COMPUTED_VALUE"""),12)</f>
        <v>12</v>
      </c>
      <c r="D2323" s="201" t="str">
        <f ca="1">IFERROR(__xludf.DUMMYFUNCTION("""COMPUTED_VALUE"""),"B")</f>
        <v>B</v>
      </c>
      <c r="E2323" s="202" t="str">
        <f ca="1">IFERROR(__xludf.DUMMYFUNCTION("""COMPUTED_VALUE"""),"J")</f>
        <v>J</v>
      </c>
      <c r="F2323" s="210" t="str">
        <f ca="1">IFERROR(__xludf.DUMMYFUNCTION("""COMPUTED_VALUE"""),"I")</f>
        <v>I</v>
      </c>
      <c r="G2323" s="210">
        <f ca="1">IFERROR(__xludf.DUMMYFUNCTION("""COMPUTED_VALUE"""),2)</f>
        <v>2</v>
      </c>
      <c r="H2323" s="206"/>
      <c r="I2323" s="206"/>
      <c r="J2323" s="206"/>
      <c r="K2323" s="206"/>
      <c r="L2323" s="206" t="str">
        <v/>
      </c>
      <c r="M2323" s="206" t="str">
        <v/>
      </c>
    </row>
    <row r="2324" spans="1:13" ht="14.4">
      <c r="A2324" s="201" t="str">
        <f ca="1">IFERROR(__xludf.DUMMYFUNCTION("""COMPUTED_VALUE"""),"WG")</f>
        <v>WG</v>
      </c>
      <c r="B2324" s="209" t="str">
        <f ca="1">IFERROR(__xludf.DUMMYFUNCTION("""COMPUTED_VALUE"""),"Isabella Uribarri-Tibabuzo")</f>
        <v>Isabella Uribarri-Tibabuzo</v>
      </c>
      <c r="C2324" s="201">
        <f ca="1">IFERROR(__xludf.DUMMYFUNCTION("""COMPUTED_VALUE"""),11)</f>
        <v>11</v>
      </c>
      <c r="D2324" s="201" t="str">
        <f ca="1">IFERROR(__xludf.DUMMYFUNCTION("""COMPUTED_VALUE"""),"G")</f>
        <v>G</v>
      </c>
      <c r="E2324" s="202" t="str">
        <f ca="1">IFERROR(__xludf.DUMMYFUNCTION("""COMPUTED_VALUE"""),"J")</f>
        <v>J</v>
      </c>
      <c r="F2324" s="210" t="str">
        <f ca="1">IFERROR(__xludf.DUMMYFUNCTION("""COMPUTED_VALUE"""),"I")</f>
        <v>I</v>
      </c>
      <c r="G2324" s="210">
        <f ca="1">IFERROR(__xludf.DUMMYFUNCTION("""COMPUTED_VALUE"""),2)</f>
        <v>2</v>
      </c>
      <c r="H2324" s="206">
        <v>61.35</v>
      </c>
      <c r="I2324" s="206"/>
      <c r="J2324" s="206" t="s">
        <v>121</v>
      </c>
      <c r="K2324" s="206"/>
      <c r="L2324" s="206" t="str">
        <v xml:space="preserve"> 61.35</v>
      </c>
      <c r="M2324" s="206" t="str">
        <v/>
      </c>
    </row>
    <row r="2325" spans="1:13" ht="14.4">
      <c r="A2325" s="201" t="str">
        <f ca="1">IFERROR(__xludf.DUMMYFUNCTION("""COMPUTED_VALUE"""),"WG")</f>
        <v>WG</v>
      </c>
      <c r="B2325" s="209" t="str">
        <f ca="1">IFERROR(__xludf.DUMMYFUNCTION("""COMPUTED_VALUE"""),"Jessica Buechler")</f>
        <v>Jessica Buechler</v>
      </c>
      <c r="C2325" s="201">
        <f ca="1">IFERROR(__xludf.DUMMYFUNCTION("""COMPUTED_VALUE"""),12)</f>
        <v>12</v>
      </c>
      <c r="D2325" s="201" t="str">
        <f ca="1">IFERROR(__xludf.DUMMYFUNCTION("""COMPUTED_VALUE"""),"G")</f>
        <v>G</v>
      </c>
      <c r="E2325" s="202" t="str">
        <f ca="1">IFERROR(__xludf.DUMMYFUNCTION("""COMPUTED_VALUE"""),"J")</f>
        <v>J</v>
      </c>
      <c r="F2325" s="210" t="str">
        <f ca="1">IFERROR(__xludf.DUMMYFUNCTION("""COMPUTED_VALUE"""),"I")</f>
        <v>I</v>
      </c>
      <c r="G2325" s="210">
        <f ca="1">IFERROR(__xludf.DUMMYFUNCTION("""COMPUTED_VALUE"""),2)</f>
        <v>2</v>
      </c>
      <c r="H2325" s="206">
        <v>82.6</v>
      </c>
      <c r="I2325" s="206"/>
      <c r="J2325" s="206" t="s">
        <v>121</v>
      </c>
      <c r="K2325" s="206"/>
      <c r="L2325" s="206" t="str">
        <v xml:space="preserve"> 82.6</v>
      </c>
      <c r="M2325" s="206" t="str">
        <v/>
      </c>
    </row>
    <row r="2326" spans="1:13" ht="14.4">
      <c r="A2326" s="201" t="str">
        <f ca="1">IFERROR(__xludf.DUMMYFUNCTION("""COMPUTED_VALUE"""),"WG")</f>
        <v>WG</v>
      </c>
      <c r="B2326" s="209" t="str">
        <f ca="1">IFERROR(__xludf.DUMMYFUNCTION("""COMPUTED_VALUE"""),"Mya Merkel")</f>
        <v>Mya Merkel</v>
      </c>
      <c r="C2326" s="201">
        <f ca="1">IFERROR(__xludf.DUMMYFUNCTION("""COMPUTED_VALUE"""),11)</f>
        <v>11</v>
      </c>
      <c r="D2326" s="201" t="str">
        <f ca="1">IFERROR(__xludf.DUMMYFUNCTION("""COMPUTED_VALUE"""),"G")</f>
        <v>G</v>
      </c>
      <c r="E2326" s="202" t="str">
        <f ca="1">IFERROR(__xludf.DUMMYFUNCTION("""COMPUTED_VALUE"""),"J")</f>
        <v>J</v>
      </c>
      <c r="F2326" s="210" t="str">
        <f ca="1">IFERROR(__xludf.DUMMYFUNCTION("""COMPUTED_VALUE"""),"I")</f>
        <v>I</v>
      </c>
      <c r="G2326" s="210">
        <f ca="1">IFERROR(__xludf.DUMMYFUNCTION("""COMPUTED_VALUE"""),2)</f>
        <v>2</v>
      </c>
      <c r="H2326" s="206">
        <v>65.95</v>
      </c>
      <c r="I2326" s="206"/>
      <c r="J2326" s="206" t="s">
        <v>121</v>
      </c>
      <c r="K2326" s="206"/>
      <c r="L2326" s="206" t="str">
        <v xml:space="preserve"> 65.95</v>
      </c>
      <c r="M2326" s="206" t="str">
        <v/>
      </c>
    </row>
    <row r="2327" spans="1:13" ht="14.4">
      <c r="A2327" s="201" t="str">
        <f ca="1">IFERROR(__xludf.DUMMYFUNCTION("""COMPUTED_VALUE"""),"WG")</f>
        <v>WG</v>
      </c>
      <c r="B2327" s="209" t="str">
        <f ca="1">IFERROR(__xludf.DUMMYFUNCTION("""COMPUTED_VALUE"""),"Riley Lalime")</f>
        <v>Riley Lalime</v>
      </c>
      <c r="C2327" s="201">
        <f ca="1">IFERROR(__xludf.DUMMYFUNCTION("""COMPUTED_VALUE"""),12)</f>
        <v>12</v>
      </c>
      <c r="D2327" s="201" t="str">
        <f ca="1">IFERROR(__xludf.DUMMYFUNCTION("""COMPUTED_VALUE"""),"G")</f>
        <v>G</v>
      </c>
      <c r="E2327" s="202" t="str">
        <f ca="1">IFERROR(__xludf.DUMMYFUNCTION("""COMPUTED_VALUE"""),"J")</f>
        <v>J</v>
      </c>
      <c r="F2327" s="210" t="str">
        <f ca="1">IFERROR(__xludf.DUMMYFUNCTION("""COMPUTED_VALUE"""),"I")</f>
        <v>I</v>
      </c>
      <c r="G2327" s="210">
        <f ca="1">IFERROR(__xludf.DUMMYFUNCTION("""COMPUTED_VALUE"""),2)</f>
        <v>2</v>
      </c>
      <c r="H2327" s="206"/>
      <c r="I2327" s="206"/>
      <c r="J2327" s="206"/>
      <c r="K2327" s="206"/>
      <c r="L2327" s="206" t="str">
        <v/>
      </c>
      <c r="M2327" s="206" t="str">
        <v/>
      </c>
    </row>
    <row r="2328" spans="1:13" ht="14.4">
      <c r="A2328" s="201" t="str">
        <f ca="1">IFERROR(__xludf.DUMMYFUNCTION("""COMPUTED_VALUE"""),"WG")</f>
        <v>WG</v>
      </c>
      <c r="B2328" s="209" t="str">
        <f ca="1">IFERROR(__xludf.DUMMYFUNCTION("""COMPUTED_VALUE"""),"Sophia Hwang")</f>
        <v>Sophia Hwang</v>
      </c>
      <c r="C2328" s="201">
        <f ca="1">IFERROR(__xludf.DUMMYFUNCTION("""COMPUTED_VALUE"""),12)</f>
        <v>12</v>
      </c>
      <c r="D2328" s="201" t="str">
        <f ca="1">IFERROR(__xludf.DUMMYFUNCTION("""COMPUTED_VALUE"""),"G")</f>
        <v>G</v>
      </c>
      <c r="E2328" s="202" t="str">
        <f ca="1">IFERROR(__xludf.DUMMYFUNCTION("""COMPUTED_VALUE"""),"J")</f>
        <v>J</v>
      </c>
      <c r="F2328" s="210" t="str">
        <f ca="1">IFERROR(__xludf.DUMMYFUNCTION("""COMPUTED_VALUE"""),"I")</f>
        <v>I</v>
      </c>
      <c r="G2328" s="210">
        <f ca="1">IFERROR(__xludf.DUMMYFUNCTION("""COMPUTED_VALUE"""),2)</f>
        <v>2</v>
      </c>
      <c r="H2328" s="206">
        <v>60</v>
      </c>
      <c r="I2328" s="206"/>
      <c r="J2328" s="206" t="s">
        <v>121</v>
      </c>
      <c r="K2328" s="206"/>
      <c r="L2328" s="206" t="str">
        <v xml:space="preserve"> 60</v>
      </c>
      <c r="M2328" s="206" t="str">
        <v/>
      </c>
    </row>
    <row r="2329" spans="1:13" ht="14.4">
      <c r="A2329" s="201" t="str">
        <f ca="1">IFERROR(__xludf.DUMMYFUNCTION("""COMPUTED_VALUE"""),"WG")</f>
        <v>WG</v>
      </c>
      <c r="B2329" s="209" t="str">
        <f ca="1">IFERROR(__xludf.DUMMYFUNCTION("""COMPUTED_VALUE"""),"Aidan Smith")</f>
        <v>Aidan Smith</v>
      </c>
      <c r="C2329" s="201">
        <f ca="1">IFERROR(__xludf.DUMMYFUNCTION("""COMPUTED_VALUE"""),15)</f>
        <v>15</v>
      </c>
      <c r="D2329" s="201" t="str">
        <f ca="1">IFERROR(__xludf.DUMMYFUNCTION("""COMPUTED_VALUE"""),"B")</f>
        <v>B</v>
      </c>
      <c r="E2329" s="202" t="str">
        <f ca="1">IFERROR(__xludf.DUMMYFUNCTION("""COMPUTED_VALUE"""),"S")</f>
        <v>S</v>
      </c>
      <c r="F2329" s="210" t="str">
        <f ca="1">IFERROR(__xludf.DUMMYFUNCTION("""COMPUTED_VALUE"""),"S")</f>
        <v>S</v>
      </c>
      <c r="G2329" s="210">
        <f ca="1">IFERROR(__xludf.DUMMYFUNCTION("""COMPUTED_VALUE"""),2)</f>
        <v>2</v>
      </c>
      <c r="H2329" s="206"/>
      <c r="I2329" s="206">
        <v>135.30000000000001</v>
      </c>
      <c r="J2329" s="206"/>
      <c r="K2329" s="206" t="s">
        <v>121</v>
      </c>
      <c r="L2329" s="206" t="str">
        <v xml:space="preserve"> 135.3</v>
      </c>
      <c r="M2329" s="206" t="str">
        <v/>
      </c>
    </row>
    <row r="2330" spans="1:13" ht="14.4">
      <c r="A2330" s="201" t="str">
        <f ca="1">IFERROR(__xludf.DUMMYFUNCTION("""COMPUTED_VALUE"""),"WG")</f>
        <v>WG</v>
      </c>
      <c r="B2330" s="209" t="str">
        <f ca="1">IFERROR(__xludf.DUMMYFUNCTION("""COMPUTED_VALUE"""),"Ian Whitesel")</f>
        <v>Ian Whitesel</v>
      </c>
      <c r="C2330" s="201">
        <f ca="1">IFERROR(__xludf.DUMMYFUNCTION("""COMPUTED_VALUE"""),18)</f>
        <v>18</v>
      </c>
      <c r="D2330" s="201" t="str">
        <f ca="1">IFERROR(__xludf.DUMMYFUNCTION("""COMPUTED_VALUE"""),"B")</f>
        <v>B</v>
      </c>
      <c r="E2330" s="202" t="str">
        <f ca="1">IFERROR(__xludf.DUMMYFUNCTION("""COMPUTED_VALUE"""),"S")</f>
        <v>S</v>
      </c>
      <c r="F2330" s="210" t="str">
        <f ca="1">IFERROR(__xludf.DUMMYFUNCTION("""COMPUTED_VALUE"""),"S")</f>
        <v>S</v>
      </c>
      <c r="G2330" s="210">
        <f ca="1">IFERROR(__xludf.DUMMYFUNCTION("""COMPUTED_VALUE"""),2)</f>
        <v>2</v>
      </c>
      <c r="H2330" s="206"/>
      <c r="I2330" s="206">
        <v>193.8</v>
      </c>
      <c r="J2330" s="206"/>
      <c r="K2330" s="206" t="s">
        <v>121</v>
      </c>
      <c r="L2330" s="206" t="str">
        <v xml:space="preserve"> 193.8</v>
      </c>
      <c r="M2330" s="206" t="str">
        <v/>
      </c>
    </row>
    <row r="2331" spans="1:13" ht="14.4">
      <c r="A2331" s="201" t="str">
        <f ca="1">IFERROR(__xludf.DUMMYFUNCTION("""COMPUTED_VALUE"""),"WG")</f>
        <v>WG</v>
      </c>
      <c r="B2331" s="209" t="str">
        <f ca="1">IFERROR(__xludf.DUMMYFUNCTION("""COMPUTED_VALUE"""),"Jake Moyer")</f>
        <v>Jake Moyer</v>
      </c>
      <c r="C2331" s="201">
        <f ca="1">IFERROR(__xludf.DUMMYFUNCTION("""COMPUTED_VALUE"""),18)</f>
        <v>18</v>
      </c>
      <c r="D2331" s="201" t="str">
        <f ca="1">IFERROR(__xludf.DUMMYFUNCTION("""COMPUTED_VALUE"""),"B")</f>
        <v>B</v>
      </c>
      <c r="E2331" s="202" t="str">
        <f ca="1">IFERROR(__xludf.DUMMYFUNCTION("""COMPUTED_VALUE"""),"S")</f>
        <v>S</v>
      </c>
      <c r="F2331" s="210" t="str">
        <f ca="1">IFERROR(__xludf.DUMMYFUNCTION("""COMPUTED_VALUE"""),"S")</f>
        <v>S</v>
      </c>
      <c r="G2331" s="210">
        <f ca="1">IFERROR(__xludf.DUMMYFUNCTION("""COMPUTED_VALUE"""),2)</f>
        <v>2</v>
      </c>
      <c r="H2331" s="206"/>
      <c r="I2331" s="206">
        <v>147</v>
      </c>
      <c r="J2331" s="206"/>
      <c r="K2331" s="206" t="s">
        <v>121</v>
      </c>
      <c r="L2331" s="206" t="str">
        <v xml:space="preserve"> 147</v>
      </c>
      <c r="M2331" s="206" t="str">
        <v/>
      </c>
    </row>
    <row r="2332" spans="1:13" ht="14.4">
      <c r="A2332" s="201" t="str">
        <f ca="1">IFERROR(__xludf.DUMMYFUNCTION("""COMPUTED_VALUE"""),"WG")</f>
        <v>WG</v>
      </c>
      <c r="B2332" s="209" t="str">
        <f ca="1">IFERROR(__xludf.DUMMYFUNCTION("""COMPUTED_VALUE"""),"Max Fowler")</f>
        <v>Max Fowler</v>
      </c>
      <c r="C2332" s="201">
        <f ca="1">IFERROR(__xludf.DUMMYFUNCTION("""COMPUTED_VALUE"""),16)</f>
        <v>16</v>
      </c>
      <c r="D2332" s="201" t="str">
        <f ca="1">IFERROR(__xludf.DUMMYFUNCTION("""COMPUTED_VALUE"""),"B")</f>
        <v>B</v>
      </c>
      <c r="E2332" s="202" t="str">
        <f ca="1">IFERROR(__xludf.DUMMYFUNCTION("""COMPUTED_VALUE"""),"S")</f>
        <v>S</v>
      </c>
      <c r="F2332" s="210" t="str">
        <f ca="1">IFERROR(__xludf.DUMMYFUNCTION("""COMPUTED_VALUE"""),"S")</f>
        <v>S</v>
      </c>
      <c r="G2332" s="210">
        <f ca="1">IFERROR(__xludf.DUMMYFUNCTION("""COMPUTED_VALUE"""),2)</f>
        <v>2</v>
      </c>
      <c r="H2332" s="206"/>
      <c r="I2332" s="206">
        <v>277</v>
      </c>
      <c r="J2332" s="206"/>
      <c r="K2332" s="206" t="s">
        <v>121</v>
      </c>
      <c r="L2332" s="206" t="str">
        <v xml:space="preserve"> 277</v>
      </c>
      <c r="M2332" s="206" t="str">
        <v/>
      </c>
    </row>
    <row r="2333" spans="1:13" ht="14.4">
      <c r="A2333" s="201" t="str">
        <f ca="1">IFERROR(__xludf.DUMMYFUNCTION("""COMPUTED_VALUE"""),"WG")</f>
        <v>WG</v>
      </c>
      <c r="B2333" s="209" t="str">
        <f ca="1">IFERROR(__xludf.DUMMYFUNCTION("""COMPUTED_VALUE"""),"Patrick Moyer")</f>
        <v>Patrick Moyer</v>
      </c>
      <c r="C2333" s="201">
        <f ca="1">IFERROR(__xludf.DUMMYFUNCTION("""COMPUTED_VALUE"""),16)</f>
        <v>16</v>
      </c>
      <c r="D2333" s="201" t="str">
        <f ca="1">IFERROR(__xludf.DUMMYFUNCTION("""COMPUTED_VALUE"""),"B")</f>
        <v>B</v>
      </c>
      <c r="E2333" s="202" t="str">
        <f ca="1">IFERROR(__xludf.DUMMYFUNCTION("""COMPUTED_VALUE"""),"S")</f>
        <v>S</v>
      </c>
      <c r="F2333" s="210" t="str">
        <f ca="1">IFERROR(__xludf.DUMMYFUNCTION("""COMPUTED_VALUE"""),"S")</f>
        <v>S</v>
      </c>
      <c r="G2333" s="210">
        <f ca="1">IFERROR(__xludf.DUMMYFUNCTION("""COMPUTED_VALUE"""),2)</f>
        <v>2</v>
      </c>
      <c r="H2333" s="206"/>
      <c r="I2333" s="206"/>
      <c r="J2333" s="206"/>
      <c r="K2333" s="206"/>
      <c r="L2333" s="206" t="str">
        <v/>
      </c>
      <c r="M2333" s="206" t="str">
        <v/>
      </c>
    </row>
    <row r="2334" spans="1:13" ht="14.4">
      <c r="A2334" s="201" t="str">
        <f ca="1">IFERROR(__xludf.DUMMYFUNCTION("""COMPUTED_VALUE"""),"WG")</f>
        <v>WG</v>
      </c>
      <c r="B2334" s="209" t="str">
        <f ca="1">IFERROR(__xludf.DUMMYFUNCTION("""COMPUTED_VALUE"""),"Anne Fowler")</f>
        <v>Anne Fowler</v>
      </c>
      <c r="C2334" s="201">
        <f ca="1">IFERROR(__xludf.DUMMYFUNCTION("""COMPUTED_VALUE"""),19)</f>
        <v>19</v>
      </c>
      <c r="D2334" s="201" t="str">
        <f ca="1">IFERROR(__xludf.DUMMYFUNCTION("""COMPUTED_VALUE"""),"G")</f>
        <v>G</v>
      </c>
      <c r="E2334" s="202" t="str">
        <f ca="1">IFERROR(__xludf.DUMMYFUNCTION("""COMPUTED_VALUE"""),"S")</f>
        <v>S</v>
      </c>
      <c r="F2334" s="210" t="str">
        <f ca="1">IFERROR(__xludf.DUMMYFUNCTION("""COMPUTED_VALUE"""),"S")</f>
        <v>S</v>
      </c>
      <c r="G2334" s="210">
        <f ca="1">IFERROR(__xludf.DUMMYFUNCTION("""COMPUTED_VALUE"""),2)</f>
        <v>2</v>
      </c>
      <c r="H2334" s="206"/>
      <c r="I2334" s="206"/>
      <c r="J2334" s="206"/>
      <c r="K2334" s="206"/>
      <c r="L2334" s="206" t="str">
        <v/>
      </c>
      <c r="M2334" s="206" t="str">
        <v/>
      </c>
    </row>
    <row r="2335" spans="1:13" ht="14.4">
      <c r="A2335" s="201" t="str">
        <f ca="1">IFERROR(__xludf.DUMMYFUNCTION("""COMPUTED_VALUE"""),"WG")</f>
        <v>WG</v>
      </c>
      <c r="B2335" s="209" t="str">
        <f ca="1">IFERROR(__xludf.DUMMYFUNCTION("""COMPUTED_VALUE"""),"Jordan Buechler")</f>
        <v>Jordan Buechler</v>
      </c>
      <c r="C2335" s="201">
        <f ca="1">IFERROR(__xludf.DUMMYFUNCTION("""COMPUTED_VALUE"""),18)</f>
        <v>18</v>
      </c>
      <c r="D2335" s="201" t="str">
        <f ca="1">IFERROR(__xludf.DUMMYFUNCTION("""COMPUTED_VALUE"""),"G")</f>
        <v>G</v>
      </c>
      <c r="E2335" s="202" t="str">
        <f ca="1">IFERROR(__xludf.DUMMYFUNCTION("""COMPUTED_VALUE"""),"S")</f>
        <v>S</v>
      </c>
      <c r="F2335" s="210" t="str">
        <f ca="1">IFERROR(__xludf.DUMMYFUNCTION("""COMPUTED_VALUE"""),"S")</f>
        <v>S</v>
      </c>
      <c r="G2335" s="210">
        <f ca="1">IFERROR(__xludf.DUMMYFUNCTION("""COMPUTED_VALUE"""),2)</f>
        <v>2</v>
      </c>
      <c r="H2335" s="206" t="s">
        <v>122</v>
      </c>
      <c r="I2335" s="206"/>
      <c r="J2335" s="206" t="s">
        <v>121</v>
      </c>
      <c r="K2335" s="206"/>
      <c r="L2335" s="206" t="str">
        <v xml:space="preserve"> DQ</v>
      </c>
      <c r="M2335" s="206" t="str">
        <v/>
      </c>
    </row>
    <row r="2336" spans="1:13" ht="14.4">
      <c r="A2336" s="201" t="str">
        <f ca="1">IFERROR(__xludf.DUMMYFUNCTION("""COMPUTED_VALUE"""),"WG")</f>
        <v>WG</v>
      </c>
      <c r="B2336" s="209" t="str">
        <f ca="1">IFERROR(__xludf.DUMMYFUNCTION("""COMPUTED_VALUE"""),"Sophia Getty")</f>
        <v>Sophia Getty</v>
      </c>
      <c r="C2336" s="201">
        <f ca="1">IFERROR(__xludf.DUMMYFUNCTION("""COMPUTED_VALUE"""),15)</f>
        <v>15</v>
      </c>
      <c r="D2336" s="201" t="str">
        <f ca="1">IFERROR(__xludf.DUMMYFUNCTION("""COMPUTED_VALUE"""),"G")</f>
        <v>G</v>
      </c>
      <c r="E2336" s="202" t="str">
        <f ca="1">IFERROR(__xludf.DUMMYFUNCTION("""COMPUTED_VALUE"""),"S")</f>
        <v>S</v>
      </c>
      <c r="F2336" s="210" t="str">
        <f ca="1">IFERROR(__xludf.DUMMYFUNCTION("""COMPUTED_VALUE"""),"S")</f>
        <v>S</v>
      </c>
      <c r="G2336" s="210">
        <f ca="1">IFERROR(__xludf.DUMMYFUNCTION("""COMPUTED_VALUE"""),2)</f>
        <v>2</v>
      </c>
      <c r="H2336" s="206"/>
      <c r="I2336" s="206"/>
      <c r="J2336" s="206"/>
      <c r="K2336" s="206"/>
      <c r="L2336" s="206" t="str">
        <v/>
      </c>
      <c r="M2336" s="206" t="str">
        <v/>
      </c>
    </row>
    <row r="2337" spans="1:13" ht="14.4">
      <c r="A2337" s="201" t="str">
        <f ca="1">IFERROR(__xludf.DUMMYFUNCTION("""COMPUTED_VALUE"""),"WG")</f>
        <v>WG</v>
      </c>
      <c r="B2337" s="209" t="str">
        <f ca="1">IFERROR(__xludf.DUMMYFUNCTION("""COMPUTED_VALUE"""),"Sydney Lalime")</f>
        <v>Sydney Lalime</v>
      </c>
      <c r="C2337" s="201">
        <f ca="1">IFERROR(__xludf.DUMMYFUNCTION("""COMPUTED_VALUE"""),15)</f>
        <v>15</v>
      </c>
      <c r="D2337" s="201" t="str">
        <f ca="1">IFERROR(__xludf.DUMMYFUNCTION("""COMPUTED_VALUE"""),"G")</f>
        <v>G</v>
      </c>
      <c r="E2337" s="202" t="str">
        <f ca="1">IFERROR(__xludf.DUMMYFUNCTION("""COMPUTED_VALUE"""),"S")</f>
        <v>S</v>
      </c>
      <c r="F2337" s="210" t="str">
        <f ca="1">IFERROR(__xludf.DUMMYFUNCTION("""COMPUTED_VALUE"""),"S")</f>
        <v>S</v>
      </c>
      <c r="G2337" s="210">
        <f ca="1">IFERROR(__xludf.DUMMYFUNCTION("""COMPUTED_VALUE"""),2)</f>
        <v>2</v>
      </c>
      <c r="H2337" s="206"/>
      <c r="I2337" s="206"/>
      <c r="J2337" s="206"/>
      <c r="K2337" s="206"/>
      <c r="L2337" s="206" t="str">
        <v/>
      </c>
      <c r="M2337" s="206" t="str">
        <v/>
      </c>
    </row>
    <row r="2338" spans="1:13" ht="14.4">
      <c r="A2338" s="201"/>
      <c r="B2338" s="209" t="str">
        <f ca="1">IFERROR(__xludf.DUMMYFUNCTION("""COMPUTED_VALUE"""),"")</f>
        <v/>
      </c>
      <c r="C2338" s="201" t="str">
        <f ca="1">IFERROR(__xludf.DUMMYFUNCTION("""COMPUTED_VALUE"""),"")</f>
        <v/>
      </c>
      <c r="D2338" s="201" t="str">
        <f ca="1">IFERROR(__xludf.DUMMYFUNCTION("""COMPUTED_VALUE"""),"")</f>
        <v/>
      </c>
      <c r="E2338" s="202" t="str">
        <f ca="1">IFERROR(__xludf.DUMMYFUNCTION("""COMPUTED_VALUE"""),"")</f>
        <v/>
      </c>
      <c r="F2338" s="210" t="str">
        <f ca="1">IFERROR(__xludf.DUMMYFUNCTION("""COMPUTED_VALUE"""),"")</f>
        <v/>
      </c>
      <c r="G2338" s="210" t="str">
        <f ca="1">IFERROR(__xludf.DUMMYFUNCTION("""COMPUTED_VALUE"""),"")</f>
        <v/>
      </c>
      <c r="H2338" s="206" t="s">
        <v>121</v>
      </c>
      <c r="I2338" s="206" t="s">
        <v>121</v>
      </c>
      <c r="J2338" s="206" t="s">
        <v>121</v>
      </c>
      <c r="K2338" s="206" t="s">
        <v>121</v>
      </c>
      <c r="L2338" s="206" t="str">
        <v/>
      </c>
      <c r="M2338" s="206" t="str">
        <v/>
      </c>
    </row>
    <row r="2339" spans="1:13" ht="14.4">
      <c r="A2339" s="201"/>
      <c r="B2339" s="209" t="str">
        <f ca="1">IFERROR(__xludf.DUMMYFUNCTION("""COMPUTED_VALUE"""),"")</f>
        <v/>
      </c>
      <c r="C2339" s="201" t="str">
        <f ca="1">IFERROR(__xludf.DUMMYFUNCTION("""COMPUTED_VALUE"""),"")</f>
        <v/>
      </c>
      <c r="D2339" s="201" t="str">
        <f ca="1">IFERROR(__xludf.DUMMYFUNCTION("""COMPUTED_VALUE"""),"")</f>
        <v/>
      </c>
      <c r="E2339" s="202" t="str">
        <f ca="1">IFERROR(__xludf.DUMMYFUNCTION("""COMPUTED_VALUE"""),"")</f>
        <v/>
      </c>
      <c r="F2339" s="210" t="str">
        <f ca="1">IFERROR(__xludf.DUMMYFUNCTION("""COMPUTED_VALUE"""),"")</f>
        <v/>
      </c>
      <c r="G2339" s="210" t="str">
        <f ca="1">IFERROR(__xludf.DUMMYFUNCTION("""COMPUTED_VALUE"""),"")</f>
        <v/>
      </c>
      <c r="H2339" s="206" t="s">
        <v>121</v>
      </c>
      <c r="I2339" s="206" t="s">
        <v>121</v>
      </c>
      <c r="J2339" s="206" t="s">
        <v>121</v>
      </c>
      <c r="K2339" s="206" t="s">
        <v>121</v>
      </c>
      <c r="L2339" s="206" t="str">
        <v/>
      </c>
      <c r="M2339" s="206" t="str">
        <v/>
      </c>
    </row>
    <row r="2340" spans="1:13" ht="14.4">
      <c r="A2340" s="201"/>
      <c r="B2340" s="209" t="str">
        <f ca="1">IFERROR(__xludf.DUMMYFUNCTION("""COMPUTED_VALUE"""),"")</f>
        <v/>
      </c>
      <c r="C2340" s="201" t="str">
        <f ca="1">IFERROR(__xludf.DUMMYFUNCTION("""COMPUTED_VALUE"""),"")</f>
        <v/>
      </c>
      <c r="D2340" s="201" t="str">
        <f ca="1">IFERROR(__xludf.DUMMYFUNCTION("""COMPUTED_VALUE"""),"")</f>
        <v/>
      </c>
      <c r="E2340" s="202" t="str">
        <f ca="1">IFERROR(__xludf.DUMMYFUNCTION("""COMPUTED_VALUE"""),"")</f>
        <v/>
      </c>
      <c r="F2340" s="210" t="str">
        <f ca="1">IFERROR(__xludf.DUMMYFUNCTION("""COMPUTED_VALUE"""),"")</f>
        <v/>
      </c>
      <c r="G2340" s="210" t="str">
        <f ca="1">IFERROR(__xludf.DUMMYFUNCTION("""COMPUTED_VALUE"""),"")</f>
        <v/>
      </c>
      <c r="H2340" s="206" t="s">
        <v>121</v>
      </c>
      <c r="I2340" s="206" t="s">
        <v>121</v>
      </c>
      <c r="J2340" s="206" t="s">
        <v>121</v>
      </c>
      <c r="K2340" s="206" t="s">
        <v>121</v>
      </c>
      <c r="L2340" s="206" t="str">
        <v/>
      </c>
      <c r="M2340" s="206" t="str">
        <v/>
      </c>
    </row>
    <row r="2341" spans="1:13" ht="14.4">
      <c r="A2341" s="201"/>
      <c r="B2341" s="209" t="str">
        <f ca="1">IFERROR(__xludf.DUMMYFUNCTION("""COMPUTED_VALUE"""),"")</f>
        <v/>
      </c>
      <c r="C2341" s="201" t="str">
        <f ca="1">IFERROR(__xludf.DUMMYFUNCTION("""COMPUTED_VALUE"""),"")</f>
        <v/>
      </c>
      <c r="D2341" s="201" t="str">
        <f ca="1">IFERROR(__xludf.DUMMYFUNCTION("""COMPUTED_VALUE"""),"")</f>
        <v/>
      </c>
      <c r="E2341" s="202" t="str">
        <f ca="1">IFERROR(__xludf.DUMMYFUNCTION("""COMPUTED_VALUE"""),"")</f>
        <v/>
      </c>
      <c r="F2341" s="210" t="str">
        <f ca="1">IFERROR(__xludf.DUMMYFUNCTION("""COMPUTED_VALUE"""),"")</f>
        <v/>
      </c>
      <c r="G2341" s="210" t="str">
        <f ca="1">IFERROR(__xludf.DUMMYFUNCTION("""COMPUTED_VALUE"""),"")</f>
        <v/>
      </c>
      <c r="H2341" s="206" t="s">
        <v>121</v>
      </c>
      <c r="I2341" s="206" t="s">
        <v>121</v>
      </c>
      <c r="J2341" s="206" t="s">
        <v>121</v>
      </c>
      <c r="K2341" s="206" t="s">
        <v>121</v>
      </c>
      <c r="L2341" s="206" t="str">
        <v/>
      </c>
      <c r="M2341" s="206" t="str">
        <v/>
      </c>
    </row>
    <row r="2342" spans="1:13" ht="14.4">
      <c r="A2342" s="201"/>
      <c r="B2342" s="209" t="str">
        <f ca="1">IFERROR(__xludf.DUMMYFUNCTION("""COMPUTED_VALUE"""),"")</f>
        <v/>
      </c>
      <c r="C2342" s="201" t="str">
        <f ca="1">IFERROR(__xludf.DUMMYFUNCTION("""COMPUTED_VALUE"""),"")</f>
        <v/>
      </c>
      <c r="D2342" s="201" t="str">
        <f ca="1">IFERROR(__xludf.DUMMYFUNCTION("""COMPUTED_VALUE"""),"")</f>
        <v/>
      </c>
      <c r="E2342" s="202" t="str">
        <f ca="1">IFERROR(__xludf.DUMMYFUNCTION("""COMPUTED_VALUE"""),"")</f>
        <v/>
      </c>
      <c r="F2342" s="210" t="str">
        <f ca="1">IFERROR(__xludf.DUMMYFUNCTION("""COMPUTED_VALUE"""),"")</f>
        <v/>
      </c>
      <c r="G2342" s="210" t="str">
        <f ca="1">IFERROR(__xludf.DUMMYFUNCTION("""COMPUTED_VALUE"""),"")</f>
        <v/>
      </c>
      <c r="H2342" s="206" t="s">
        <v>121</v>
      </c>
      <c r="I2342" s="206" t="s">
        <v>121</v>
      </c>
      <c r="J2342" s="206" t="s">
        <v>121</v>
      </c>
      <c r="K2342" s="206" t="s">
        <v>121</v>
      </c>
      <c r="L2342" s="206" t="str">
        <v/>
      </c>
      <c r="M2342" s="206" t="str">
        <v/>
      </c>
    </row>
    <row r="2343" spans="1:13" ht="14.4">
      <c r="A2343" s="201"/>
      <c r="B2343" s="209" t="str">
        <f ca="1">IFERROR(__xludf.DUMMYFUNCTION("""COMPUTED_VALUE"""),"")</f>
        <v/>
      </c>
      <c r="C2343" s="201" t="str">
        <f ca="1">IFERROR(__xludf.DUMMYFUNCTION("""COMPUTED_VALUE"""),"")</f>
        <v/>
      </c>
      <c r="D2343" s="201" t="str">
        <f ca="1">IFERROR(__xludf.DUMMYFUNCTION("""COMPUTED_VALUE"""),"")</f>
        <v/>
      </c>
      <c r="E2343" s="202" t="str">
        <f ca="1">IFERROR(__xludf.DUMMYFUNCTION("""COMPUTED_VALUE"""),"")</f>
        <v/>
      </c>
      <c r="F2343" s="210" t="str">
        <f ca="1">IFERROR(__xludf.DUMMYFUNCTION("""COMPUTED_VALUE"""),"")</f>
        <v/>
      </c>
      <c r="G2343" s="210" t="str">
        <f ca="1">IFERROR(__xludf.DUMMYFUNCTION("""COMPUTED_VALUE"""),"")</f>
        <v/>
      </c>
      <c r="H2343" s="206" t="s">
        <v>121</v>
      </c>
      <c r="I2343" s="206" t="s">
        <v>121</v>
      </c>
      <c r="J2343" s="206" t="s">
        <v>121</v>
      </c>
      <c r="K2343" s="206" t="s">
        <v>121</v>
      </c>
      <c r="L2343" s="206" t="str">
        <v/>
      </c>
      <c r="M2343" s="206" t="str">
        <v/>
      </c>
    </row>
    <row r="2344" spans="1:13" ht="14.4">
      <c r="A2344" s="201"/>
      <c r="B2344" s="209" t="str">
        <f ca="1">IFERROR(__xludf.DUMMYFUNCTION("""COMPUTED_VALUE"""),"")</f>
        <v/>
      </c>
      <c r="C2344" s="201" t="str">
        <f ca="1">IFERROR(__xludf.DUMMYFUNCTION("""COMPUTED_VALUE"""),"")</f>
        <v/>
      </c>
      <c r="D2344" s="201" t="str">
        <f ca="1">IFERROR(__xludf.DUMMYFUNCTION("""COMPUTED_VALUE"""),"")</f>
        <v/>
      </c>
      <c r="E2344" s="202" t="str">
        <f ca="1">IFERROR(__xludf.DUMMYFUNCTION("""COMPUTED_VALUE"""),"")</f>
        <v/>
      </c>
      <c r="F2344" s="210" t="str">
        <f ca="1">IFERROR(__xludf.DUMMYFUNCTION("""COMPUTED_VALUE"""),"")</f>
        <v/>
      </c>
      <c r="G2344" s="210" t="str">
        <f ca="1">IFERROR(__xludf.DUMMYFUNCTION("""COMPUTED_VALUE"""),"")</f>
        <v/>
      </c>
      <c r="H2344" s="206" t="s">
        <v>121</v>
      </c>
      <c r="I2344" s="206" t="s">
        <v>121</v>
      </c>
      <c r="J2344" s="206" t="s">
        <v>121</v>
      </c>
      <c r="K2344" s="206" t="s">
        <v>121</v>
      </c>
      <c r="L2344" s="206" t="str">
        <v/>
      </c>
      <c r="M2344" s="206" t="str">
        <v/>
      </c>
    </row>
    <row r="2345" spans="1:13" ht="14.4">
      <c r="A2345" s="201"/>
      <c r="B2345" s="209" t="str">
        <f ca="1">IFERROR(__xludf.DUMMYFUNCTION("""COMPUTED_VALUE"""),"")</f>
        <v/>
      </c>
      <c r="C2345" s="201" t="str">
        <f ca="1">IFERROR(__xludf.DUMMYFUNCTION("""COMPUTED_VALUE"""),"")</f>
        <v/>
      </c>
      <c r="D2345" s="201" t="str">
        <f ca="1">IFERROR(__xludf.DUMMYFUNCTION("""COMPUTED_VALUE"""),"")</f>
        <v/>
      </c>
      <c r="E2345" s="202" t="str">
        <f ca="1">IFERROR(__xludf.DUMMYFUNCTION("""COMPUTED_VALUE"""),"")</f>
        <v/>
      </c>
      <c r="F2345" s="210" t="str">
        <f ca="1">IFERROR(__xludf.DUMMYFUNCTION("""COMPUTED_VALUE"""),"")</f>
        <v/>
      </c>
      <c r="G2345" s="210" t="str">
        <f ca="1">IFERROR(__xludf.DUMMYFUNCTION("""COMPUTED_VALUE"""),"")</f>
        <v/>
      </c>
      <c r="H2345" s="206" t="s">
        <v>121</v>
      </c>
      <c r="I2345" s="206" t="s">
        <v>121</v>
      </c>
      <c r="J2345" s="206" t="s">
        <v>121</v>
      </c>
      <c r="K2345" s="206" t="s">
        <v>121</v>
      </c>
      <c r="L2345" s="206" t="str">
        <v/>
      </c>
      <c r="M2345" s="206" t="str">
        <v/>
      </c>
    </row>
    <row r="2346" spans="1:13" ht="14.4">
      <c r="A2346" s="201"/>
      <c r="B2346" s="209" t="str">
        <f ca="1">IFERROR(__xludf.DUMMYFUNCTION("""COMPUTED_VALUE"""),"")</f>
        <v/>
      </c>
      <c r="C2346" s="201" t="str">
        <f ca="1">IFERROR(__xludf.DUMMYFUNCTION("""COMPUTED_VALUE"""),"")</f>
        <v/>
      </c>
      <c r="D2346" s="201" t="str">
        <f ca="1">IFERROR(__xludf.DUMMYFUNCTION("""COMPUTED_VALUE"""),"")</f>
        <v/>
      </c>
      <c r="E2346" s="202" t="str">
        <f ca="1">IFERROR(__xludf.DUMMYFUNCTION("""COMPUTED_VALUE"""),"")</f>
        <v/>
      </c>
      <c r="F2346" s="210" t="str">
        <f ca="1">IFERROR(__xludf.DUMMYFUNCTION("""COMPUTED_VALUE"""),"")</f>
        <v/>
      </c>
      <c r="G2346" s="210" t="str">
        <f ca="1">IFERROR(__xludf.DUMMYFUNCTION("""COMPUTED_VALUE"""),"")</f>
        <v/>
      </c>
      <c r="H2346" s="206" t="s">
        <v>121</v>
      </c>
      <c r="I2346" s="206" t="s">
        <v>121</v>
      </c>
      <c r="J2346" s="206" t="s">
        <v>121</v>
      </c>
      <c r="K2346" s="206" t="s">
        <v>121</v>
      </c>
      <c r="L2346" s="206" t="str">
        <v/>
      </c>
      <c r="M2346" s="206" t="str">
        <v/>
      </c>
    </row>
    <row r="2347" spans="1:13" ht="14.4">
      <c r="A2347" s="201"/>
      <c r="B2347" s="209" t="str">
        <f ca="1">IFERROR(__xludf.DUMMYFUNCTION("""COMPUTED_VALUE"""),"")</f>
        <v/>
      </c>
      <c r="C2347" s="201" t="str">
        <f ca="1">IFERROR(__xludf.DUMMYFUNCTION("""COMPUTED_VALUE"""),"")</f>
        <v/>
      </c>
      <c r="D2347" s="201" t="str">
        <f ca="1">IFERROR(__xludf.DUMMYFUNCTION("""COMPUTED_VALUE"""),"")</f>
        <v/>
      </c>
      <c r="E2347" s="202" t="str">
        <f ca="1">IFERROR(__xludf.DUMMYFUNCTION("""COMPUTED_VALUE"""),"")</f>
        <v/>
      </c>
      <c r="F2347" s="210" t="str">
        <f ca="1">IFERROR(__xludf.DUMMYFUNCTION("""COMPUTED_VALUE"""),"")</f>
        <v/>
      </c>
      <c r="G2347" s="210" t="str">
        <f ca="1">IFERROR(__xludf.DUMMYFUNCTION("""COMPUTED_VALUE"""),"")</f>
        <v/>
      </c>
      <c r="H2347" s="206" t="s">
        <v>121</v>
      </c>
      <c r="I2347" s="206" t="s">
        <v>121</v>
      </c>
      <c r="J2347" s="206" t="s">
        <v>121</v>
      </c>
      <c r="K2347" s="206" t="s">
        <v>121</v>
      </c>
      <c r="L2347" s="206" t="str">
        <v/>
      </c>
      <c r="M2347" s="206" t="str">
        <v/>
      </c>
    </row>
    <row r="2348" spans="1:13" ht="14.4">
      <c r="A2348" s="201"/>
      <c r="B2348" s="209" t="str">
        <f ca="1">IFERROR(__xludf.DUMMYFUNCTION("""COMPUTED_VALUE"""),"")</f>
        <v/>
      </c>
      <c r="C2348" s="201" t="str">
        <f ca="1">IFERROR(__xludf.DUMMYFUNCTION("""COMPUTED_VALUE"""),"")</f>
        <v/>
      </c>
      <c r="D2348" s="201" t="str">
        <f ca="1">IFERROR(__xludf.DUMMYFUNCTION("""COMPUTED_VALUE"""),"")</f>
        <v/>
      </c>
      <c r="E2348" s="202" t="str">
        <f ca="1">IFERROR(__xludf.DUMMYFUNCTION("""COMPUTED_VALUE"""),"")</f>
        <v/>
      </c>
      <c r="F2348" s="210" t="str">
        <f ca="1">IFERROR(__xludf.DUMMYFUNCTION("""COMPUTED_VALUE"""),"")</f>
        <v/>
      </c>
      <c r="G2348" s="210" t="str">
        <f ca="1">IFERROR(__xludf.DUMMYFUNCTION("""COMPUTED_VALUE"""),"")</f>
        <v/>
      </c>
      <c r="H2348" s="206" t="s">
        <v>121</v>
      </c>
      <c r="I2348" s="206" t="s">
        <v>121</v>
      </c>
      <c r="J2348" s="206" t="s">
        <v>121</v>
      </c>
      <c r="K2348" s="206" t="s">
        <v>121</v>
      </c>
      <c r="L2348" s="206" t="str">
        <v/>
      </c>
      <c r="M2348" s="206" t="str">
        <v/>
      </c>
    </row>
    <row r="2349" spans="1:13" ht="14.4">
      <c r="A2349" s="201"/>
      <c r="B2349" s="209" t="str">
        <f ca="1">IFERROR(__xludf.DUMMYFUNCTION("""COMPUTED_VALUE"""),"")</f>
        <v/>
      </c>
      <c r="C2349" s="201" t="str">
        <f ca="1">IFERROR(__xludf.DUMMYFUNCTION("""COMPUTED_VALUE"""),"")</f>
        <v/>
      </c>
      <c r="D2349" s="201" t="str">
        <f ca="1">IFERROR(__xludf.DUMMYFUNCTION("""COMPUTED_VALUE"""),"")</f>
        <v/>
      </c>
      <c r="E2349" s="202" t="str">
        <f ca="1">IFERROR(__xludf.DUMMYFUNCTION("""COMPUTED_VALUE"""),"")</f>
        <v/>
      </c>
      <c r="F2349" s="210" t="str">
        <f ca="1">IFERROR(__xludf.DUMMYFUNCTION("""COMPUTED_VALUE"""),"")</f>
        <v/>
      </c>
      <c r="G2349" s="210" t="str">
        <f ca="1">IFERROR(__xludf.DUMMYFUNCTION("""COMPUTED_VALUE"""),"")</f>
        <v/>
      </c>
      <c r="H2349" s="206" t="s">
        <v>121</v>
      </c>
      <c r="I2349" s="206" t="s">
        <v>121</v>
      </c>
      <c r="J2349" s="206" t="s">
        <v>121</v>
      </c>
      <c r="K2349" s="206" t="s">
        <v>121</v>
      </c>
      <c r="L2349" s="206" t="str">
        <v/>
      </c>
      <c r="M2349" s="206" t="str">
        <v/>
      </c>
    </row>
    <row r="2350" spans="1:13" ht="14.4">
      <c r="A2350" s="201"/>
      <c r="B2350" s="209" t="str">
        <f ca="1">IFERROR(__xludf.DUMMYFUNCTION("""COMPUTED_VALUE"""),"")</f>
        <v/>
      </c>
      <c r="C2350" s="201" t="str">
        <f ca="1">IFERROR(__xludf.DUMMYFUNCTION("""COMPUTED_VALUE"""),"")</f>
        <v/>
      </c>
      <c r="D2350" s="201" t="str">
        <f ca="1">IFERROR(__xludf.DUMMYFUNCTION("""COMPUTED_VALUE"""),"")</f>
        <v/>
      </c>
      <c r="E2350" s="202" t="str">
        <f ca="1">IFERROR(__xludf.DUMMYFUNCTION("""COMPUTED_VALUE"""),"")</f>
        <v/>
      </c>
      <c r="F2350" s="210" t="str">
        <f ca="1">IFERROR(__xludf.DUMMYFUNCTION("""COMPUTED_VALUE"""),"")</f>
        <v/>
      </c>
      <c r="G2350" s="210" t="str">
        <f ca="1">IFERROR(__xludf.DUMMYFUNCTION("""COMPUTED_VALUE"""),"")</f>
        <v/>
      </c>
      <c r="H2350" s="206" t="s">
        <v>121</v>
      </c>
      <c r="I2350" s="206" t="s">
        <v>121</v>
      </c>
      <c r="J2350" s="206" t="s">
        <v>121</v>
      </c>
      <c r="K2350" s="206" t="s">
        <v>121</v>
      </c>
      <c r="L2350" s="206" t="str">
        <v/>
      </c>
      <c r="M2350" s="206" t="str">
        <v/>
      </c>
    </row>
    <row r="2351" spans="1:13" ht="14.4">
      <c r="A2351" s="201"/>
      <c r="B2351" s="209" t="str">
        <f ca="1">IFERROR(__xludf.DUMMYFUNCTION("""COMPUTED_VALUE"""),"")</f>
        <v/>
      </c>
      <c r="C2351" s="201" t="str">
        <f ca="1">IFERROR(__xludf.DUMMYFUNCTION("""COMPUTED_VALUE"""),"")</f>
        <v/>
      </c>
      <c r="D2351" s="201" t="str">
        <f ca="1">IFERROR(__xludf.DUMMYFUNCTION("""COMPUTED_VALUE"""),"")</f>
        <v/>
      </c>
      <c r="E2351" s="202" t="str">
        <f ca="1">IFERROR(__xludf.DUMMYFUNCTION("""COMPUTED_VALUE"""),"")</f>
        <v/>
      </c>
      <c r="F2351" s="210" t="str">
        <f ca="1">IFERROR(__xludf.DUMMYFUNCTION("""COMPUTED_VALUE"""),"")</f>
        <v/>
      </c>
      <c r="G2351" s="210" t="str">
        <f ca="1">IFERROR(__xludf.DUMMYFUNCTION("""COMPUTED_VALUE"""),"")</f>
        <v/>
      </c>
      <c r="H2351" s="206" t="s">
        <v>121</v>
      </c>
      <c r="I2351" s="206" t="s">
        <v>121</v>
      </c>
      <c r="J2351" s="206" t="s">
        <v>121</v>
      </c>
      <c r="K2351" s="206" t="s">
        <v>121</v>
      </c>
      <c r="L2351" s="206" t="str">
        <v/>
      </c>
      <c r="M2351" s="206" t="str">
        <v/>
      </c>
    </row>
    <row r="2352" spans="1:13" ht="14.4">
      <c r="A2352" s="201"/>
      <c r="B2352" s="209" t="str">
        <f ca="1">IFERROR(__xludf.DUMMYFUNCTION("""COMPUTED_VALUE"""),"")</f>
        <v/>
      </c>
      <c r="C2352" s="201" t="str">
        <f ca="1">IFERROR(__xludf.DUMMYFUNCTION("""COMPUTED_VALUE"""),"")</f>
        <v/>
      </c>
      <c r="D2352" s="201" t="str">
        <f ca="1">IFERROR(__xludf.DUMMYFUNCTION("""COMPUTED_VALUE"""),"")</f>
        <v/>
      </c>
      <c r="E2352" s="202" t="str">
        <f ca="1">IFERROR(__xludf.DUMMYFUNCTION("""COMPUTED_VALUE"""),"")</f>
        <v/>
      </c>
      <c r="F2352" s="210" t="str">
        <f ca="1">IFERROR(__xludf.DUMMYFUNCTION("""COMPUTED_VALUE"""),"")</f>
        <v/>
      </c>
      <c r="G2352" s="210" t="str">
        <f ca="1">IFERROR(__xludf.DUMMYFUNCTION("""COMPUTED_VALUE"""),"")</f>
        <v/>
      </c>
      <c r="H2352" s="206" t="s">
        <v>121</v>
      </c>
      <c r="I2352" s="206" t="s">
        <v>121</v>
      </c>
      <c r="J2352" s="206" t="s">
        <v>121</v>
      </c>
      <c r="K2352" s="206" t="s">
        <v>121</v>
      </c>
      <c r="L2352" s="206" t="str">
        <v/>
      </c>
      <c r="M2352" s="206" t="str">
        <v/>
      </c>
    </row>
    <row r="2353" spans="1:13" ht="14.4">
      <c r="A2353" s="201"/>
      <c r="B2353" s="209" t="str">
        <f ca="1">IFERROR(__xludf.DUMMYFUNCTION("""COMPUTED_VALUE"""),"")</f>
        <v/>
      </c>
      <c r="C2353" s="201" t="str">
        <f ca="1">IFERROR(__xludf.DUMMYFUNCTION("""COMPUTED_VALUE"""),"")</f>
        <v/>
      </c>
      <c r="D2353" s="201" t="str">
        <f ca="1">IFERROR(__xludf.DUMMYFUNCTION("""COMPUTED_VALUE"""),"")</f>
        <v/>
      </c>
      <c r="E2353" s="202" t="str">
        <f ca="1">IFERROR(__xludf.DUMMYFUNCTION("""COMPUTED_VALUE"""),"")</f>
        <v/>
      </c>
      <c r="F2353" s="210" t="str">
        <f ca="1">IFERROR(__xludf.DUMMYFUNCTION("""COMPUTED_VALUE"""),"")</f>
        <v/>
      </c>
      <c r="G2353" s="210" t="str">
        <f ca="1">IFERROR(__xludf.DUMMYFUNCTION("""COMPUTED_VALUE"""),"")</f>
        <v/>
      </c>
      <c r="H2353" s="206" t="s">
        <v>121</v>
      </c>
      <c r="I2353" s="206" t="s">
        <v>121</v>
      </c>
      <c r="J2353" s="206" t="s">
        <v>121</v>
      </c>
      <c r="K2353" s="206" t="s">
        <v>121</v>
      </c>
      <c r="L2353" s="206" t="str">
        <v/>
      </c>
      <c r="M2353" s="206" t="str">
        <v/>
      </c>
    </row>
    <row r="2354" spans="1:13" ht="14.4">
      <c r="A2354" s="201"/>
      <c r="B2354" s="209" t="str">
        <f ca="1">IFERROR(__xludf.DUMMYFUNCTION("""COMPUTED_VALUE"""),"")</f>
        <v/>
      </c>
      <c r="C2354" s="201" t="str">
        <f ca="1">IFERROR(__xludf.DUMMYFUNCTION("""COMPUTED_VALUE"""),"")</f>
        <v/>
      </c>
      <c r="D2354" s="201" t="str">
        <f ca="1">IFERROR(__xludf.DUMMYFUNCTION("""COMPUTED_VALUE"""),"")</f>
        <v/>
      </c>
      <c r="E2354" s="202" t="str">
        <f ca="1">IFERROR(__xludf.DUMMYFUNCTION("""COMPUTED_VALUE"""),"")</f>
        <v/>
      </c>
      <c r="F2354" s="210" t="str">
        <f ca="1">IFERROR(__xludf.DUMMYFUNCTION("""COMPUTED_VALUE"""),"")</f>
        <v/>
      </c>
      <c r="G2354" s="210" t="str">
        <f ca="1">IFERROR(__xludf.DUMMYFUNCTION("""COMPUTED_VALUE"""),"")</f>
        <v/>
      </c>
      <c r="H2354" s="206" t="s">
        <v>121</v>
      </c>
      <c r="I2354" s="206" t="s">
        <v>121</v>
      </c>
      <c r="J2354" s="206" t="s">
        <v>121</v>
      </c>
      <c r="K2354" s="206" t="s">
        <v>121</v>
      </c>
      <c r="L2354" s="206" t="str">
        <v/>
      </c>
      <c r="M2354" s="206" t="str">
        <v/>
      </c>
    </row>
    <row r="2355" spans="1:13" ht="14.4">
      <c r="A2355" s="201"/>
      <c r="B2355" s="209" t="str">
        <f ca="1">IFERROR(__xludf.DUMMYFUNCTION("""COMPUTED_VALUE"""),"")</f>
        <v/>
      </c>
      <c r="C2355" s="201" t="str">
        <f ca="1">IFERROR(__xludf.DUMMYFUNCTION("""COMPUTED_VALUE"""),"")</f>
        <v/>
      </c>
      <c r="D2355" s="201" t="str">
        <f ca="1">IFERROR(__xludf.DUMMYFUNCTION("""COMPUTED_VALUE"""),"")</f>
        <v/>
      </c>
      <c r="E2355" s="202" t="str">
        <f ca="1">IFERROR(__xludf.DUMMYFUNCTION("""COMPUTED_VALUE"""),"")</f>
        <v/>
      </c>
      <c r="F2355" s="210" t="str">
        <f ca="1">IFERROR(__xludf.DUMMYFUNCTION("""COMPUTED_VALUE"""),"")</f>
        <v/>
      </c>
      <c r="G2355" s="210" t="str">
        <f ca="1">IFERROR(__xludf.DUMMYFUNCTION("""COMPUTED_VALUE"""),"")</f>
        <v/>
      </c>
      <c r="H2355" s="206" t="s">
        <v>121</v>
      </c>
      <c r="I2355" s="206" t="s">
        <v>121</v>
      </c>
      <c r="J2355" s="206" t="s">
        <v>121</v>
      </c>
      <c r="K2355" s="206" t="s">
        <v>121</v>
      </c>
      <c r="L2355" s="206" t="str">
        <v/>
      </c>
      <c r="M2355" s="206" t="str">
        <v/>
      </c>
    </row>
    <row r="2356" spans="1:13" ht="14.4">
      <c r="A2356" s="201"/>
      <c r="B2356" s="209" t="str">
        <f ca="1">IFERROR(__xludf.DUMMYFUNCTION("""COMPUTED_VALUE"""),"")</f>
        <v/>
      </c>
      <c r="C2356" s="201" t="str">
        <f ca="1">IFERROR(__xludf.DUMMYFUNCTION("""COMPUTED_VALUE"""),"")</f>
        <v/>
      </c>
      <c r="D2356" s="201" t="str">
        <f ca="1">IFERROR(__xludf.DUMMYFUNCTION("""COMPUTED_VALUE"""),"")</f>
        <v/>
      </c>
      <c r="E2356" s="202" t="str">
        <f ca="1">IFERROR(__xludf.DUMMYFUNCTION("""COMPUTED_VALUE"""),"")</f>
        <v/>
      </c>
      <c r="F2356" s="210" t="str">
        <f ca="1">IFERROR(__xludf.DUMMYFUNCTION("""COMPUTED_VALUE"""),"")</f>
        <v/>
      </c>
      <c r="G2356" s="210" t="str">
        <f ca="1">IFERROR(__xludf.DUMMYFUNCTION("""COMPUTED_VALUE"""),"")</f>
        <v/>
      </c>
      <c r="H2356" s="206" t="s">
        <v>121</v>
      </c>
      <c r="I2356" s="206" t="s">
        <v>121</v>
      </c>
      <c r="J2356" s="206" t="s">
        <v>121</v>
      </c>
      <c r="K2356" s="206" t="s">
        <v>121</v>
      </c>
      <c r="L2356" s="206" t="str">
        <v/>
      </c>
      <c r="M2356" s="206" t="str">
        <v/>
      </c>
    </row>
    <row r="2357" spans="1:13" ht="14.4">
      <c r="A2357" s="201"/>
      <c r="B2357" s="209" t="str">
        <f ca="1">IFERROR(__xludf.DUMMYFUNCTION("""COMPUTED_VALUE"""),"")</f>
        <v/>
      </c>
      <c r="C2357" s="201" t="str">
        <f ca="1">IFERROR(__xludf.DUMMYFUNCTION("""COMPUTED_VALUE"""),"")</f>
        <v/>
      </c>
      <c r="D2357" s="201" t="str">
        <f ca="1">IFERROR(__xludf.DUMMYFUNCTION("""COMPUTED_VALUE"""),"")</f>
        <v/>
      </c>
      <c r="E2357" s="202" t="str">
        <f ca="1">IFERROR(__xludf.DUMMYFUNCTION("""COMPUTED_VALUE"""),"")</f>
        <v/>
      </c>
      <c r="F2357" s="210" t="str">
        <f ca="1">IFERROR(__xludf.DUMMYFUNCTION("""COMPUTED_VALUE"""),"")</f>
        <v/>
      </c>
      <c r="G2357" s="210" t="str">
        <f ca="1">IFERROR(__xludf.DUMMYFUNCTION("""COMPUTED_VALUE"""),"")</f>
        <v/>
      </c>
      <c r="H2357" s="206" t="s">
        <v>121</v>
      </c>
      <c r="I2357" s="206" t="s">
        <v>121</v>
      </c>
      <c r="J2357" s="206" t="s">
        <v>121</v>
      </c>
      <c r="K2357" s="206" t="s">
        <v>121</v>
      </c>
      <c r="L2357" s="206" t="str">
        <v/>
      </c>
      <c r="M2357" s="206" t="str">
        <v/>
      </c>
    </row>
    <row r="2358" spans="1:13" ht="14.4">
      <c r="A2358" s="201"/>
      <c r="B2358" s="209" t="str">
        <f ca="1">IFERROR(__xludf.DUMMYFUNCTION("""COMPUTED_VALUE"""),"")</f>
        <v/>
      </c>
      <c r="C2358" s="201" t="str">
        <f ca="1">IFERROR(__xludf.DUMMYFUNCTION("""COMPUTED_VALUE"""),"")</f>
        <v/>
      </c>
      <c r="D2358" s="201" t="str">
        <f ca="1">IFERROR(__xludf.DUMMYFUNCTION("""COMPUTED_VALUE"""),"")</f>
        <v/>
      </c>
      <c r="E2358" s="202" t="str">
        <f ca="1">IFERROR(__xludf.DUMMYFUNCTION("""COMPUTED_VALUE"""),"")</f>
        <v/>
      </c>
      <c r="F2358" s="210" t="str">
        <f ca="1">IFERROR(__xludf.DUMMYFUNCTION("""COMPUTED_VALUE"""),"")</f>
        <v/>
      </c>
      <c r="G2358" s="210" t="str">
        <f ca="1">IFERROR(__xludf.DUMMYFUNCTION("""COMPUTED_VALUE"""),"")</f>
        <v/>
      </c>
      <c r="H2358" s="206" t="s">
        <v>121</v>
      </c>
      <c r="I2358" s="206" t="s">
        <v>121</v>
      </c>
      <c r="J2358" s="206" t="s">
        <v>121</v>
      </c>
      <c r="K2358" s="206" t="s">
        <v>121</v>
      </c>
      <c r="L2358" s="206" t="str">
        <v/>
      </c>
      <c r="M2358" s="206" t="str">
        <v/>
      </c>
    </row>
    <row r="2359" spans="1:13" ht="14.4">
      <c r="A2359" s="201"/>
      <c r="B2359" s="209" t="str">
        <f ca="1">IFERROR(__xludf.DUMMYFUNCTION("""COMPUTED_VALUE"""),"")</f>
        <v/>
      </c>
      <c r="C2359" s="201" t="str">
        <f ca="1">IFERROR(__xludf.DUMMYFUNCTION("""COMPUTED_VALUE"""),"")</f>
        <v/>
      </c>
      <c r="D2359" s="201" t="str">
        <f ca="1">IFERROR(__xludf.DUMMYFUNCTION("""COMPUTED_VALUE"""),"")</f>
        <v/>
      </c>
      <c r="E2359" s="202" t="str">
        <f ca="1">IFERROR(__xludf.DUMMYFUNCTION("""COMPUTED_VALUE"""),"")</f>
        <v/>
      </c>
      <c r="F2359" s="210" t="str">
        <f ca="1">IFERROR(__xludf.DUMMYFUNCTION("""COMPUTED_VALUE"""),"")</f>
        <v/>
      </c>
      <c r="G2359" s="210" t="str">
        <f ca="1">IFERROR(__xludf.DUMMYFUNCTION("""COMPUTED_VALUE"""),"")</f>
        <v/>
      </c>
      <c r="H2359" s="206" t="s">
        <v>121</v>
      </c>
      <c r="I2359" s="206" t="s">
        <v>121</v>
      </c>
      <c r="J2359" s="206" t="s">
        <v>121</v>
      </c>
      <c r="K2359" s="206" t="s">
        <v>121</v>
      </c>
      <c r="L2359" s="206" t="str">
        <v/>
      </c>
      <c r="M2359" s="206" t="str">
        <v/>
      </c>
    </row>
    <row r="2360" spans="1:13" ht="14.4">
      <c r="A2360" s="201"/>
      <c r="B2360" s="209" t="str">
        <f ca="1">IFERROR(__xludf.DUMMYFUNCTION("""COMPUTED_VALUE"""),"")</f>
        <v/>
      </c>
      <c r="C2360" s="201" t="str">
        <f ca="1">IFERROR(__xludf.DUMMYFUNCTION("""COMPUTED_VALUE"""),"")</f>
        <v/>
      </c>
      <c r="D2360" s="201" t="str">
        <f ca="1">IFERROR(__xludf.DUMMYFUNCTION("""COMPUTED_VALUE"""),"")</f>
        <v/>
      </c>
      <c r="E2360" s="202" t="str">
        <f ca="1">IFERROR(__xludf.DUMMYFUNCTION("""COMPUTED_VALUE"""),"")</f>
        <v/>
      </c>
      <c r="F2360" s="210" t="str">
        <f ca="1">IFERROR(__xludf.DUMMYFUNCTION("""COMPUTED_VALUE"""),"")</f>
        <v/>
      </c>
      <c r="G2360" s="210" t="str">
        <f ca="1">IFERROR(__xludf.DUMMYFUNCTION("""COMPUTED_VALUE"""),"")</f>
        <v/>
      </c>
      <c r="H2360" s="206" t="s">
        <v>121</v>
      </c>
      <c r="I2360" s="206" t="s">
        <v>121</v>
      </c>
      <c r="J2360" s="206" t="s">
        <v>121</v>
      </c>
      <c r="K2360" s="206" t="s">
        <v>121</v>
      </c>
      <c r="L2360" s="206" t="str">
        <v/>
      </c>
      <c r="M2360" s="206" t="str">
        <v/>
      </c>
    </row>
    <row r="2361" spans="1:13" ht="14.4">
      <c r="A2361" s="201"/>
      <c r="B2361" s="209" t="str">
        <f ca="1">IFERROR(__xludf.DUMMYFUNCTION("""COMPUTED_VALUE"""),"")</f>
        <v/>
      </c>
      <c r="C2361" s="201" t="str">
        <f ca="1">IFERROR(__xludf.DUMMYFUNCTION("""COMPUTED_VALUE"""),"")</f>
        <v/>
      </c>
      <c r="D2361" s="201" t="str">
        <f ca="1">IFERROR(__xludf.DUMMYFUNCTION("""COMPUTED_VALUE"""),"")</f>
        <v/>
      </c>
      <c r="E2361" s="202" t="str">
        <f ca="1">IFERROR(__xludf.DUMMYFUNCTION("""COMPUTED_VALUE"""),"")</f>
        <v/>
      </c>
      <c r="F2361" s="210" t="str">
        <f ca="1">IFERROR(__xludf.DUMMYFUNCTION("""COMPUTED_VALUE"""),"")</f>
        <v/>
      </c>
      <c r="G2361" s="210" t="str">
        <f ca="1">IFERROR(__xludf.DUMMYFUNCTION("""COMPUTED_VALUE"""),"")</f>
        <v/>
      </c>
      <c r="H2361" s="206" t="s">
        <v>121</v>
      </c>
      <c r="I2361" s="206" t="s">
        <v>121</v>
      </c>
      <c r="J2361" s="206" t="s">
        <v>121</v>
      </c>
      <c r="K2361" s="206" t="s">
        <v>121</v>
      </c>
      <c r="L2361" s="206" t="str">
        <v/>
      </c>
      <c r="M2361" s="206" t="str">
        <v/>
      </c>
    </row>
    <row r="2362" spans="1:13" ht="14.4">
      <c r="A2362" s="201"/>
      <c r="B2362" s="209" t="str">
        <f ca="1">IFERROR(__xludf.DUMMYFUNCTION("""COMPUTED_VALUE"""),"")</f>
        <v/>
      </c>
      <c r="C2362" s="201" t="str">
        <f ca="1">IFERROR(__xludf.DUMMYFUNCTION("""COMPUTED_VALUE"""),"")</f>
        <v/>
      </c>
      <c r="D2362" s="201" t="str">
        <f ca="1">IFERROR(__xludf.DUMMYFUNCTION("""COMPUTED_VALUE"""),"")</f>
        <v/>
      </c>
      <c r="E2362" s="202" t="str">
        <f ca="1">IFERROR(__xludf.DUMMYFUNCTION("""COMPUTED_VALUE"""),"")</f>
        <v/>
      </c>
      <c r="F2362" s="210" t="str">
        <f ca="1">IFERROR(__xludf.DUMMYFUNCTION("""COMPUTED_VALUE"""),"")</f>
        <v/>
      </c>
      <c r="G2362" s="210" t="str">
        <f ca="1">IFERROR(__xludf.DUMMYFUNCTION("""COMPUTED_VALUE"""),"")</f>
        <v/>
      </c>
      <c r="H2362" s="206" t="s">
        <v>121</v>
      </c>
      <c r="I2362" s="206" t="s">
        <v>121</v>
      </c>
      <c r="J2362" s="206" t="s">
        <v>121</v>
      </c>
      <c r="K2362" s="206" t="s">
        <v>121</v>
      </c>
      <c r="L2362" s="206" t="str">
        <v/>
      </c>
      <c r="M2362" s="206" t="str">
        <v/>
      </c>
    </row>
    <row r="2363" spans="1:13" ht="14.4">
      <c r="A2363" s="201"/>
      <c r="B2363" s="209" t="str">
        <f ca="1">IFERROR(__xludf.DUMMYFUNCTION("""COMPUTED_VALUE"""),"")</f>
        <v/>
      </c>
      <c r="C2363" s="201" t="str">
        <f ca="1">IFERROR(__xludf.DUMMYFUNCTION("""COMPUTED_VALUE"""),"")</f>
        <v/>
      </c>
      <c r="D2363" s="201" t="str">
        <f ca="1">IFERROR(__xludf.DUMMYFUNCTION("""COMPUTED_VALUE"""),"")</f>
        <v/>
      </c>
      <c r="E2363" s="202" t="str">
        <f ca="1">IFERROR(__xludf.DUMMYFUNCTION("""COMPUTED_VALUE"""),"")</f>
        <v/>
      </c>
      <c r="F2363" s="210" t="str">
        <f ca="1">IFERROR(__xludf.DUMMYFUNCTION("""COMPUTED_VALUE"""),"")</f>
        <v/>
      </c>
      <c r="G2363" s="210" t="str">
        <f ca="1">IFERROR(__xludf.DUMMYFUNCTION("""COMPUTED_VALUE"""),"")</f>
        <v/>
      </c>
      <c r="H2363" s="206" t="s">
        <v>121</v>
      </c>
      <c r="I2363" s="206" t="s">
        <v>121</v>
      </c>
      <c r="J2363" s="206" t="s">
        <v>121</v>
      </c>
      <c r="K2363" s="206" t="s">
        <v>121</v>
      </c>
      <c r="L2363" s="206" t="str">
        <v/>
      </c>
      <c r="M2363" s="206" t="str">
        <v/>
      </c>
    </row>
    <row r="2364" spans="1:13" ht="14.4">
      <c r="A2364" s="201"/>
      <c r="B2364" s="209" t="str">
        <f ca="1">IFERROR(__xludf.DUMMYFUNCTION("""COMPUTED_VALUE"""),"")</f>
        <v/>
      </c>
      <c r="C2364" s="201" t="str">
        <f ca="1">IFERROR(__xludf.DUMMYFUNCTION("""COMPUTED_VALUE"""),"")</f>
        <v/>
      </c>
      <c r="D2364" s="201" t="str">
        <f ca="1">IFERROR(__xludf.DUMMYFUNCTION("""COMPUTED_VALUE"""),"")</f>
        <v/>
      </c>
      <c r="E2364" s="202" t="str">
        <f ca="1">IFERROR(__xludf.DUMMYFUNCTION("""COMPUTED_VALUE"""),"")</f>
        <v/>
      </c>
      <c r="F2364" s="210" t="str">
        <f ca="1">IFERROR(__xludf.DUMMYFUNCTION("""COMPUTED_VALUE"""),"")</f>
        <v/>
      </c>
      <c r="G2364" s="210" t="str">
        <f ca="1">IFERROR(__xludf.DUMMYFUNCTION("""COMPUTED_VALUE"""),"")</f>
        <v/>
      </c>
      <c r="H2364" s="206" t="s">
        <v>121</v>
      </c>
      <c r="I2364" s="206" t="s">
        <v>121</v>
      </c>
      <c r="J2364" s="206" t="s">
        <v>121</v>
      </c>
      <c r="K2364" s="206" t="s">
        <v>121</v>
      </c>
      <c r="L2364" s="206" t="str">
        <v/>
      </c>
      <c r="M2364" s="206" t="str">
        <v/>
      </c>
    </row>
    <row r="2365" spans="1:13" ht="14.4">
      <c r="A2365" s="201"/>
      <c r="B2365" s="209" t="str">
        <f ca="1">IFERROR(__xludf.DUMMYFUNCTION("""COMPUTED_VALUE"""),"")</f>
        <v/>
      </c>
      <c r="C2365" s="201" t="str">
        <f ca="1">IFERROR(__xludf.DUMMYFUNCTION("""COMPUTED_VALUE"""),"")</f>
        <v/>
      </c>
      <c r="D2365" s="201" t="str">
        <f ca="1">IFERROR(__xludf.DUMMYFUNCTION("""COMPUTED_VALUE"""),"")</f>
        <v/>
      </c>
      <c r="E2365" s="202" t="str">
        <f ca="1">IFERROR(__xludf.DUMMYFUNCTION("""COMPUTED_VALUE"""),"")</f>
        <v/>
      </c>
      <c r="F2365" s="210" t="str">
        <f ca="1">IFERROR(__xludf.DUMMYFUNCTION("""COMPUTED_VALUE"""),"")</f>
        <v/>
      </c>
      <c r="G2365" s="210" t="str">
        <f ca="1">IFERROR(__xludf.DUMMYFUNCTION("""COMPUTED_VALUE"""),"")</f>
        <v/>
      </c>
      <c r="H2365" s="206" t="s">
        <v>121</v>
      </c>
      <c r="I2365" s="206" t="s">
        <v>121</v>
      </c>
      <c r="J2365" s="206" t="s">
        <v>121</v>
      </c>
      <c r="K2365" s="206" t="s">
        <v>121</v>
      </c>
      <c r="L2365" s="206" t="str">
        <v/>
      </c>
      <c r="M2365" s="206" t="str">
        <v/>
      </c>
    </row>
    <row r="2366" spans="1:13" ht="14.4">
      <c r="A2366" s="201"/>
      <c r="B2366" s="209" t="str">
        <f ca="1">IFERROR(__xludf.DUMMYFUNCTION("""COMPUTED_VALUE"""),"")</f>
        <v/>
      </c>
      <c r="C2366" s="201" t="str">
        <f ca="1">IFERROR(__xludf.DUMMYFUNCTION("""COMPUTED_VALUE"""),"")</f>
        <v/>
      </c>
      <c r="D2366" s="201" t="str">
        <f ca="1">IFERROR(__xludf.DUMMYFUNCTION("""COMPUTED_VALUE"""),"")</f>
        <v/>
      </c>
      <c r="E2366" s="202" t="str">
        <f ca="1">IFERROR(__xludf.DUMMYFUNCTION("""COMPUTED_VALUE"""),"")</f>
        <v/>
      </c>
      <c r="F2366" s="210" t="str">
        <f ca="1">IFERROR(__xludf.DUMMYFUNCTION("""COMPUTED_VALUE"""),"")</f>
        <v/>
      </c>
      <c r="G2366" s="210" t="str">
        <f ca="1">IFERROR(__xludf.DUMMYFUNCTION("""COMPUTED_VALUE"""),"")</f>
        <v/>
      </c>
      <c r="H2366" s="206" t="s">
        <v>121</v>
      </c>
      <c r="I2366" s="206" t="s">
        <v>121</v>
      </c>
      <c r="J2366" s="206" t="s">
        <v>121</v>
      </c>
      <c r="K2366" s="206" t="s">
        <v>121</v>
      </c>
      <c r="L2366" s="206" t="str">
        <v/>
      </c>
      <c r="M2366" s="206" t="str">
        <v/>
      </c>
    </row>
    <row r="2367" spans="1:13" ht="14.4">
      <c r="A2367" s="201"/>
      <c r="B2367" s="209" t="str">
        <f ca="1">IFERROR(__xludf.DUMMYFUNCTION("""COMPUTED_VALUE"""),"")</f>
        <v/>
      </c>
      <c r="C2367" s="201" t="str">
        <f ca="1">IFERROR(__xludf.DUMMYFUNCTION("""COMPUTED_VALUE"""),"")</f>
        <v/>
      </c>
      <c r="D2367" s="201" t="str">
        <f ca="1">IFERROR(__xludf.DUMMYFUNCTION("""COMPUTED_VALUE"""),"")</f>
        <v/>
      </c>
      <c r="E2367" s="202" t="str">
        <f ca="1">IFERROR(__xludf.DUMMYFUNCTION("""COMPUTED_VALUE"""),"")</f>
        <v/>
      </c>
      <c r="F2367" s="210" t="str">
        <f ca="1">IFERROR(__xludf.DUMMYFUNCTION("""COMPUTED_VALUE"""),"")</f>
        <v/>
      </c>
      <c r="G2367" s="210" t="str">
        <f ca="1">IFERROR(__xludf.DUMMYFUNCTION("""COMPUTED_VALUE"""),"")</f>
        <v/>
      </c>
      <c r="H2367" s="206" t="s">
        <v>121</v>
      </c>
      <c r="I2367" s="206" t="s">
        <v>121</v>
      </c>
      <c r="J2367" s="206" t="s">
        <v>121</v>
      </c>
      <c r="K2367" s="206" t="s">
        <v>121</v>
      </c>
      <c r="L2367" s="206" t="str">
        <v/>
      </c>
      <c r="M2367" s="206" t="str">
        <v/>
      </c>
    </row>
    <row r="2368" spans="1:13" ht="14.4">
      <c r="A2368" s="201"/>
      <c r="B2368" s="209" t="str">
        <f ca="1">IFERROR(__xludf.DUMMYFUNCTION("""COMPUTED_VALUE"""),"")</f>
        <v/>
      </c>
      <c r="C2368" s="201" t="str">
        <f ca="1">IFERROR(__xludf.DUMMYFUNCTION("""COMPUTED_VALUE"""),"")</f>
        <v/>
      </c>
      <c r="D2368" s="201" t="str">
        <f ca="1">IFERROR(__xludf.DUMMYFUNCTION("""COMPUTED_VALUE"""),"")</f>
        <v/>
      </c>
      <c r="E2368" s="202" t="str">
        <f ca="1">IFERROR(__xludf.DUMMYFUNCTION("""COMPUTED_VALUE"""),"")</f>
        <v/>
      </c>
      <c r="F2368" s="210" t="str">
        <f ca="1">IFERROR(__xludf.DUMMYFUNCTION("""COMPUTED_VALUE"""),"")</f>
        <v/>
      </c>
      <c r="G2368" s="210" t="str">
        <f ca="1">IFERROR(__xludf.DUMMYFUNCTION("""COMPUTED_VALUE"""),"")</f>
        <v/>
      </c>
      <c r="H2368" s="206" t="s">
        <v>121</v>
      </c>
      <c r="I2368" s="206" t="s">
        <v>121</v>
      </c>
      <c r="J2368" s="206" t="s">
        <v>121</v>
      </c>
      <c r="K2368" s="206" t="s">
        <v>121</v>
      </c>
      <c r="L2368" s="206" t="str">
        <v/>
      </c>
      <c r="M2368" s="206" t="str">
        <v/>
      </c>
    </row>
    <row r="2369" spans="1:13" ht="14.4">
      <c r="A2369" s="201"/>
      <c r="B2369" s="209" t="str">
        <f ca="1">IFERROR(__xludf.DUMMYFUNCTION("""COMPUTED_VALUE"""),"")</f>
        <v/>
      </c>
      <c r="C2369" s="201" t="str">
        <f ca="1">IFERROR(__xludf.DUMMYFUNCTION("""COMPUTED_VALUE"""),"")</f>
        <v/>
      </c>
      <c r="D2369" s="201" t="str">
        <f ca="1">IFERROR(__xludf.DUMMYFUNCTION("""COMPUTED_VALUE"""),"")</f>
        <v/>
      </c>
      <c r="E2369" s="202" t="str">
        <f ca="1">IFERROR(__xludf.DUMMYFUNCTION("""COMPUTED_VALUE"""),"")</f>
        <v/>
      </c>
      <c r="F2369" s="210" t="str">
        <f ca="1">IFERROR(__xludf.DUMMYFUNCTION("""COMPUTED_VALUE"""),"")</f>
        <v/>
      </c>
      <c r="G2369" s="210" t="str">
        <f ca="1">IFERROR(__xludf.DUMMYFUNCTION("""COMPUTED_VALUE"""),"")</f>
        <v/>
      </c>
      <c r="H2369" s="206" t="s">
        <v>121</v>
      </c>
      <c r="I2369" s="206" t="s">
        <v>121</v>
      </c>
      <c r="J2369" s="206" t="s">
        <v>121</v>
      </c>
      <c r="K2369" s="206" t="s">
        <v>121</v>
      </c>
      <c r="L2369" s="206" t="str">
        <v/>
      </c>
      <c r="M2369" s="206" t="str">
        <v/>
      </c>
    </row>
    <row r="2370" spans="1:13" ht="14.4">
      <c r="A2370" s="201"/>
      <c r="B2370" s="209" t="str">
        <f ca="1">IFERROR(__xludf.DUMMYFUNCTION("""COMPUTED_VALUE"""),"")</f>
        <v/>
      </c>
      <c r="C2370" s="201" t="str">
        <f ca="1">IFERROR(__xludf.DUMMYFUNCTION("""COMPUTED_VALUE"""),"")</f>
        <v/>
      </c>
      <c r="D2370" s="201" t="str">
        <f ca="1">IFERROR(__xludf.DUMMYFUNCTION("""COMPUTED_VALUE"""),"")</f>
        <v/>
      </c>
      <c r="E2370" s="202" t="str">
        <f ca="1">IFERROR(__xludf.DUMMYFUNCTION("""COMPUTED_VALUE"""),"")</f>
        <v/>
      </c>
      <c r="F2370" s="210" t="str">
        <f ca="1">IFERROR(__xludf.DUMMYFUNCTION("""COMPUTED_VALUE"""),"")</f>
        <v/>
      </c>
      <c r="G2370" s="210" t="str">
        <f ca="1">IFERROR(__xludf.DUMMYFUNCTION("""COMPUTED_VALUE"""),"")</f>
        <v/>
      </c>
      <c r="H2370" s="206" t="s">
        <v>121</v>
      </c>
      <c r="I2370" s="206" t="s">
        <v>121</v>
      </c>
      <c r="J2370" s="206" t="s">
        <v>121</v>
      </c>
      <c r="K2370" s="206" t="s">
        <v>121</v>
      </c>
      <c r="L2370" s="206" t="str">
        <v/>
      </c>
      <c r="M2370" s="206" t="str">
        <v/>
      </c>
    </row>
    <row r="2371" spans="1:13" ht="14.4">
      <c r="A2371" s="201"/>
      <c r="B2371" s="209" t="str">
        <f ca="1">IFERROR(__xludf.DUMMYFUNCTION("""COMPUTED_VALUE"""),"")</f>
        <v/>
      </c>
      <c r="C2371" s="201" t="str">
        <f ca="1">IFERROR(__xludf.DUMMYFUNCTION("""COMPUTED_VALUE"""),"")</f>
        <v/>
      </c>
      <c r="D2371" s="201" t="str">
        <f ca="1">IFERROR(__xludf.DUMMYFUNCTION("""COMPUTED_VALUE"""),"")</f>
        <v/>
      </c>
      <c r="E2371" s="202" t="str">
        <f ca="1">IFERROR(__xludf.DUMMYFUNCTION("""COMPUTED_VALUE"""),"")</f>
        <v/>
      </c>
      <c r="F2371" s="210" t="str">
        <f ca="1">IFERROR(__xludf.DUMMYFUNCTION("""COMPUTED_VALUE"""),"")</f>
        <v/>
      </c>
      <c r="G2371" s="210" t="str">
        <f ca="1">IFERROR(__xludf.DUMMYFUNCTION("""COMPUTED_VALUE"""),"")</f>
        <v/>
      </c>
      <c r="H2371" s="206" t="s">
        <v>121</v>
      </c>
      <c r="I2371" s="206" t="s">
        <v>121</v>
      </c>
      <c r="J2371" s="206" t="s">
        <v>121</v>
      </c>
      <c r="K2371" s="206" t="s">
        <v>121</v>
      </c>
      <c r="L2371" s="206" t="str">
        <v/>
      </c>
      <c r="M2371" s="206" t="str">
        <v/>
      </c>
    </row>
    <row r="2372" spans="1:13" ht="14.4">
      <c r="A2372" s="201"/>
      <c r="B2372" s="209" t="str">
        <f ca="1">IFERROR(__xludf.DUMMYFUNCTION("""COMPUTED_VALUE"""),"")</f>
        <v/>
      </c>
      <c r="C2372" s="201" t="str">
        <f ca="1">IFERROR(__xludf.DUMMYFUNCTION("""COMPUTED_VALUE"""),"")</f>
        <v/>
      </c>
      <c r="D2372" s="201" t="str">
        <f ca="1">IFERROR(__xludf.DUMMYFUNCTION("""COMPUTED_VALUE"""),"")</f>
        <v/>
      </c>
      <c r="E2372" s="202" t="str">
        <f ca="1">IFERROR(__xludf.DUMMYFUNCTION("""COMPUTED_VALUE"""),"")</f>
        <v/>
      </c>
      <c r="F2372" s="210" t="str">
        <f ca="1">IFERROR(__xludf.DUMMYFUNCTION("""COMPUTED_VALUE"""),"")</f>
        <v/>
      </c>
      <c r="G2372" s="210" t="str">
        <f ca="1">IFERROR(__xludf.DUMMYFUNCTION("""COMPUTED_VALUE"""),"")</f>
        <v/>
      </c>
      <c r="H2372" s="206" t="s">
        <v>121</v>
      </c>
      <c r="I2372" s="206" t="s">
        <v>121</v>
      </c>
      <c r="J2372" s="206" t="s">
        <v>121</v>
      </c>
      <c r="K2372" s="206" t="s">
        <v>121</v>
      </c>
      <c r="L2372" s="206" t="str">
        <v/>
      </c>
      <c r="M2372" s="206" t="str">
        <v/>
      </c>
    </row>
    <row r="2373" spans="1:13" ht="14.4">
      <c r="A2373" s="201"/>
      <c r="B2373" s="209" t="str">
        <f ca="1">IFERROR(__xludf.DUMMYFUNCTION("""COMPUTED_VALUE"""),"")</f>
        <v/>
      </c>
      <c r="C2373" s="201" t="str">
        <f ca="1">IFERROR(__xludf.DUMMYFUNCTION("""COMPUTED_VALUE"""),"")</f>
        <v/>
      </c>
      <c r="D2373" s="201" t="str">
        <f ca="1">IFERROR(__xludf.DUMMYFUNCTION("""COMPUTED_VALUE"""),"")</f>
        <v/>
      </c>
      <c r="E2373" s="202" t="str">
        <f ca="1">IFERROR(__xludf.DUMMYFUNCTION("""COMPUTED_VALUE"""),"")</f>
        <v/>
      </c>
      <c r="F2373" s="210" t="str">
        <f ca="1">IFERROR(__xludf.DUMMYFUNCTION("""COMPUTED_VALUE"""),"")</f>
        <v/>
      </c>
      <c r="G2373" s="210" t="str">
        <f ca="1">IFERROR(__xludf.DUMMYFUNCTION("""COMPUTED_VALUE"""),"")</f>
        <v/>
      </c>
      <c r="H2373" s="206" t="s">
        <v>121</v>
      </c>
      <c r="I2373" s="206" t="s">
        <v>121</v>
      </c>
      <c r="J2373" s="206" t="s">
        <v>121</v>
      </c>
      <c r="K2373" s="206" t="s">
        <v>121</v>
      </c>
      <c r="L2373" s="206" t="str">
        <v/>
      </c>
      <c r="M2373" s="206" t="str">
        <v/>
      </c>
    </row>
    <row r="2374" spans="1:13" ht="14.4">
      <c r="A2374" s="201"/>
      <c r="B2374" s="209" t="str">
        <f ca="1">IFERROR(__xludf.DUMMYFUNCTION("""COMPUTED_VALUE"""),"")</f>
        <v/>
      </c>
      <c r="C2374" s="201" t="str">
        <f ca="1">IFERROR(__xludf.DUMMYFUNCTION("""COMPUTED_VALUE"""),"")</f>
        <v/>
      </c>
      <c r="D2374" s="201" t="str">
        <f ca="1">IFERROR(__xludf.DUMMYFUNCTION("""COMPUTED_VALUE"""),"")</f>
        <v/>
      </c>
      <c r="E2374" s="202" t="str">
        <f ca="1">IFERROR(__xludf.DUMMYFUNCTION("""COMPUTED_VALUE"""),"")</f>
        <v/>
      </c>
      <c r="F2374" s="210" t="str">
        <f ca="1">IFERROR(__xludf.DUMMYFUNCTION("""COMPUTED_VALUE"""),"")</f>
        <v/>
      </c>
      <c r="G2374" s="210" t="str">
        <f ca="1">IFERROR(__xludf.DUMMYFUNCTION("""COMPUTED_VALUE"""),"")</f>
        <v/>
      </c>
      <c r="H2374" s="206" t="s">
        <v>121</v>
      </c>
      <c r="I2374" s="206" t="s">
        <v>121</v>
      </c>
      <c r="J2374" s="206" t="s">
        <v>121</v>
      </c>
      <c r="K2374" s="206" t="s">
        <v>121</v>
      </c>
      <c r="L2374" s="206" t="str">
        <v/>
      </c>
      <c r="M2374" s="206" t="str">
        <v/>
      </c>
    </row>
    <row r="2375" spans="1:13" ht="14.4">
      <c r="A2375" s="201"/>
      <c r="B2375" s="209" t="str">
        <f ca="1">IFERROR(__xludf.DUMMYFUNCTION("""COMPUTED_VALUE"""),"")</f>
        <v/>
      </c>
      <c r="C2375" s="201" t="str">
        <f ca="1">IFERROR(__xludf.DUMMYFUNCTION("""COMPUTED_VALUE"""),"")</f>
        <v/>
      </c>
      <c r="D2375" s="201" t="str">
        <f ca="1">IFERROR(__xludf.DUMMYFUNCTION("""COMPUTED_VALUE"""),"")</f>
        <v/>
      </c>
      <c r="E2375" s="202" t="str">
        <f ca="1">IFERROR(__xludf.DUMMYFUNCTION("""COMPUTED_VALUE"""),"")</f>
        <v/>
      </c>
      <c r="F2375" s="210" t="str">
        <f ca="1">IFERROR(__xludf.DUMMYFUNCTION("""COMPUTED_VALUE"""),"")</f>
        <v/>
      </c>
      <c r="G2375" s="210" t="str">
        <f ca="1">IFERROR(__xludf.DUMMYFUNCTION("""COMPUTED_VALUE"""),"")</f>
        <v/>
      </c>
      <c r="H2375" s="206" t="s">
        <v>121</v>
      </c>
      <c r="I2375" s="206" t="s">
        <v>121</v>
      </c>
      <c r="J2375" s="206" t="s">
        <v>121</v>
      </c>
      <c r="K2375" s="206" t="s">
        <v>121</v>
      </c>
      <c r="L2375" s="206" t="str">
        <v/>
      </c>
      <c r="M2375" s="206" t="str">
        <v/>
      </c>
    </row>
    <row r="2376" spans="1:13" ht="14.4">
      <c r="A2376" s="201"/>
      <c r="B2376" s="209" t="str">
        <f ca="1">IFERROR(__xludf.DUMMYFUNCTION("""COMPUTED_VALUE"""),"")</f>
        <v/>
      </c>
      <c r="C2376" s="201" t="str">
        <f ca="1">IFERROR(__xludf.DUMMYFUNCTION("""COMPUTED_VALUE"""),"")</f>
        <v/>
      </c>
      <c r="D2376" s="201" t="str">
        <f ca="1">IFERROR(__xludf.DUMMYFUNCTION("""COMPUTED_VALUE"""),"")</f>
        <v/>
      </c>
      <c r="E2376" s="202" t="str">
        <f ca="1">IFERROR(__xludf.DUMMYFUNCTION("""COMPUTED_VALUE"""),"")</f>
        <v/>
      </c>
      <c r="F2376" s="210" t="str">
        <f ca="1">IFERROR(__xludf.DUMMYFUNCTION("""COMPUTED_VALUE"""),"")</f>
        <v/>
      </c>
      <c r="G2376" s="210" t="str">
        <f ca="1">IFERROR(__xludf.DUMMYFUNCTION("""COMPUTED_VALUE"""),"")</f>
        <v/>
      </c>
      <c r="H2376" s="206" t="s">
        <v>121</v>
      </c>
      <c r="I2376" s="206" t="s">
        <v>121</v>
      </c>
      <c r="J2376" s="206" t="s">
        <v>121</v>
      </c>
      <c r="K2376" s="206" t="s">
        <v>121</v>
      </c>
      <c r="L2376" s="206" t="str">
        <v/>
      </c>
      <c r="M2376" s="206" t="str">
        <v/>
      </c>
    </row>
    <row r="2377" spans="1:13" ht="14.4">
      <c r="A2377" s="201"/>
      <c r="B2377" s="209" t="str">
        <f ca="1">IFERROR(__xludf.DUMMYFUNCTION("""COMPUTED_VALUE"""),"")</f>
        <v/>
      </c>
      <c r="C2377" s="201" t="str">
        <f ca="1">IFERROR(__xludf.DUMMYFUNCTION("""COMPUTED_VALUE"""),"")</f>
        <v/>
      </c>
      <c r="D2377" s="201" t="str">
        <f ca="1">IFERROR(__xludf.DUMMYFUNCTION("""COMPUTED_VALUE"""),"")</f>
        <v/>
      </c>
      <c r="E2377" s="202" t="str">
        <f ca="1">IFERROR(__xludf.DUMMYFUNCTION("""COMPUTED_VALUE"""),"")</f>
        <v/>
      </c>
      <c r="F2377" s="210" t="str">
        <f ca="1">IFERROR(__xludf.DUMMYFUNCTION("""COMPUTED_VALUE"""),"")</f>
        <v/>
      </c>
      <c r="G2377" s="210" t="str">
        <f ca="1">IFERROR(__xludf.DUMMYFUNCTION("""COMPUTED_VALUE"""),"")</f>
        <v/>
      </c>
      <c r="H2377" s="206" t="s">
        <v>121</v>
      </c>
      <c r="I2377" s="206" t="s">
        <v>121</v>
      </c>
      <c r="J2377" s="206" t="s">
        <v>121</v>
      </c>
      <c r="K2377" s="206" t="s">
        <v>121</v>
      </c>
      <c r="L2377" s="206" t="str">
        <v/>
      </c>
      <c r="M2377" s="206" t="str">
        <v/>
      </c>
    </row>
    <row r="2378" spans="1:13" ht="14.4">
      <c r="A2378" s="201"/>
      <c r="B2378" s="209" t="str">
        <f ca="1">IFERROR(__xludf.DUMMYFUNCTION("""COMPUTED_VALUE"""),"")</f>
        <v/>
      </c>
      <c r="C2378" s="201" t="str">
        <f ca="1">IFERROR(__xludf.DUMMYFUNCTION("""COMPUTED_VALUE"""),"")</f>
        <v/>
      </c>
      <c r="D2378" s="201" t="str">
        <f ca="1">IFERROR(__xludf.DUMMYFUNCTION("""COMPUTED_VALUE"""),"")</f>
        <v/>
      </c>
      <c r="E2378" s="202" t="str">
        <f ca="1">IFERROR(__xludf.DUMMYFUNCTION("""COMPUTED_VALUE"""),"")</f>
        <v/>
      </c>
      <c r="F2378" s="210" t="str">
        <f ca="1">IFERROR(__xludf.DUMMYFUNCTION("""COMPUTED_VALUE"""),"")</f>
        <v/>
      </c>
      <c r="G2378" s="210" t="str">
        <f ca="1">IFERROR(__xludf.DUMMYFUNCTION("""COMPUTED_VALUE"""),"")</f>
        <v/>
      </c>
      <c r="H2378" s="206" t="s">
        <v>121</v>
      </c>
      <c r="I2378" s="206" t="s">
        <v>121</v>
      </c>
      <c r="J2378" s="206" t="s">
        <v>121</v>
      </c>
      <c r="K2378" s="206" t="s">
        <v>121</v>
      </c>
      <c r="L2378" s="206" t="str">
        <v/>
      </c>
      <c r="M2378" s="206" t="str">
        <v/>
      </c>
    </row>
    <row r="2379" spans="1:13" ht="14.4">
      <c r="A2379" s="201"/>
      <c r="B2379" s="209" t="str">
        <f ca="1">IFERROR(__xludf.DUMMYFUNCTION("""COMPUTED_VALUE"""),"")</f>
        <v/>
      </c>
      <c r="C2379" s="201" t="str">
        <f ca="1">IFERROR(__xludf.DUMMYFUNCTION("""COMPUTED_VALUE"""),"")</f>
        <v/>
      </c>
      <c r="D2379" s="201" t="str">
        <f ca="1">IFERROR(__xludf.DUMMYFUNCTION("""COMPUTED_VALUE"""),"")</f>
        <v/>
      </c>
      <c r="E2379" s="202" t="str">
        <f ca="1">IFERROR(__xludf.DUMMYFUNCTION("""COMPUTED_VALUE"""),"")</f>
        <v/>
      </c>
      <c r="F2379" s="210" t="str">
        <f ca="1">IFERROR(__xludf.DUMMYFUNCTION("""COMPUTED_VALUE"""),"")</f>
        <v/>
      </c>
      <c r="G2379" s="210" t="str">
        <f ca="1">IFERROR(__xludf.DUMMYFUNCTION("""COMPUTED_VALUE"""),"")</f>
        <v/>
      </c>
      <c r="H2379" s="206" t="s">
        <v>121</v>
      </c>
      <c r="I2379" s="206" t="s">
        <v>121</v>
      </c>
      <c r="J2379" s="206" t="s">
        <v>121</v>
      </c>
      <c r="K2379" s="206" t="s">
        <v>121</v>
      </c>
      <c r="L2379" s="206" t="str">
        <v/>
      </c>
      <c r="M2379" s="206" t="str">
        <v/>
      </c>
    </row>
    <row r="2380" spans="1:13" ht="14.4">
      <c r="A2380" s="201"/>
      <c r="B2380" s="209" t="str">
        <f ca="1">IFERROR(__xludf.DUMMYFUNCTION("""COMPUTED_VALUE"""),"")</f>
        <v/>
      </c>
      <c r="C2380" s="201" t="str">
        <f ca="1">IFERROR(__xludf.DUMMYFUNCTION("""COMPUTED_VALUE"""),"")</f>
        <v/>
      </c>
      <c r="D2380" s="201" t="str">
        <f ca="1">IFERROR(__xludf.DUMMYFUNCTION("""COMPUTED_VALUE"""),"")</f>
        <v/>
      </c>
      <c r="E2380" s="202" t="str">
        <f ca="1">IFERROR(__xludf.DUMMYFUNCTION("""COMPUTED_VALUE"""),"")</f>
        <v/>
      </c>
      <c r="F2380" s="210" t="str">
        <f ca="1">IFERROR(__xludf.DUMMYFUNCTION("""COMPUTED_VALUE"""),"")</f>
        <v/>
      </c>
      <c r="G2380" s="210" t="str">
        <f ca="1">IFERROR(__xludf.DUMMYFUNCTION("""COMPUTED_VALUE"""),"")</f>
        <v/>
      </c>
      <c r="H2380" s="206" t="s">
        <v>121</v>
      </c>
      <c r="I2380" s="206" t="s">
        <v>121</v>
      </c>
      <c r="J2380" s="206" t="s">
        <v>121</v>
      </c>
      <c r="K2380" s="206" t="s">
        <v>121</v>
      </c>
      <c r="L2380" s="206" t="str">
        <v/>
      </c>
      <c r="M2380" s="206" t="str">
        <v/>
      </c>
    </row>
    <row r="2381" spans="1:13" ht="14.4">
      <c r="A2381" s="201"/>
      <c r="B2381" s="209" t="str">
        <f ca="1">IFERROR(__xludf.DUMMYFUNCTION("""COMPUTED_VALUE"""),"")</f>
        <v/>
      </c>
      <c r="C2381" s="201" t="str">
        <f ca="1">IFERROR(__xludf.DUMMYFUNCTION("""COMPUTED_VALUE"""),"")</f>
        <v/>
      </c>
      <c r="D2381" s="201" t="str">
        <f ca="1">IFERROR(__xludf.DUMMYFUNCTION("""COMPUTED_VALUE"""),"")</f>
        <v/>
      </c>
      <c r="E2381" s="202" t="str">
        <f ca="1">IFERROR(__xludf.DUMMYFUNCTION("""COMPUTED_VALUE"""),"")</f>
        <v/>
      </c>
      <c r="F2381" s="210" t="str">
        <f ca="1">IFERROR(__xludf.DUMMYFUNCTION("""COMPUTED_VALUE"""),"")</f>
        <v/>
      </c>
      <c r="G2381" s="210" t="str">
        <f ca="1">IFERROR(__xludf.DUMMYFUNCTION("""COMPUTED_VALUE"""),"")</f>
        <v/>
      </c>
      <c r="H2381" s="206" t="s">
        <v>121</v>
      </c>
      <c r="I2381" s="206" t="s">
        <v>121</v>
      </c>
      <c r="J2381" s="206" t="s">
        <v>121</v>
      </c>
      <c r="K2381" s="206" t="s">
        <v>121</v>
      </c>
      <c r="L2381" s="206" t="str">
        <v/>
      </c>
      <c r="M2381" s="206" t="str">
        <v/>
      </c>
    </row>
    <row r="2382" spans="1:13" ht="14.4">
      <c r="A2382" s="201"/>
      <c r="B2382" s="209" t="str">
        <f ca="1">IFERROR(__xludf.DUMMYFUNCTION("""COMPUTED_VALUE"""),"")</f>
        <v/>
      </c>
      <c r="C2382" s="201" t="str">
        <f ca="1">IFERROR(__xludf.DUMMYFUNCTION("""COMPUTED_VALUE"""),"")</f>
        <v/>
      </c>
      <c r="D2382" s="201" t="str">
        <f ca="1">IFERROR(__xludf.DUMMYFUNCTION("""COMPUTED_VALUE"""),"")</f>
        <v/>
      </c>
      <c r="E2382" s="202" t="str">
        <f ca="1">IFERROR(__xludf.DUMMYFUNCTION("""COMPUTED_VALUE"""),"")</f>
        <v/>
      </c>
      <c r="F2382" s="210" t="str">
        <f ca="1">IFERROR(__xludf.DUMMYFUNCTION("""COMPUTED_VALUE"""),"")</f>
        <v/>
      </c>
      <c r="G2382" s="210" t="str">
        <f ca="1">IFERROR(__xludf.DUMMYFUNCTION("""COMPUTED_VALUE"""),"")</f>
        <v/>
      </c>
      <c r="H2382" s="206" t="s">
        <v>121</v>
      </c>
      <c r="I2382" s="206" t="s">
        <v>121</v>
      </c>
      <c r="J2382" s="206" t="s">
        <v>121</v>
      </c>
      <c r="K2382" s="206" t="s">
        <v>121</v>
      </c>
      <c r="L2382" s="206" t="str">
        <v/>
      </c>
      <c r="M2382" s="206" t="str">
        <v/>
      </c>
    </row>
    <row r="2383" spans="1:13" ht="14.4">
      <c r="A2383" s="201"/>
      <c r="B2383" s="209" t="str">
        <f ca="1">IFERROR(__xludf.DUMMYFUNCTION("""COMPUTED_VALUE"""),"")</f>
        <v/>
      </c>
      <c r="C2383" s="201" t="str">
        <f ca="1">IFERROR(__xludf.DUMMYFUNCTION("""COMPUTED_VALUE"""),"")</f>
        <v/>
      </c>
      <c r="D2383" s="201" t="str">
        <f ca="1">IFERROR(__xludf.DUMMYFUNCTION("""COMPUTED_VALUE"""),"")</f>
        <v/>
      </c>
      <c r="E2383" s="202" t="str">
        <f ca="1">IFERROR(__xludf.DUMMYFUNCTION("""COMPUTED_VALUE"""),"")</f>
        <v/>
      </c>
      <c r="F2383" s="210" t="str">
        <f ca="1">IFERROR(__xludf.DUMMYFUNCTION("""COMPUTED_VALUE"""),"")</f>
        <v/>
      </c>
      <c r="G2383" s="210" t="str">
        <f ca="1">IFERROR(__xludf.DUMMYFUNCTION("""COMPUTED_VALUE"""),"")</f>
        <v/>
      </c>
      <c r="H2383" s="206" t="s">
        <v>121</v>
      </c>
      <c r="I2383" s="206" t="s">
        <v>121</v>
      </c>
      <c r="J2383" s="206" t="s">
        <v>121</v>
      </c>
      <c r="K2383" s="206" t="s">
        <v>121</v>
      </c>
      <c r="L2383" s="206" t="str">
        <v/>
      </c>
      <c r="M2383" s="206" t="str">
        <v/>
      </c>
    </row>
    <row r="2384" spans="1:13" ht="14.4">
      <c r="A2384" s="201"/>
      <c r="B2384" s="209" t="str">
        <f ca="1">IFERROR(__xludf.DUMMYFUNCTION("""COMPUTED_VALUE"""),"")</f>
        <v/>
      </c>
      <c r="C2384" s="201" t="str">
        <f ca="1">IFERROR(__xludf.DUMMYFUNCTION("""COMPUTED_VALUE"""),"")</f>
        <v/>
      </c>
      <c r="D2384" s="201" t="str">
        <f ca="1">IFERROR(__xludf.DUMMYFUNCTION("""COMPUTED_VALUE"""),"")</f>
        <v/>
      </c>
      <c r="E2384" s="202" t="str">
        <f ca="1">IFERROR(__xludf.DUMMYFUNCTION("""COMPUTED_VALUE"""),"")</f>
        <v/>
      </c>
      <c r="F2384" s="210" t="str">
        <f ca="1">IFERROR(__xludf.DUMMYFUNCTION("""COMPUTED_VALUE"""),"")</f>
        <v/>
      </c>
      <c r="G2384" s="210" t="str">
        <f ca="1">IFERROR(__xludf.DUMMYFUNCTION("""COMPUTED_VALUE"""),"")</f>
        <v/>
      </c>
      <c r="H2384" s="206" t="s">
        <v>121</v>
      </c>
      <c r="I2384" s="206" t="s">
        <v>121</v>
      </c>
      <c r="J2384" s="206" t="s">
        <v>121</v>
      </c>
      <c r="K2384" s="206" t="s">
        <v>121</v>
      </c>
      <c r="L2384" s="206" t="str">
        <v/>
      </c>
      <c r="M2384" s="206" t="str">
        <v/>
      </c>
    </row>
    <row r="2385" spans="1:13" ht="14.4">
      <c r="A2385" s="201"/>
      <c r="B2385" s="209" t="str">
        <f ca="1">IFERROR(__xludf.DUMMYFUNCTION("""COMPUTED_VALUE"""),"")</f>
        <v/>
      </c>
      <c r="C2385" s="201" t="str">
        <f ca="1">IFERROR(__xludf.DUMMYFUNCTION("""COMPUTED_VALUE"""),"")</f>
        <v/>
      </c>
      <c r="D2385" s="201" t="str">
        <f ca="1">IFERROR(__xludf.DUMMYFUNCTION("""COMPUTED_VALUE"""),"")</f>
        <v/>
      </c>
      <c r="E2385" s="202" t="str">
        <f ca="1">IFERROR(__xludf.DUMMYFUNCTION("""COMPUTED_VALUE"""),"")</f>
        <v/>
      </c>
      <c r="F2385" s="210" t="str">
        <f ca="1">IFERROR(__xludf.DUMMYFUNCTION("""COMPUTED_VALUE"""),"")</f>
        <v/>
      </c>
      <c r="G2385" s="210" t="str">
        <f ca="1">IFERROR(__xludf.DUMMYFUNCTION("""COMPUTED_VALUE"""),"")</f>
        <v/>
      </c>
      <c r="H2385" s="206" t="s">
        <v>121</v>
      </c>
      <c r="I2385" s="206" t="s">
        <v>121</v>
      </c>
      <c r="J2385" s="206" t="s">
        <v>121</v>
      </c>
      <c r="K2385" s="206" t="s">
        <v>121</v>
      </c>
      <c r="L2385" s="206" t="str">
        <v/>
      </c>
      <c r="M2385" s="206" t="str">
        <v/>
      </c>
    </row>
    <row r="2386" spans="1:13" ht="14.4">
      <c r="A2386" s="201"/>
      <c r="B2386" s="209" t="str">
        <f ca="1">IFERROR(__xludf.DUMMYFUNCTION("""COMPUTED_VALUE"""),"")</f>
        <v/>
      </c>
      <c r="C2386" s="201" t="str">
        <f ca="1">IFERROR(__xludf.DUMMYFUNCTION("""COMPUTED_VALUE"""),"")</f>
        <v/>
      </c>
      <c r="D2386" s="201" t="str">
        <f ca="1">IFERROR(__xludf.DUMMYFUNCTION("""COMPUTED_VALUE"""),"")</f>
        <v/>
      </c>
      <c r="E2386" s="202" t="str">
        <f ca="1">IFERROR(__xludf.DUMMYFUNCTION("""COMPUTED_VALUE"""),"")</f>
        <v/>
      </c>
      <c r="F2386" s="210" t="str">
        <f ca="1">IFERROR(__xludf.DUMMYFUNCTION("""COMPUTED_VALUE"""),"")</f>
        <v/>
      </c>
      <c r="G2386" s="210" t="str">
        <f ca="1">IFERROR(__xludf.DUMMYFUNCTION("""COMPUTED_VALUE"""),"")</f>
        <v/>
      </c>
      <c r="H2386" s="206" t="s">
        <v>121</v>
      </c>
      <c r="I2386" s="206" t="s">
        <v>121</v>
      </c>
      <c r="J2386" s="206" t="s">
        <v>121</v>
      </c>
      <c r="K2386" s="206" t="s">
        <v>121</v>
      </c>
      <c r="L2386" s="206" t="str">
        <v/>
      </c>
      <c r="M2386" s="206" t="str">
        <v/>
      </c>
    </row>
    <row r="2387" spans="1:13" ht="14.4">
      <c r="A2387" s="201"/>
      <c r="B2387" s="209" t="str">
        <f ca="1">IFERROR(__xludf.DUMMYFUNCTION("""COMPUTED_VALUE"""),"")</f>
        <v/>
      </c>
      <c r="C2387" s="201" t="str">
        <f ca="1">IFERROR(__xludf.DUMMYFUNCTION("""COMPUTED_VALUE"""),"")</f>
        <v/>
      </c>
      <c r="D2387" s="201" t="str">
        <f ca="1">IFERROR(__xludf.DUMMYFUNCTION("""COMPUTED_VALUE"""),"")</f>
        <v/>
      </c>
      <c r="E2387" s="202" t="str">
        <f ca="1">IFERROR(__xludf.DUMMYFUNCTION("""COMPUTED_VALUE"""),"")</f>
        <v/>
      </c>
      <c r="F2387" s="210" t="str">
        <f ca="1">IFERROR(__xludf.DUMMYFUNCTION("""COMPUTED_VALUE"""),"")</f>
        <v/>
      </c>
      <c r="G2387" s="210" t="str">
        <f ca="1">IFERROR(__xludf.DUMMYFUNCTION("""COMPUTED_VALUE"""),"")</f>
        <v/>
      </c>
      <c r="H2387" s="206" t="s">
        <v>121</v>
      </c>
      <c r="I2387" s="206" t="s">
        <v>121</v>
      </c>
      <c r="J2387" s="206" t="s">
        <v>121</v>
      </c>
      <c r="K2387" s="206" t="s">
        <v>121</v>
      </c>
      <c r="L2387" s="206" t="str">
        <v/>
      </c>
      <c r="M2387" s="206" t="str">
        <v/>
      </c>
    </row>
    <row r="2388" spans="1:13" ht="14.4">
      <c r="A2388" s="201"/>
      <c r="B2388" s="209" t="str">
        <f ca="1">IFERROR(__xludf.DUMMYFUNCTION("""COMPUTED_VALUE"""),"")</f>
        <v/>
      </c>
      <c r="C2388" s="201" t="str">
        <f ca="1">IFERROR(__xludf.DUMMYFUNCTION("""COMPUTED_VALUE"""),"")</f>
        <v/>
      </c>
      <c r="D2388" s="201" t="str">
        <f ca="1">IFERROR(__xludf.DUMMYFUNCTION("""COMPUTED_VALUE"""),"")</f>
        <v/>
      </c>
      <c r="E2388" s="202" t="str">
        <f ca="1">IFERROR(__xludf.DUMMYFUNCTION("""COMPUTED_VALUE"""),"")</f>
        <v/>
      </c>
      <c r="F2388" s="210" t="str">
        <f ca="1">IFERROR(__xludf.DUMMYFUNCTION("""COMPUTED_VALUE"""),"")</f>
        <v/>
      </c>
      <c r="G2388" s="210" t="str">
        <f ca="1">IFERROR(__xludf.DUMMYFUNCTION("""COMPUTED_VALUE"""),"")</f>
        <v/>
      </c>
      <c r="H2388" s="206" t="s">
        <v>121</v>
      </c>
      <c r="I2388" s="206" t="s">
        <v>121</v>
      </c>
      <c r="J2388" s="206" t="s">
        <v>121</v>
      </c>
      <c r="K2388" s="206" t="s">
        <v>121</v>
      </c>
      <c r="L2388" s="206" t="str">
        <v/>
      </c>
      <c r="M2388" s="206" t="str">
        <v/>
      </c>
    </row>
    <row r="2389" spans="1:13" ht="14.4">
      <c r="A2389" s="201"/>
      <c r="B2389" s="209" t="str">
        <f ca="1">IFERROR(__xludf.DUMMYFUNCTION("""COMPUTED_VALUE"""),"")</f>
        <v/>
      </c>
      <c r="C2389" s="201" t="str">
        <f ca="1">IFERROR(__xludf.DUMMYFUNCTION("""COMPUTED_VALUE"""),"")</f>
        <v/>
      </c>
      <c r="D2389" s="201" t="str">
        <f ca="1">IFERROR(__xludf.DUMMYFUNCTION("""COMPUTED_VALUE"""),"")</f>
        <v/>
      </c>
      <c r="E2389" s="202" t="str">
        <f ca="1">IFERROR(__xludf.DUMMYFUNCTION("""COMPUTED_VALUE"""),"")</f>
        <v/>
      </c>
      <c r="F2389" s="210" t="str">
        <f ca="1">IFERROR(__xludf.DUMMYFUNCTION("""COMPUTED_VALUE"""),"")</f>
        <v/>
      </c>
      <c r="G2389" s="210" t="str">
        <f ca="1">IFERROR(__xludf.DUMMYFUNCTION("""COMPUTED_VALUE"""),"")</f>
        <v/>
      </c>
      <c r="H2389" s="206" t="s">
        <v>121</v>
      </c>
      <c r="I2389" s="206" t="s">
        <v>121</v>
      </c>
      <c r="J2389" s="206" t="s">
        <v>121</v>
      </c>
      <c r="K2389" s="206" t="s">
        <v>121</v>
      </c>
      <c r="L2389" s="206" t="str">
        <v/>
      </c>
      <c r="M2389" s="206" t="str">
        <v/>
      </c>
    </row>
    <row r="2390" spans="1:13" ht="14.4">
      <c r="A2390" s="201"/>
      <c r="B2390" s="209" t="str">
        <f ca="1">IFERROR(__xludf.DUMMYFUNCTION("""COMPUTED_VALUE"""),"")</f>
        <v/>
      </c>
      <c r="C2390" s="201" t="str">
        <f ca="1">IFERROR(__xludf.DUMMYFUNCTION("""COMPUTED_VALUE"""),"")</f>
        <v/>
      </c>
      <c r="D2390" s="201" t="str">
        <f ca="1">IFERROR(__xludf.DUMMYFUNCTION("""COMPUTED_VALUE"""),"")</f>
        <v/>
      </c>
      <c r="E2390" s="202" t="str">
        <f ca="1">IFERROR(__xludf.DUMMYFUNCTION("""COMPUTED_VALUE"""),"")</f>
        <v/>
      </c>
      <c r="F2390" s="210" t="str">
        <f ca="1">IFERROR(__xludf.DUMMYFUNCTION("""COMPUTED_VALUE"""),"")</f>
        <v/>
      </c>
      <c r="G2390" s="210" t="str">
        <f ca="1">IFERROR(__xludf.DUMMYFUNCTION("""COMPUTED_VALUE"""),"")</f>
        <v/>
      </c>
      <c r="H2390" s="206" t="s">
        <v>121</v>
      </c>
      <c r="I2390" s="206" t="s">
        <v>121</v>
      </c>
      <c r="J2390" s="206" t="s">
        <v>121</v>
      </c>
      <c r="K2390" s="206" t="s">
        <v>121</v>
      </c>
      <c r="L2390" s="206" t="str">
        <v/>
      </c>
      <c r="M2390" s="206" t="str">
        <v/>
      </c>
    </row>
    <row r="2391" spans="1:13" ht="14.4">
      <c r="A2391" s="201"/>
      <c r="B2391" s="209" t="str">
        <f ca="1">IFERROR(__xludf.DUMMYFUNCTION("""COMPUTED_VALUE"""),"")</f>
        <v/>
      </c>
      <c r="C2391" s="201" t="str">
        <f ca="1">IFERROR(__xludf.DUMMYFUNCTION("""COMPUTED_VALUE"""),"")</f>
        <v/>
      </c>
      <c r="D2391" s="201" t="str">
        <f ca="1">IFERROR(__xludf.DUMMYFUNCTION("""COMPUTED_VALUE"""),"")</f>
        <v/>
      </c>
      <c r="E2391" s="202" t="str">
        <f ca="1">IFERROR(__xludf.DUMMYFUNCTION("""COMPUTED_VALUE"""),"")</f>
        <v/>
      </c>
      <c r="F2391" s="210" t="str">
        <f ca="1">IFERROR(__xludf.DUMMYFUNCTION("""COMPUTED_VALUE"""),"")</f>
        <v/>
      </c>
      <c r="G2391" s="210" t="str">
        <f ca="1">IFERROR(__xludf.DUMMYFUNCTION("""COMPUTED_VALUE"""),"")</f>
        <v/>
      </c>
      <c r="H2391" s="206" t="s">
        <v>121</v>
      </c>
      <c r="I2391" s="206" t="s">
        <v>121</v>
      </c>
      <c r="J2391" s="206" t="s">
        <v>121</v>
      </c>
      <c r="K2391" s="206" t="s">
        <v>121</v>
      </c>
      <c r="L2391" s="206" t="str">
        <v/>
      </c>
      <c r="M2391" s="206" t="str">
        <v/>
      </c>
    </row>
    <row r="2392" spans="1:13" ht="14.4">
      <c r="A2392" s="201"/>
      <c r="B2392" s="209" t="str">
        <f ca="1">IFERROR(__xludf.DUMMYFUNCTION("""COMPUTED_VALUE"""),"")</f>
        <v/>
      </c>
      <c r="C2392" s="201" t="str">
        <f ca="1">IFERROR(__xludf.DUMMYFUNCTION("""COMPUTED_VALUE"""),"")</f>
        <v/>
      </c>
      <c r="D2392" s="201" t="str">
        <f ca="1">IFERROR(__xludf.DUMMYFUNCTION("""COMPUTED_VALUE"""),"")</f>
        <v/>
      </c>
      <c r="E2392" s="202" t="str">
        <f ca="1">IFERROR(__xludf.DUMMYFUNCTION("""COMPUTED_VALUE"""),"")</f>
        <v/>
      </c>
      <c r="F2392" s="210" t="str">
        <f ca="1">IFERROR(__xludf.DUMMYFUNCTION("""COMPUTED_VALUE"""),"")</f>
        <v/>
      </c>
      <c r="G2392" s="210" t="str">
        <f ca="1">IFERROR(__xludf.DUMMYFUNCTION("""COMPUTED_VALUE"""),"")</f>
        <v/>
      </c>
      <c r="H2392" s="206" t="s">
        <v>121</v>
      </c>
      <c r="I2392" s="206" t="s">
        <v>121</v>
      </c>
      <c r="J2392" s="206" t="s">
        <v>121</v>
      </c>
      <c r="K2392" s="206" t="s">
        <v>121</v>
      </c>
      <c r="L2392" s="206" t="str">
        <v/>
      </c>
      <c r="M2392" s="206" t="str">
        <v/>
      </c>
    </row>
    <row r="2393" spans="1:13" ht="14.4">
      <c r="A2393" s="201"/>
      <c r="B2393" s="209" t="str">
        <f ca="1">IFERROR(__xludf.DUMMYFUNCTION("""COMPUTED_VALUE"""),"")</f>
        <v/>
      </c>
      <c r="C2393" s="201" t="str">
        <f ca="1">IFERROR(__xludf.DUMMYFUNCTION("""COMPUTED_VALUE"""),"")</f>
        <v/>
      </c>
      <c r="D2393" s="201" t="str">
        <f ca="1">IFERROR(__xludf.DUMMYFUNCTION("""COMPUTED_VALUE"""),"")</f>
        <v/>
      </c>
      <c r="E2393" s="202" t="str">
        <f ca="1">IFERROR(__xludf.DUMMYFUNCTION("""COMPUTED_VALUE"""),"")</f>
        <v/>
      </c>
      <c r="F2393" s="210" t="str">
        <f ca="1">IFERROR(__xludf.DUMMYFUNCTION("""COMPUTED_VALUE"""),"")</f>
        <v/>
      </c>
      <c r="G2393" s="210" t="str">
        <f ca="1">IFERROR(__xludf.DUMMYFUNCTION("""COMPUTED_VALUE"""),"")</f>
        <v/>
      </c>
      <c r="H2393" s="206" t="s">
        <v>121</v>
      </c>
      <c r="I2393" s="206" t="s">
        <v>121</v>
      </c>
      <c r="J2393" s="206" t="s">
        <v>121</v>
      </c>
      <c r="K2393" s="206" t="s">
        <v>121</v>
      </c>
      <c r="L2393" s="206" t="str">
        <v/>
      </c>
      <c r="M2393" s="206" t="str">
        <v/>
      </c>
    </row>
    <row r="2394" spans="1:13" ht="14.4">
      <c r="A2394" s="201"/>
      <c r="B2394" s="209" t="str">
        <f ca="1">IFERROR(__xludf.DUMMYFUNCTION("""COMPUTED_VALUE"""),"")</f>
        <v/>
      </c>
      <c r="C2394" s="201" t="str">
        <f ca="1">IFERROR(__xludf.DUMMYFUNCTION("""COMPUTED_VALUE"""),"")</f>
        <v/>
      </c>
      <c r="D2394" s="201" t="str">
        <f ca="1">IFERROR(__xludf.DUMMYFUNCTION("""COMPUTED_VALUE"""),"")</f>
        <v/>
      </c>
      <c r="E2394" s="202" t="str">
        <f ca="1">IFERROR(__xludf.DUMMYFUNCTION("""COMPUTED_VALUE"""),"")</f>
        <v/>
      </c>
      <c r="F2394" s="210" t="str">
        <f ca="1">IFERROR(__xludf.DUMMYFUNCTION("""COMPUTED_VALUE"""),"")</f>
        <v/>
      </c>
      <c r="G2394" s="210" t="str">
        <f ca="1">IFERROR(__xludf.DUMMYFUNCTION("""COMPUTED_VALUE"""),"")</f>
        <v/>
      </c>
      <c r="H2394" s="206" t="s">
        <v>121</v>
      </c>
      <c r="I2394" s="206" t="s">
        <v>121</v>
      </c>
      <c r="J2394" s="206" t="s">
        <v>121</v>
      </c>
      <c r="K2394" s="206" t="s">
        <v>121</v>
      </c>
      <c r="L2394" s="206" t="str">
        <v/>
      </c>
      <c r="M2394" s="206" t="str">
        <v/>
      </c>
    </row>
    <row r="2395" spans="1:13" ht="14.4">
      <c r="A2395" s="201"/>
      <c r="B2395" s="209" t="str">
        <f ca="1">IFERROR(__xludf.DUMMYFUNCTION("""COMPUTED_VALUE"""),"")</f>
        <v/>
      </c>
      <c r="C2395" s="201" t="str">
        <f ca="1">IFERROR(__xludf.DUMMYFUNCTION("""COMPUTED_VALUE"""),"")</f>
        <v/>
      </c>
      <c r="D2395" s="201" t="str">
        <f ca="1">IFERROR(__xludf.DUMMYFUNCTION("""COMPUTED_VALUE"""),"")</f>
        <v/>
      </c>
      <c r="E2395" s="202" t="str">
        <f ca="1">IFERROR(__xludf.DUMMYFUNCTION("""COMPUTED_VALUE"""),"")</f>
        <v/>
      </c>
      <c r="F2395" s="210" t="str">
        <f ca="1">IFERROR(__xludf.DUMMYFUNCTION("""COMPUTED_VALUE"""),"")</f>
        <v/>
      </c>
      <c r="G2395" s="210" t="str">
        <f ca="1">IFERROR(__xludf.DUMMYFUNCTION("""COMPUTED_VALUE"""),"")</f>
        <v/>
      </c>
      <c r="H2395" s="206" t="s">
        <v>121</v>
      </c>
      <c r="I2395" s="206" t="s">
        <v>121</v>
      </c>
      <c r="J2395" s="206" t="s">
        <v>121</v>
      </c>
      <c r="K2395" s="206" t="s">
        <v>121</v>
      </c>
      <c r="L2395" s="206" t="str">
        <v/>
      </c>
      <c r="M2395" s="206" t="str">
        <v/>
      </c>
    </row>
    <row r="2396" spans="1:13" ht="14.4">
      <c r="A2396" s="201"/>
      <c r="B2396" s="209"/>
      <c r="C2396" s="201"/>
      <c r="D2396" s="201"/>
      <c r="E2396" s="202"/>
      <c r="F2396" s="210"/>
      <c r="G2396" s="210"/>
      <c r="H2396" s="206" t="s">
        <v>121</v>
      </c>
      <c r="I2396" s="206" t="s">
        <v>121</v>
      </c>
      <c r="J2396" s="206" t="s">
        <v>121</v>
      </c>
      <c r="K2396" s="206" t="s">
        <v>121</v>
      </c>
      <c r="L2396" s="206" t="str">
        <v/>
      </c>
      <c r="M2396" s="206" t="str">
        <v/>
      </c>
    </row>
    <row r="2397" spans="1:13" ht="14.4">
      <c r="A2397" s="201"/>
      <c r="B2397" s="209"/>
      <c r="C2397" s="201"/>
      <c r="D2397" s="201"/>
      <c r="E2397" s="202"/>
      <c r="F2397" s="210"/>
      <c r="G2397" s="210"/>
      <c r="H2397" s="206" t="s">
        <v>121</v>
      </c>
      <c r="I2397" s="206" t="s">
        <v>121</v>
      </c>
      <c r="J2397" s="206" t="s">
        <v>121</v>
      </c>
      <c r="K2397" s="206" t="s">
        <v>121</v>
      </c>
      <c r="L2397" s="206" t="str">
        <v/>
      </c>
      <c r="M2397" s="206" t="str">
        <v/>
      </c>
    </row>
    <row r="2398" spans="1:13" ht="14.4">
      <c r="A2398" s="201"/>
      <c r="B2398" s="209"/>
      <c r="C2398" s="201"/>
      <c r="D2398" s="201"/>
      <c r="E2398" s="202"/>
      <c r="F2398" s="210"/>
      <c r="G2398" s="210"/>
      <c r="H2398" s="206" t="s">
        <v>121</v>
      </c>
      <c r="I2398" s="206" t="s">
        <v>121</v>
      </c>
      <c r="J2398" s="206" t="s">
        <v>121</v>
      </c>
      <c r="K2398" s="206" t="s">
        <v>121</v>
      </c>
      <c r="L2398" s="206" t="str">
        <v/>
      </c>
      <c r="M2398" s="206" t="str">
        <v/>
      </c>
    </row>
    <row r="2399" spans="1:13" ht="14.4">
      <c r="A2399" s="201"/>
      <c r="B2399" s="209"/>
      <c r="C2399" s="201"/>
      <c r="D2399" s="201"/>
      <c r="E2399" s="202"/>
      <c r="F2399" s="210"/>
      <c r="G2399" s="210"/>
      <c r="H2399" s="206" t="s">
        <v>121</v>
      </c>
      <c r="I2399" s="206" t="s">
        <v>121</v>
      </c>
      <c r="J2399" s="206" t="s">
        <v>121</v>
      </c>
      <c r="K2399" s="206" t="s">
        <v>121</v>
      </c>
      <c r="L2399" s="206" t="str">
        <v/>
      </c>
      <c r="M2399" s="206" t="str">
        <v/>
      </c>
    </row>
    <row r="2400" spans="1:13" ht="14.4">
      <c r="A2400" s="201"/>
      <c r="B2400" s="209"/>
      <c r="C2400" s="201"/>
      <c r="D2400" s="201"/>
      <c r="E2400" s="202"/>
      <c r="F2400" s="210"/>
      <c r="G2400" s="210"/>
      <c r="H2400" s="206" t="s">
        <v>121</v>
      </c>
      <c r="I2400" s="206" t="s">
        <v>121</v>
      </c>
      <c r="J2400" s="206" t="s">
        <v>121</v>
      </c>
      <c r="K2400" s="206" t="s">
        <v>121</v>
      </c>
      <c r="L2400" s="206" t="str">
        <v/>
      </c>
      <c r="M2400" s="206" t="str">
        <v/>
      </c>
    </row>
    <row r="2401" spans="1:13" ht="14.4">
      <c r="A2401" s="201"/>
      <c r="B2401" s="209"/>
      <c r="C2401" s="201"/>
      <c r="D2401" s="201"/>
      <c r="E2401" s="202"/>
      <c r="F2401" s="210"/>
      <c r="G2401" s="210"/>
      <c r="H2401" s="206" t="s">
        <v>121</v>
      </c>
      <c r="I2401" s="206" t="s">
        <v>121</v>
      </c>
      <c r="J2401" s="206" t="s">
        <v>121</v>
      </c>
      <c r="K2401" s="206" t="s">
        <v>121</v>
      </c>
      <c r="L2401" s="206" t="str">
        <v/>
      </c>
      <c r="M2401" s="206" t="str">
        <v/>
      </c>
    </row>
    <row r="2402" spans="1:13" ht="14.4">
      <c r="A2402" s="201"/>
      <c r="B2402" s="209"/>
      <c r="C2402" s="201"/>
      <c r="D2402" s="201"/>
      <c r="E2402" s="202"/>
      <c r="F2402" s="210"/>
      <c r="G2402" s="210"/>
      <c r="H2402" s="206" t="s">
        <v>121</v>
      </c>
      <c r="I2402" s="206" t="s">
        <v>121</v>
      </c>
      <c r="J2402" s="206" t="s">
        <v>121</v>
      </c>
      <c r="K2402" s="206" t="s">
        <v>121</v>
      </c>
      <c r="L2402" s="206" t="str">
        <v/>
      </c>
      <c r="M2402" s="206" t="str">
        <v/>
      </c>
    </row>
    <row r="2403" spans="1:13" ht="14.4">
      <c r="A2403" s="201"/>
      <c r="B2403" s="209"/>
      <c r="C2403" s="201"/>
      <c r="D2403" s="201"/>
      <c r="E2403" s="202"/>
      <c r="F2403" s="210"/>
      <c r="G2403" s="210"/>
      <c r="H2403" s="206" t="s">
        <v>121</v>
      </c>
      <c r="I2403" s="206" t="s">
        <v>121</v>
      </c>
      <c r="J2403" s="206" t="s">
        <v>121</v>
      </c>
      <c r="K2403" s="206" t="s">
        <v>121</v>
      </c>
      <c r="L2403" s="206" t="str">
        <v/>
      </c>
      <c r="M2403" s="206" t="str">
        <v/>
      </c>
    </row>
    <row r="2404" spans="1:13" ht="14.4">
      <c r="A2404" s="201"/>
      <c r="B2404" s="209"/>
      <c r="C2404" s="201"/>
      <c r="D2404" s="201"/>
      <c r="E2404" s="202"/>
      <c r="F2404" s="210"/>
      <c r="G2404" s="210"/>
      <c r="H2404" s="206" t="s">
        <v>121</v>
      </c>
      <c r="I2404" s="206" t="s">
        <v>121</v>
      </c>
      <c r="J2404" s="206" t="s">
        <v>121</v>
      </c>
      <c r="K2404" s="206" t="s">
        <v>121</v>
      </c>
      <c r="L2404" s="206" t="str">
        <v/>
      </c>
      <c r="M2404" s="206" t="str">
        <v/>
      </c>
    </row>
    <row r="2405" spans="1:13" ht="14.4">
      <c r="A2405" s="201"/>
      <c r="B2405" s="209"/>
      <c r="C2405" s="201"/>
      <c r="D2405" s="201"/>
      <c r="E2405" s="202"/>
      <c r="F2405" s="210"/>
      <c r="G2405" s="210"/>
      <c r="H2405" s="206" t="s">
        <v>121</v>
      </c>
      <c r="I2405" s="206" t="s">
        <v>121</v>
      </c>
      <c r="J2405" s="206" t="s">
        <v>121</v>
      </c>
      <c r="K2405" s="206" t="s">
        <v>121</v>
      </c>
      <c r="L2405" s="206" t="str">
        <v/>
      </c>
      <c r="M2405" s="206" t="str">
        <v/>
      </c>
    </row>
    <row r="2406" spans="1:13" ht="14.4">
      <c r="A2406" s="201"/>
      <c r="B2406" s="209"/>
      <c r="C2406" s="201"/>
      <c r="D2406" s="201"/>
      <c r="E2406" s="202"/>
      <c r="F2406" s="210"/>
      <c r="G2406" s="210"/>
      <c r="H2406" s="206" t="s">
        <v>121</v>
      </c>
      <c r="I2406" s="206" t="s">
        <v>121</v>
      </c>
      <c r="J2406" s="206" t="s">
        <v>121</v>
      </c>
      <c r="K2406" s="206" t="s">
        <v>121</v>
      </c>
      <c r="L2406" s="206" t="str">
        <v/>
      </c>
      <c r="M2406" s="206" t="str">
        <v/>
      </c>
    </row>
    <row r="2407" spans="1:13" ht="14.4">
      <c r="A2407" s="201"/>
      <c r="B2407" s="209"/>
      <c r="C2407" s="201"/>
      <c r="D2407" s="201"/>
      <c r="E2407" s="202"/>
      <c r="F2407" s="210"/>
      <c r="G2407" s="210"/>
      <c r="H2407" s="206" t="s">
        <v>121</v>
      </c>
      <c r="I2407" s="206" t="s">
        <v>121</v>
      </c>
      <c r="J2407" s="206" t="s">
        <v>121</v>
      </c>
      <c r="K2407" s="206" t="s">
        <v>121</v>
      </c>
      <c r="L2407" s="206" t="str">
        <v/>
      </c>
      <c r="M2407" s="206" t="str">
        <v/>
      </c>
    </row>
    <row r="2408" spans="1:13" ht="14.4">
      <c r="A2408" s="201"/>
      <c r="B2408" s="209"/>
      <c r="C2408" s="201"/>
      <c r="D2408" s="201"/>
      <c r="E2408" s="202"/>
      <c r="F2408" s="210"/>
      <c r="G2408" s="210"/>
      <c r="H2408" s="206" t="s">
        <v>121</v>
      </c>
      <c r="I2408" s="206" t="s">
        <v>121</v>
      </c>
      <c r="J2408" s="206" t="s">
        <v>121</v>
      </c>
      <c r="K2408" s="206" t="s">
        <v>121</v>
      </c>
      <c r="L2408" s="206" t="str">
        <v/>
      </c>
      <c r="M2408" s="206" t="str">
        <v/>
      </c>
    </row>
    <row r="2409" spans="1:13" ht="14.4">
      <c r="A2409" s="201"/>
      <c r="B2409" s="209"/>
      <c r="C2409" s="201"/>
      <c r="D2409" s="201"/>
      <c r="E2409" s="202"/>
      <c r="F2409" s="210"/>
      <c r="G2409" s="210"/>
      <c r="H2409" s="206" t="s">
        <v>121</v>
      </c>
      <c r="I2409" s="206" t="s">
        <v>121</v>
      </c>
      <c r="J2409" s="206" t="s">
        <v>121</v>
      </c>
      <c r="K2409" s="206" t="s">
        <v>121</v>
      </c>
      <c r="L2409" s="206" t="str">
        <v/>
      </c>
      <c r="M2409" s="206" t="str">
        <v/>
      </c>
    </row>
    <row r="2410" spans="1:13" ht="14.4">
      <c r="A2410" s="201"/>
      <c r="B2410" s="209"/>
      <c r="C2410" s="201"/>
      <c r="D2410" s="201"/>
      <c r="E2410" s="202"/>
      <c r="F2410" s="210"/>
      <c r="G2410" s="210"/>
      <c r="H2410" s="206" t="s">
        <v>121</v>
      </c>
      <c r="I2410" s="206" t="s">
        <v>121</v>
      </c>
      <c r="J2410" s="206" t="s">
        <v>121</v>
      </c>
      <c r="K2410" s="206" t="s">
        <v>121</v>
      </c>
      <c r="L2410" s="206" t="str">
        <v/>
      </c>
      <c r="M2410" s="206" t="str">
        <v/>
      </c>
    </row>
    <row r="2411" spans="1:13" ht="14.4">
      <c r="A2411" s="201"/>
      <c r="B2411" s="209"/>
      <c r="C2411" s="201"/>
      <c r="D2411" s="201"/>
      <c r="E2411" s="202"/>
      <c r="F2411" s="210"/>
      <c r="G2411" s="210"/>
      <c r="H2411" s="206" t="s">
        <v>121</v>
      </c>
      <c r="I2411" s="206" t="s">
        <v>121</v>
      </c>
      <c r="J2411" s="206" t="s">
        <v>121</v>
      </c>
      <c r="K2411" s="206" t="s">
        <v>121</v>
      </c>
      <c r="L2411" s="206" t="str">
        <v/>
      </c>
      <c r="M2411" s="206" t="str">
        <v/>
      </c>
    </row>
    <row r="2412" spans="1:13" ht="14.4">
      <c r="A2412" s="201"/>
      <c r="B2412" s="209"/>
      <c r="C2412" s="201"/>
      <c r="D2412" s="201"/>
      <c r="E2412" s="202"/>
      <c r="F2412" s="210"/>
      <c r="G2412" s="210"/>
      <c r="H2412" s="206" t="s">
        <v>121</v>
      </c>
      <c r="I2412" s="206" t="s">
        <v>121</v>
      </c>
      <c r="J2412" s="206" t="s">
        <v>121</v>
      </c>
      <c r="K2412" s="206" t="s">
        <v>121</v>
      </c>
      <c r="L2412" s="206" t="str">
        <v/>
      </c>
      <c r="M2412" s="206" t="str">
        <v/>
      </c>
    </row>
    <row r="2413" spans="1:13" ht="14.4">
      <c r="A2413" s="201"/>
      <c r="B2413" s="209"/>
      <c r="C2413" s="201"/>
      <c r="D2413" s="201"/>
      <c r="E2413" s="202"/>
      <c r="F2413" s="210"/>
      <c r="G2413" s="210"/>
      <c r="H2413" s="206" t="s">
        <v>121</v>
      </c>
      <c r="I2413" s="206" t="s">
        <v>121</v>
      </c>
      <c r="J2413" s="206" t="s">
        <v>121</v>
      </c>
      <c r="K2413" s="206" t="s">
        <v>121</v>
      </c>
      <c r="L2413" s="206" t="str">
        <v/>
      </c>
      <c r="M2413" s="206" t="str">
        <v/>
      </c>
    </row>
    <row r="2414" spans="1:13" ht="14.4">
      <c r="A2414" s="201"/>
      <c r="B2414" s="209"/>
      <c r="C2414" s="201"/>
      <c r="D2414" s="201"/>
      <c r="E2414" s="202"/>
      <c r="F2414" s="210"/>
      <c r="G2414" s="210"/>
      <c r="H2414" s="206" t="s">
        <v>121</v>
      </c>
      <c r="I2414" s="206" t="s">
        <v>121</v>
      </c>
      <c r="J2414" s="206" t="s">
        <v>121</v>
      </c>
      <c r="K2414" s="206" t="s">
        <v>121</v>
      </c>
      <c r="L2414" s="206" t="str">
        <v/>
      </c>
      <c r="M2414" s="206" t="str">
        <v/>
      </c>
    </row>
    <row r="2415" spans="1:13" ht="14.4">
      <c r="A2415" s="201"/>
      <c r="B2415" s="209"/>
      <c r="C2415" s="201"/>
      <c r="D2415" s="201"/>
      <c r="E2415" s="202"/>
      <c r="F2415" s="210"/>
      <c r="G2415" s="210"/>
      <c r="H2415" s="206" t="s">
        <v>121</v>
      </c>
      <c r="I2415" s="206" t="s">
        <v>121</v>
      </c>
      <c r="J2415" s="206" t="s">
        <v>121</v>
      </c>
      <c r="K2415" s="206" t="s">
        <v>121</v>
      </c>
      <c r="L2415" s="206" t="str">
        <v/>
      </c>
      <c r="M2415" s="206" t="str">
        <v/>
      </c>
    </row>
    <row r="2416" spans="1:13" ht="14.4">
      <c r="A2416" s="201"/>
      <c r="B2416" s="209"/>
      <c r="C2416" s="201"/>
      <c r="D2416" s="201"/>
      <c r="E2416" s="202"/>
      <c r="F2416" s="210"/>
      <c r="G2416" s="210"/>
      <c r="H2416" s="206" t="s">
        <v>121</v>
      </c>
      <c r="I2416" s="206" t="s">
        <v>121</v>
      </c>
      <c r="J2416" s="206" t="s">
        <v>121</v>
      </c>
      <c r="K2416" s="206" t="s">
        <v>121</v>
      </c>
      <c r="L2416" s="206" t="str">
        <v/>
      </c>
      <c r="M2416" s="206" t="str">
        <v/>
      </c>
    </row>
    <row r="2417" spans="1:13" ht="14.4">
      <c r="A2417" s="201"/>
      <c r="B2417" s="209"/>
      <c r="C2417" s="201"/>
      <c r="D2417" s="201"/>
      <c r="E2417" s="202"/>
      <c r="F2417" s="210"/>
      <c r="G2417" s="210"/>
      <c r="H2417" s="206" t="s">
        <v>121</v>
      </c>
      <c r="I2417" s="206" t="s">
        <v>121</v>
      </c>
      <c r="J2417" s="206" t="s">
        <v>121</v>
      </c>
      <c r="K2417" s="206" t="s">
        <v>121</v>
      </c>
      <c r="L2417" s="206" t="str">
        <v/>
      </c>
      <c r="M2417" s="206" t="str">
        <v/>
      </c>
    </row>
    <row r="2418" spans="1:13" ht="14.4">
      <c r="A2418" s="201"/>
      <c r="B2418" s="209"/>
      <c r="C2418" s="201"/>
      <c r="D2418" s="201"/>
      <c r="E2418" s="202"/>
      <c r="F2418" s="210"/>
      <c r="G2418" s="210"/>
      <c r="H2418" s="206" t="s">
        <v>121</v>
      </c>
      <c r="I2418" s="206" t="s">
        <v>121</v>
      </c>
      <c r="J2418" s="206" t="s">
        <v>121</v>
      </c>
      <c r="K2418" s="206" t="s">
        <v>121</v>
      </c>
      <c r="L2418" s="206" t="str">
        <v/>
      </c>
      <c r="M2418" s="206" t="str">
        <v/>
      </c>
    </row>
    <row r="2419" spans="1:13" ht="14.4">
      <c r="A2419" s="201"/>
      <c r="B2419" s="209"/>
      <c r="C2419" s="201"/>
      <c r="D2419" s="201"/>
      <c r="E2419" s="202"/>
      <c r="F2419" s="210"/>
      <c r="G2419" s="210"/>
      <c r="H2419" s="206" t="s">
        <v>121</v>
      </c>
      <c r="I2419" s="206" t="s">
        <v>121</v>
      </c>
      <c r="J2419" s="206" t="s">
        <v>121</v>
      </c>
      <c r="K2419" s="206" t="s">
        <v>121</v>
      </c>
      <c r="L2419" s="206" t="str">
        <v/>
      </c>
      <c r="M2419" s="206" t="str">
        <v/>
      </c>
    </row>
    <row r="2420" spans="1:13" ht="14.4">
      <c r="A2420" s="201"/>
      <c r="B2420" s="209"/>
      <c r="C2420" s="201"/>
      <c r="D2420" s="201"/>
      <c r="E2420" s="202"/>
      <c r="F2420" s="210"/>
      <c r="G2420" s="210"/>
      <c r="H2420" s="206" t="s">
        <v>121</v>
      </c>
      <c r="I2420" s="206" t="s">
        <v>121</v>
      </c>
      <c r="J2420" s="206" t="s">
        <v>121</v>
      </c>
      <c r="K2420" s="206" t="s">
        <v>121</v>
      </c>
      <c r="L2420" s="206" t="str">
        <v/>
      </c>
      <c r="M2420" s="206" t="str">
        <v/>
      </c>
    </row>
    <row r="2421" spans="1:13" ht="14.4">
      <c r="A2421" s="201"/>
      <c r="B2421" s="209"/>
      <c r="C2421" s="201"/>
      <c r="D2421" s="201"/>
      <c r="E2421" s="202"/>
      <c r="F2421" s="210"/>
      <c r="G2421" s="210"/>
      <c r="H2421" s="206" t="s">
        <v>121</v>
      </c>
      <c r="I2421" s="206" t="s">
        <v>121</v>
      </c>
      <c r="J2421" s="206" t="s">
        <v>121</v>
      </c>
      <c r="K2421" s="206" t="s">
        <v>121</v>
      </c>
      <c r="L2421" s="206" t="str">
        <v/>
      </c>
      <c r="M2421" s="206" t="str">
        <v/>
      </c>
    </row>
    <row r="2422" spans="1:13" ht="14.4">
      <c r="A2422" s="201"/>
      <c r="B2422" s="209"/>
      <c r="C2422" s="201"/>
      <c r="D2422" s="201"/>
      <c r="E2422" s="202"/>
      <c r="F2422" s="210"/>
      <c r="G2422" s="210"/>
      <c r="H2422" s="206" t="s">
        <v>121</v>
      </c>
      <c r="I2422" s="206" t="s">
        <v>121</v>
      </c>
      <c r="J2422" s="206" t="s">
        <v>121</v>
      </c>
      <c r="K2422" s="206" t="s">
        <v>121</v>
      </c>
      <c r="L2422" s="206" t="str">
        <v/>
      </c>
      <c r="M2422" s="206" t="str">
        <v/>
      </c>
    </row>
    <row r="2423" spans="1:13" ht="14.4">
      <c r="A2423" s="201"/>
      <c r="B2423" s="209"/>
      <c r="C2423" s="201"/>
      <c r="D2423" s="201"/>
      <c r="E2423" s="202"/>
      <c r="F2423" s="210"/>
      <c r="G2423" s="210"/>
      <c r="H2423" s="206" t="s">
        <v>121</v>
      </c>
      <c r="I2423" s="206" t="s">
        <v>121</v>
      </c>
      <c r="J2423" s="206" t="s">
        <v>121</v>
      </c>
      <c r="K2423" s="206" t="s">
        <v>121</v>
      </c>
      <c r="L2423" s="206" t="str">
        <v/>
      </c>
      <c r="M2423" s="206" t="str">
        <v/>
      </c>
    </row>
    <row r="2424" spans="1:13" ht="14.4">
      <c r="A2424" s="201"/>
      <c r="B2424" s="209"/>
      <c r="C2424" s="201"/>
      <c r="D2424" s="201"/>
      <c r="E2424" s="202"/>
      <c r="F2424" s="210"/>
      <c r="G2424" s="210"/>
      <c r="H2424" s="206" t="s">
        <v>121</v>
      </c>
      <c r="I2424" s="206" t="s">
        <v>121</v>
      </c>
      <c r="J2424" s="206" t="s">
        <v>121</v>
      </c>
      <c r="K2424" s="206" t="s">
        <v>121</v>
      </c>
      <c r="L2424" s="206" t="str">
        <v/>
      </c>
      <c r="M2424" s="206" t="str">
        <v/>
      </c>
    </row>
    <row r="2425" spans="1:13" ht="14.4">
      <c r="A2425" s="201"/>
      <c r="B2425" s="209"/>
      <c r="C2425" s="201"/>
      <c r="D2425" s="201"/>
      <c r="E2425" s="202"/>
      <c r="F2425" s="210"/>
      <c r="G2425" s="210"/>
      <c r="H2425" s="206" t="s">
        <v>121</v>
      </c>
      <c r="I2425" s="206" t="s">
        <v>121</v>
      </c>
      <c r="J2425" s="206" t="s">
        <v>121</v>
      </c>
      <c r="K2425" s="206" t="s">
        <v>121</v>
      </c>
      <c r="L2425" s="206" t="str">
        <v/>
      </c>
      <c r="M2425" s="206" t="str">
        <v/>
      </c>
    </row>
    <row r="2426" spans="1:13" ht="14.4">
      <c r="A2426" s="201"/>
      <c r="B2426" s="209"/>
      <c r="C2426" s="201"/>
      <c r="D2426" s="201"/>
      <c r="E2426" s="202"/>
      <c r="F2426" s="210"/>
      <c r="G2426" s="210"/>
      <c r="H2426" s="206" t="s">
        <v>121</v>
      </c>
      <c r="I2426" s="206" t="s">
        <v>121</v>
      </c>
      <c r="J2426" s="206" t="s">
        <v>121</v>
      </c>
      <c r="K2426" s="206" t="s">
        <v>121</v>
      </c>
      <c r="L2426" s="206" t="str">
        <v/>
      </c>
      <c r="M2426" s="206" t="str">
        <v/>
      </c>
    </row>
    <row r="2427" spans="1:13" ht="14.4">
      <c r="A2427" s="201"/>
      <c r="B2427" s="209"/>
      <c r="C2427" s="201"/>
      <c r="D2427" s="201"/>
      <c r="E2427" s="202"/>
      <c r="F2427" s="210"/>
      <c r="G2427" s="210"/>
      <c r="H2427" s="206" t="s">
        <v>121</v>
      </c>
      <c r="I2427" s="206" t="s">
        <v>121</v>
      </c>
      <c r="J2427" s="206" t="s">
        <v>121</v>
      </c>
      <c r="K2427" s="206" t="s">
        <v>121</v>
      </c>
      <c r="L2427" s="206" t="str">
        <v/>
      </c>
      <c r="M2427" s="206" t="str">
        <v/>
      </c>
    </row>
    <row r="2428" spans="1:13" ht="14.4">
      <c r="A2428" s="201"/>
      <c r="B2428" s="209"/>
      <c r="C2428" s="201"/>
      <c r="D2428" s="201"/>
      <c r="E2428" s="202"/>
      <c r="F2428" s="210"/>
      <c r="G2428" s="210"/>
      <c r="H2428" s="206" t="s">
        <v>121</v>
      </c>
      <c r="I2428" s="206" t="s">
        <v>121</v>
      </c>
      <c r="J2428" s="206" t="s">
        <v>121</v>
      </c>
      <c r="K2428" s="206" t="s">
        <v>121</v>
      </c>
      <c r="L2428" s="206" t="str">
        <v/>
      </c>
      <c r="M2428" s="206" t="str">
        <v/>
      </c>
    </row>
    <row r="2429" spans="1:13" ht="14.4">
      <c r="A2429" s="201"/>
      <c r="B2429" s="209"/>
      <c r="C2429" s="201"/>
      <c r="D2429" s="201"/>
      <c r="E2429" s="202"/>
      <c r="F2429" s="210"/>
      <c r="G2429" s="210"/>
      <c r="H2429" s="206" t="s">
        <v>121</v>
      </c>
      <c r="I2429" s="206" t="s">
        <v>121</v>
      </c>
      <c r="J2429" s="206" t="s">
        <v>121</v>
      </c>
      <c r="K2429" s="206" t="s">
        <v>121</v>
      </c>
      <c r="L2429" s="206" t="str">
        <v/>
      </c>
      <c r="M2429" s="206" t="str">
        <v/>
      </c>
    </row>
    <row r="2430" spans="1:13" ht="14.4">
      <c r="A2430" s="201"/>
      <c r="B2430" s="209"/>
      <c r="C2430" s="201"/>
      <c r="D2430" s="201"/>
      <c r="E2430" s="202"/>
      <c r="F2430" s="210"/>
      <c r="G2430" s="210"/>
      <c r="H2430" s="206" t="s">
        <v>121</v>
      </c>
      <c r="I2430" s="206" t="s">
        <v>121</v>
      </c>
      <c r="J2430" s="206" t="s">
        <v>121</v>
      </c>
      <c r="K2430" s="206" t="s">
        <v>121</v>
      </c>
      <c r="L2430" s="206" t="str">
        <v/>
      </c>
      <c r="M2430" s="206" t="str">
        <v/>
      </c>
    </row>
    <row r="2431" spans="1:13" ht="14.4">
      <c r="A2431" s="201"/>
      <c r="B2431" s="209"/>
      <c r="C2431" s="201"/>
      <c r="D2431" s="201"/>
      <c r="E2431" s="202"/>
      <c r="F2431" s="210"/>
      <c r="G2431" s="210"/>
      <c r="H2431" s="206" t="s">
        <v>121</v>
      </c>
      <c r="I2431" s="206" t="s">
        <v>121</v>
      </c>
      <c r="J2431" s="206" t="s">
        <v>121</v>
      </c>
      <c r="K2431" s="206" t="s">
        <v>121</v>
      </c>
      <c r="L2431" s="206" t="str">
        <v/>
      </c>
      <c r="M2431" s="206" t="str">
        <v/>
      </c>
    </row>
    <row r="2432" spans="1:13" ht="14.4">
      <c r="A2432" s="201"/>
      <c r="B2432" s="209"/>
      <c r="C2432" s="201"/>
      <c r="D2432" s="201"/>
      <c r="E2432" s="202"/>
      <c r="F2432" s="210"/>
      <c r="G2432" s="210"/>
      <c r="H2432" s="206" t="s">
        <v>121</v>
      </c>
      <c r="I2432" s="206" t="s">
        <v>121</v>
      </c>
      <c r="J2432" s="206" t="s">
        <v>121</v>
      </c>
      <c r="K2432" s="206" t="s">
        <v>121</v>
      </c>
      <c r="L2432" s="206" t="str">
        <v/>
      </c>
      <c r="M2432" s="206" t="str">
        <v/>
      </c>
    </row>
    <row r="2433" spans="1:13" ht="14.4">
      <c r="A2433" s="201"/>
      <c r="B2433" s="209"/>
      <c r="C2433" s="201"/>
      <c r="D2433" s="201"/>
      <c r="E2433" s="202"/>
      <c r="F2433" s="210"/>
      <c r="G2433" s="210"/>
      <c r="H2433" s="206" t="s">
        <v>121</v>
      </c>
      <c r="I2433" s="206" t="s">
        <v>121</v>
      </c>
      <c r="J2433" s="206" t="s">
        <v>121</v>
      </c>
      <c r="K2433" s="206" t="s">
        <v>121</v>
      </c>
      <c r="L2433" s="206" t="str">
        <v/>
      </c>
      <c r="M2433" s="206" t="str">
        <v/>
      </c>
    </row>
    <row r="2434" spans="1:13" ht="14.4">
      <c r="A2434" s="201"/>
      <c r="B2434" s="209"/>
      <c r="C2434" s="201"/>
      <c r="D2434" s="201"/>
      <c r="E2434" s="202"/>
      <c r="F2434" s="210"/>
      <c r="G2434" s="210"/>
      <c r="H2434" s="206" t="s">
        <v>121</v>
      </c>
      <c r="I2434" s="206" t="s">
        <v>121</v>
      </c>
      <c r="J2434" s="206" t="s">
        <v>121</v>
      </c>
      <c r="K2434" s="206" t="s">
        <v>121</v>
      </c>
      <c r="L2434" s="206" t="str">
        <v/>
      </c>
      <c r="M2434" s="206" t="str">
        <v/>
      </c>
    </row>
    <row r="2435" spans="1:13" ht="14.4">
      <c r="A2435" s="201"/>
      <c r="B2435" s="209"/>
      <c r="C2435" s="201"/>
      <c r="D2435" s="201"/>
      <c r="E2435" s="202"/>
      <c r="F2435" s="210"/>
      <c r="G2435" s="210"/>
      <c r="H2435" s="206" t="s">
        <v>121</v>
      </c>
      <c r="I2435" s="206" t="s">
        <v>121</v>
      </c>
      <c r="J2435" s="206" t="s">
        <v>121</v>
      </c>
      <c r="K2435" s="206" t="s">
        <v>121</v>
      </c>
      <c r="L2435" s="206" t="str">
        <v/>
      </c>
      <c r="M2435" s="206" t="str">
        <v/>
      </c>
    </row>
    <row r="2436" spans="1:13" ht="14.4">
      <c r="A2436" s="201"/>
      <c r="B2436" s="209"/>
      <c r="C2436" s="201"/>
      <c r="D2436" s="201"/>
      <c r="E2436" s="202"/>
      <c r="F2436" s="210"/>
      <c r="G2436" s="210"/>
      <c r="H2436" s="206" t="s">
        <v>121</v>
      </c>
      <c r="I2436" s="206" t="s">
        <v>121</v>
      </c>
      <c r="J2436" s="206" t="s">
        <v>121</v>
      </c>
      <c r="K2436" s="206" t="s">
        <v>121</v>
      </c>
      <c r="L2436" s="206" t="str">
        <v/>
      </c>
      <c r="M2436" s="206" t="str">
        <v/>
      </c>
    </row>
    <row r="2437" spans="1:13" ht="14.4">
      <c r="A2437" s="201"/>
      <c r="B2437" s="209"/>
      <c r="C2437" s="201"/>
      <c r="D2437" s="201"/>
      <c r="E2437" s="202"/>
      <c r="F2437" s="210"/>
      <c r="G2437" s="210"/>
      <c r="H2437" s="206" t="s">
        <v>121</v>
      </c>
      <c r="I2437" s="206" t="s">
        <v>121</v>
      </c>
      <c r="J2437" s="206" t="s">
        <v>121</v>
      </c>
      <c r="K2437" s="206" t="s">
        <v>121</v>
      </c>
      <c r="L2437" s="206" t="str">
        <v/>
      </c>
      <c r="M2437" s="206" t="str">
        <v/>
      </c>
    </row>
    <row r="2438" spans="1:13" ht="14.4">
      <c r="A2438" s="201"/>
      <c r="B2438" s="209"/>
      <c r="C2438" s="201"/>
      <c r="D2438" s="201"/>
      <c r="E2438" s="202"/>
      <c r="F2438" s="210"/>
      <c r="G2438" s="210"/>
      <c r="H2438" s="206" t="s">
        <v>121</v>
      </c>
      <c r="I2438" s="206" t="s">
        <v>121</v>
      </c>
      <c r="J2438" s="206" t="s">
        <v>121</v>
      </c>
      <c r="K2438" s="206" t="s">
        <v>121</v>
      </c>
      <c r="L2438" s="206" t="str">
        <v/>
      </c>
      <c r="M2438" s="206" t="str">
        <v/>
      </c>
    </row>
    <row r="2439" spans="1:13" ht="14.4">
      <c r="A2439" s="201"/>
      <c r="B2439" s="209"/>
      <c r="C2439" s="201"/>
      <c r="D2439" s="201"/>
      <c r="E2439" s="202"/>
      <c r="F2439" s="210"/>
      <c r="G2439" s="210"/>
      <c r="H2439" s="206" t="s">
        <v>121</v>
      </c>
      <c r="I2439" s="206" t="s">
        <v>121</v>
      </c>
      <c r="J2439" s="206" t="s">
        <v>121</v>
      </c>
      <c r="K2439" s="206" t="s">
        <v>121</v>
      </c>
      <c r="L2439" s="206" t="str">
        <v/>
      </c>
      <c r="M2439" s="206" t="str">
        <v/>
      </c>
    </row>
    <row r="2440" spans="1:13" ht="14.4">
      <c r="A2440" s="201"/>
      <c r="B2440" s="209"/>
      <c r="C2440" s="201"/>
      <c r="D2440" s="201"/>
      <c r="E2440" s="202"/>
      <c r="F2440" s="210"/>
      <c r="G2440" s="210"/>
      <c r="H2440" s="206" t="s">
        <v>121</v>
      </c>
      <c r="I2440" s="206" t="s">
        <v>121</v>
      </c>
      <c r="J2440" s="206" t="s">
        <v>121</v>
      </c>
      <c r="K2440" s="206" t="s">
        <v>121</v>
      </c>
      <c r="L2440" s="206" t="str">
        <v/>
      </c>
      <c r="M2440" s="206" t="str">
        <v/>
      </c>
    </row>
    <row r="2441" spans="1:13" ht="14.4">
      <c r="A2441" s="201"/>
      <c r="B2441" s="209"/>
      <c r="C2441" s="201"/>
      <c r="D2441" s="201"/>
      <c r="E2441" s="202"/>
      <c r="F2441" s="210"/>
      <c r="G2441" s="210"/>
      <c r="H2441" s="206" t="s">
        <v>121</v>
      </c>
      <c r="I2441" s="206" t="s">
        <v>121</v>
      </c>
      <c r="J2441" s="206" t="s">
        <v>121</v>
      </c>
      <c r="K2441" s="206" t="s">
        <v>121</v>
      </c>
      <c r="L2441" s="206" t="str">
        <v/>
      </c>
      <c r="M2441" s="206" t="str">
        <v/>
      </c>
    </row>
    <row r="2442" spans="1:13" ht="14.4">
      <c r="A2442" s="201"/>
      <c r="B2442" s="209"/>
      <c r="C2442" s="201"/>
      <c r="D2442" s="201"/>
      <c r="E2442" s="202"/>
      <c r="F2442" s="210"/>
      <c r="G2442" s="210"/>
      <c r="H2442" s="206" t="s">
        <v>121</v>
      </c>
      <c r="I2442" s="206" t="s">
        <v>121</v>
      </c>
      <c r="J2442" s="206" t="s">
        <v>121</v>
      </c>
      <c r="K2442" s="206" t="s">
        <v>121</v>
      </c>
      <c r="L2442" s="206" t="str">
        <v/>
      </c>
      <c r="M2442" s="206" t="str">
        <v/>
      </c>
    </row>
    <row r="2443" spans="1:13" ht="14.4">
      <c r="A2443" s="201"/>
      <c r="B2443" s="209"/>
      <c r="C2443" s="201"/>
      <c r="D2443" s="201"/>
      <c r="E2443" s="202"/>
      <c r="F2443" s="210"/>
      <c r="G2443" s="210"/>
      <c r="H2443" s="206" t="s">
        <v>121</v>
      </c>
      <c r="I2443" s="206" t="s">
        <v>121</v>
      </c>
      <c r="J2443" s="206" t="s">
        <v>121</v>
      </c>
      <c r="K2443" s="206" t="s">
        <v>121</v>
      </c>
      <c r="L2443" s="206" t="str">
        <v/>
      </c>
      <c r="M2443" s="206" t="str">
        <v/>
      </c>
    </row>
    <row r="2444" spans="1:13" ht="14.4">
      <c r="A2444" s="201"/>
      <c r="B2444" s="209"/>
      <c r="C2444" s="201"/>
      <c r="D2444" s="201"/>
      <c r="E2444" s="202"/>
      <c r="F2444" s="210"/>
      <c r="G2444" s="210"/>
      <c r="H2444" s="206" t="s">
        <v>121</v>
      </c>
      <c r="I2444" s="206" t="s">
        <v>121</v>
      </c>
      <c r="J2444" s="206" t="s">
        <v>121</v>
      </c>
      <c r="K2444" s="206" t="s">
        <v>121</v>
      </c>
      <c r="L2444" s="206" t="str">
        <v/>
      </c>
      <c r="M2444" s="206" t="str">
        <v/>
      </c>
    </row>
    <row r="2445" spans="1:13" ht="14.4">
      <c r="A2445" s="201"/>
      <c r="B2445" s="209"/>
      <c r="C2445" s="201"/>
      <c r="D2445" s="201"/>
      <c r="E2445" s="202"/>
      <c r="F2445" s="210"/>
      <c r="G2445" s="210"/>
      <c r="H2445" s="206" t="s">
        <v>121</v>
      </c>
      <c r="I2445" s="206" t="s">
        <v>121</v>
      </c>
      <c r="J2445" s="206" t="s">
        <v>121</v>
      </c>
      <c r="K2445" s="206" t="s">
        <v>121</v>
      </c>
      <c r="L2445" s="206" t="str">
        <v/>
      </c>
      <c r="M2445" s="206" t="str">
        <v/>
      </c>
    </row>
    <row r="2446" spans="1:13" ht="14.4">
      <c r="A2446" s="201"/>
      <c r="B2446" s="209"/>
      <c r="C2446" s="201"/>
      <c r="D2446" s="201"/>
      <c r="E2446" s="202"/>
      <c r="F2446" s="210"/>
      <c r="G2446" s="210"/>
      <c r="H2446" s="206" t="s">
        <v>121</v>
      </c>
      <c r="I2446" s="206" t="s">
        <v>121</v>
      </c>
      <c r="J2446" s="206" t="s">
        <v>121</v>
      </c>
      <c r="K2446" s="206" t="s">
        <v>121</v>
      </c>
      <c r="L2446" s="206" t="str">
        <v/>
      </c>
      <c r="M2446" s="206" t="str">
        <v/>
      </c>
    </row>
    <row r="2447" spans="1:13" ht="14.4">
      <c r="A2447" s="201"/>
      <c r="B2447" s="209"/>
      <c r="C2447" s="201"/>
      <c r="D2447" s="201"/>
      <c r="E2447" s="202"/>
      <c r="F2447" s="210"/>
      <c r="G2447" s="210"/>
      <c r="H2447" s="206" t="s">
        <v>121</v>
      </c>
      <c r="I2447" s="206" t="s">
        <v>121</v>
      </c>
      <c r="J2447" s="206" t="s">
        <v>121</v>
      </c>
      <c r="K2447" s="206" t="s">
        <v>121</v>
      </c>
      <c r="L2447" s="206" t="str">
        <v/>
      </c>
      <c r="M2447" s="206" t="str">
        <v/>
      </c>
    </row>
    <row r="2448" spans="1:13" ht="14.4">
      <c r="A2448" s="201"/>
      <c r="B2448" s="209"/>
      <c r="C2448" s="201"/>
      <c r="D2448" s="201"/>
      <c r="E2448" s="202"/>
      <c r="F2448" s="210"/>
      <c r="G2448" s="210"/>
      <c r="H2448" s="206" t="s">
        <v>121</v>
      </c>
      <c r="I2448" s="206" t="s">
        <v>121</v>
      </c>
      <c r="J2448" s="206" t="s">
        <v>121</v>
      </c>
      <c r="K2448" s="206" t="s">
        <v>121</v>
      </c>
      <c r="L2448" s="206" t="str">
        <v/>
      </c>
      <c r="M2448" s="206" t="str">
        <v/>
      </c>
    </row>
    <row r="2449" spans="1:13" ht="14.4">
      <c r="A2449" s="201"/>
      <c r="B2449" s="209"/>
      <c r="C2449" s="201"/>
      <c r="D2449" s="201"/>
      <c r="E2449" s="202"/>
      <c r="F2449" s="210"/>
      <c r="G2449" s="210"/>
      <c r="H2449" s="206" t="s">
        <v>121</v>
      </c>
      <c r="I2449" s="206" t="s">
        <v>121</v>
      </c>
      <c r="J2449" s="206" t="s">
        <v>121</v>
      </c>
      <c r="K2449" s="206" t="s">
        <v>121</v>
      </c>
      <c r="L2449" s="206" t="str">
        <v/>
      </c>
      <c r="M2449" s="206" t="str">
        <v/>
      </c>
    </row>
    <row r="2450" spans="1:13" ht="14.4">
      <c r="A2450" s="201"/>
      <c r="B2450" s="209"/>
      <c r="C2450" s="201"/>
      <c r="D2450" s="201"/>
      <c r="E2450" s="202"/>
      <c r="F2450" s="210"/>
      <c r="G2450" s="210"/>
      <c r="H2450" s="206" t="s">
        <v>121</v>
      </c>
      <c r="I2450" s="206" t="s">
        <v>121</v>
      </c>
      <c r="J2450" s="206" t="s">
        <v>121</v>
      </c>
      <c r="K2450" s="206" t="s">
        <v>121</v>
      </c>
      <c r="L2450" s="206" t="str">
        <v/>
      </c>
      <c r="M2450" s="206" t="str">
        <v/>
      </c>
    </row>
    <row r="2451" spans="1:13" ht="14.4">
      <c r="A2451" s="201"/>
      <c r="B2451" s="209"/>
      <c r="C2451" s="201"/>
      <c r="D2451" s="201"/>
      <c r="E2451" s="202"/>
      <c r="F2451" s="210"/>
      <c r="G2451" s="210"/>
      <c r="H2451" s="206" t="s">
        <v>121</v>
      </c>
      <c r="I2451" s="206" t="s">
        <v>121</v>
      </c>
      <c r="J2451" s="206" t="s">
        <v>121</v>
      </c>
      <c r="K2451" s="206" t="s">
        <v>121</v>
      </c>
      <c r="L2451" s="206" t="str">
        <v/>
      </c>
      <c r="M2451" s="206" t="str">
        <v/>
      </c>
    </row>
    <row r="2452" spans="1:13" ht="14.4">
      <c r="A2452" s="201"/>
      <c r="B2452" s="209"/>
      <c r="C2452" s="201"/>
      <c r="D2452" s="201"/>
      <c r="E2452" s="202"/>
      <c r="F2452" s="210"/>
      <c r="G2452" s="210"/>
      <c r="H2452" s="206" t="s">
        <v>121</v>
      </c>
      <c r="I2452" s="206" t="s">
        <v>121</v>
      </c>
      <c r="J2452" s="206" t="s">
        <v>121</v>
      </c>
      <c r="K2452" s="206" t="s">
        <v>121</v>
      </c>
      <c r="L2452" s="206" t="str">
        <v/>
      </c>
      <c r="M2452" s="206" t="str">
        <v/>
      </c>
    </row>
    <row r="2453" spans="1:13" ht="14.4">
      <c r="A2453" s="201"/>
      <c r="B2453" s="209"/>
      <c r="C2453" s="201"/>
      <c r="D2453" s="201"/>
      <c r="E2453" s="202"/>
      <c r="F2453" s="210"/>
      <c r="G2453" s="210"/>
      <c r="H2453" s="206" t="s">
        <v>121</v>
      </c>
      <c r="I2453" s="206" t="s">
        <v>121</v>
      </c>
      <c r="J2453" s="206" t="s">
        <v>121</v>
      </c>
      <c r="K2453" s="206" t="s">
        <v>121</v>
      </c>
      <c r="L2453" s="206" t="str">
        <v/>
      </c>
      <c r="M2453" s="206" t="str">
        <v/>
      </c>
    </row>
    <row r="2454" spans="1:13" ht="14.4">
      <c r="A2454" s="201"/>
      <c r="B2454" s="209"/>
      <c r="C2454" s="201"/>
      <c r="D2454" s="201"/>
      <c r="E2454" s="202"/>
      <c r="F2454" s="210"/>
      <c r="G2454" s="210"/>
      <c r="H2454" s="206" t="s">
        <v>121</v>
      </c>
      <c r="I2454" s="206" t="s">
        <v>121</v>
      </c>
      <c r="J2454" s="206" t="s">
        <v>121</v>
      </c>
      <c r="K2454" s="206" t="s">
        <v>121</v>
      </c>
      <c r="L2454" s="206" t="str">
        <v/>
      </c>
      <c r="M2454" s="206" t="str">
        <v/>
      </c>
    </row>
    <row r="2455" spans="1:13" ht="14.4">
      <c r="A2455" s="201"/>
      <c r="B2455" s="209"/>
      <c r="C2455" s="201"/>
      <c r="D2455" s="201"/>
      <c r="E2455" s="202"/>
      <c r="F2455" s="210"/>
      <c r="G2455" s="210"/>
      <c r="H2455" s="206" t="s">
        <v>121</v>
      </c>
      <c r="I2455" s="206" t="s">
        <v>121</v>
      </c>
      <c r="J2455" s="206" t="s">
        <v>121</v>
      </c>
      <c r="K2455" s="206" t="s">
        <v>121</v>
      </c>
      <c r="L2455" s="206" t="str">
        <v/>
      </c>
      <c r="M2455" s="206" t="str">
        <v/>
      </c>
    </row>
    <row r="2456" spans="1:13" ht="14.4">
      <c r="A2456" s="201"/>
      <c r="B2456" s="209"/>
      <c r="C2456" s="201"/>
      <c r="D2456" s="201"/>
      <c r="E2456" s="202"/>
      <c r="F2456" s="210"/>
      <c r="G2456" s="210"/>
      <c r="H2456" s="206" t="s">
        <v>121</v>
      </c>
      <c r="I2456" s="206" t="s">
        <v>121</v>
      </c>
      <c r="J2456" s="206" t="s">
        <v>121</v>
      </c>
      <c r="K2456" s="206" t="s">
        <v>121</v>
      </c>
      <c r="L2456" s="206" t="str">
        <v/>
      </c>
      <c r="M2456" s="206" t="str">
        <v/>
      </c>
    </row>
    <row r="2457" spans="1:13" ht="14.4">
      <c r="A2457" s="201"/>
      <c r="B2457" s="209"/>
      <c r="C2457" s="201"/>
      <c r="D2457" s="201"/>
      <c r="E2457" s="202"/>
      <c r="F2457" s="210"/>
      <c r="G2457" s="210"/>
      <c r="H2457" s="206" t="s">
        <v>121</v>
      </c>
      <c r="I2457" s="206" t="s">
        <v>121</v>
      </c>
      <c r="J2457" s="206" t="s">
        <v>121</v>
      </c>
      <c r="K2457" s="206" t="s">
        <v>121</v>
      </c>
      <c r="L2457" s="206" t="str">
        <v/>
      </c>
      <c r="M2457" s="206" t="str">
        <v/>
      </c>
    </row>
    <row r="2458" spans="1:13" ht="14.4">
      <c r="A2458" s="201"/>
      <c r="B2458" s="209"/>
      <c r="C2458" s="201"/>
      <c r="D2458" s="201"/>
      <c r="E2458" s="202"/>
      <c r="F2458" s="210"/>
      <c r="G2458" s="210"/>
      <c r="H2458" s="206" t="s">
        <v>121</v>
      </c>
      <c r="I2458" s="206" t="s">
        <v>121</v>
      </c>
      <c r="J2458" s="206" t="s">
        <v>121</v>
      </c>
      <c r="K2458" s="206" t="s">
        <v>121</v>
      </c>
      <c r="L2458" s="206" t="str">
        <v/>
      </c>
      <c r="M2458" s="206" t="str">
        <v/>
      </c>
    </row>
    <row r="2459" spans="1:13" ht="14.4">
      <c r="A2459" s="201"/>
      <c r="B2459" s="209"/>
      <c r="C2459" s="201"/>
      <c r="D2459" s="201"/>
      <c r="E2459" s="202"/>
      <c r="F2459" s="210"/>
      <c r="G2459" s="210"/>
      <c r="H2459" s="206" t="s">
        <v>121</v>
      </c>
      <c r="I2459" s="206" t="s">
        <v>121</v>
      </c>
      <c r="J2459" s="206" t="s">
        <v>121</v>
      </c>
      <c r="K2459" s="206" t="s">
        <v>121</v>
      </c>
      <c r="L2459" s="206" t="str">
        <v/>
      </c>
      <c r="M2459" s="206" t="str">
        <v/>
      </c>
    </row>
    <row r="2460" spans="1:13" ht="14.4">
      <c r="A2460" s="201"/>
      <c r="B2460" s="209"/>
      <c r="C2460" s="201"/>
      <c r="D2460" s="201"/>
      <c r="E2460" s="202"/>
      <c r="F2460" s="210"/>
      <c r="G2460" s="210"/>
      <c r="H2460" s="206" t="s">
        <v>121</v>
      </c>
      <c r="I2460" s="206" t="s">
        <v>121</v>
      </c>
      <c r="J2460" s="206" t="s">
        <v>121</v>
      </c>
      <c r="K2460" s="206" t="s">
        <v>121</v>
      </c>
      <c r="L2460" s="206" t="str">
        <v/>
      </c>
      <c r="M2460" s="206" t="str">
        <v/>
      </c>
    </row>
    <row r="2461" spans="1:13" ht="14.4">
      <c r="A2461" s="201"/>
      <c r="B2461" s="209"/>
      <c r="C2461" s="201"/>
      <c r="D2461" s="201"/>
      <c r="E2461" s="202"/>
      <c r="F2461" s="210"/>
      <c r="G2461" s="210"/>
      <c r="H2461" s="206" t="s">
        <v>121</v>
      </c>
      <c r="I2461" s="206" t="s">
        <v>121</v>
      </c>
      <c r="J2461" s="206" t="s">
        <v>121</v>
      </c>
      <c r="K2461" s="206" t="s">
        <v>121</v>
      </c>
      <c r="L2461" s="206" t="str">
        <v/>
      </c>
      <c r="M2461" s="206" t="str">
        <v/>
      </c>
    </row>
    <row r="2462" spans="1:13" ht="14.4">
      <c r="A2462" s="201"/>
      <c r="B2462" s="209"/>
      <c r="C2462" s="201"/>
      <c r="D2462" s="201"/>
      <c r="E2462" s="202"/>
      <c r="F2462" s="210"/>
      <c r="G2462" s="210"/>
      <c r="H2462" s="206" t="s">
        <v>121</v>
      </c>
      <c r="I2462" s="206" t="s">
        <v>121</v>
      </c>
      <c r="J2462" s="206" t="s">
        <v>121</v>
      </c>
      <c r="K2462" s="206" t="s">
        <v>121</v>
      </c>
      <c r="L2462" s="206" t="str">
        <v/>
      </c>
      <c r="M2462" s="206" t="str">
        <v/>
      </c>
    </row>
    <row r="2463" spans="1:13" ht="14.4">
      <c r="A2463" s="201"/>
      <c r="B2463" s="209"/>
      <c r="C2463" s="201"/>
      <c r="D2463" s="201"/>
      <c r="E2463" s="202"/>
      <c r="F2463" s="210"/>
      <c r="G2463" s="210"/>
      <c r="H2463" s="206" t="s">
        <v>121</v>
      </c>
      <c r="I2463" s="206" t="s">
        <v>121</v>
      </c>
      <c r="J2463" s="206" t="s">
        <v>121</v>
      </c>
      <c r="K2463" s="206" t="s">
        <v>121</v>
      </c>
      <c r="L2463" s="206" t="str">
        <v/>
      </c>
      <c r="M2463" s="206" t="str">
        <v/>
      </c>
    </row>
    <row r="2464" spans="1:13" ht="14.4">
      <c r="A2464" s="201"/>
      <c r="B2464" s="209"/>
      <c r="C2464" s="201"/>
      <c r="D2464" s="201"/>
      <c r="E2464" s="202"/>
      <c r="F2464" s="210"/>
      <c r="G2464" s="210"/>
      <c r="H2464" s="206" t="s">
        <v>121</v>
      </c>
      <c r="I2464" s="206" t="s">
        <v>121</v>
      </c>
      <c r="J2464" s="206" t="s">
        <v>121</v>
      </c>
      <c r="K2464" s="206" t="s">
        <v>121</v>
      </c>
      <c r="L2464" s="206" t="str">
        <v/>
      </c>
      <c r="M2464" s="206" t="str">
        <v/>
      </c>
    </row>
    <row r="2465" spans="1:13" ht="14.4">
      <c r="A2465" s="201"/>
      <c r="B2465" s="209"/>
      <c r="C2465" s="201"/>
      <c r="D2465" s="201"/>
      <c r="E2465" s="202"/>
      <c r="F2465" s="210"/>
      <c r="G2465" s="210"/>
      <c r="H2465" s="206" t="s">
        <v>121</v>
      </c>
      <c r="I2465" s="206" t="s">
        <v>121</v>
      </c>
      <c r="J2465" s="206" t="s">
        <v>121</v>
      </c>
      <c r="K2465" s="206" t="s">
        <v>121</v>
      </c>
      <c r="L2465" s="206" t="str">
        <v/>
      </c>
      <c r="M2465" s="206" t="str">
        <v/>
      </c>
    </row>
    <row r="2466" spans="1:13" ht="14.4">
      <c r="A2466" s="201"/>
      <c r="B2466" s="209"/>
      <c r="C2466" s="201"/>
      <c r="D2466" s="201"/>
      <c r="E2466" s="202"/>
      <c r="F2466" s="210"/>
      <c r="G2466" s="210"/>
      <c r="H2466" s="206" t="s">
        <v>121</v>
      </c>
      <c r="I2466" s="206" t="s">
        <v>121</v>
      </c>
      <c r="J2466" s="206" t="s">
        <v>121</v>
      </c>
      <c r="K2466" s="206" t="s">
        <v>121</v>
      </c>
      <c r="L2466" s="206" t="str">
        <v/>
      </c>
      <c r="M2466" s="206" t="str">
        <v/>
      </c>
    </row>
    <row r="2467" spans="1:13" ht="14.4">
      <c r="A2467" s="201"/>
      <c r="B2467" s="209"/>
      <c r="C2467" s="201"/>
      <c r="D2467" s="201"/>
      <c r="E2467" s="202"/>
      <c r="F2467" s="210"/>
      <c r="G2467" s="210"/>
      <c r="H2467" s="206" t="s">
        <v>121</v>
      </c>
      <c r="I2467" s="206" t="s">
        <v>121</v>
      </c>
      <c r="J2467" s="206" t="s">
        <v>121</v>
      </c>
      <c r="K2467" s="206" t="s">
        <v>121</v>
      </c>
      <c r="L2467" s="206" t="str">
        <v/>
      </c>
      <c r="M2467" s="206" t="str">
        <v/>
      </c>
    </row>
    <row r="2468" spans="1:13" ht="14.4">
      <c r="A2468" s="201"/>
      <c r="B2468" s="209"/>
      <c r="C2468" s="201"/>
      <c r="D2468" s="201"/>
      <c r="E2468" s="202"/>
      <c r="F2468" s="210"/>
      <c r="G2468" s="210"/>
      <c r="H2468" s="206" t="s">
        <v>121</v>
      </c>
      <c r="I2468" s="206" t="s">
        <v>121</v>
      </c>
      <c r="J2468" s="206" t="s">
        <v>121</v>
      </c>
      <c r="K2468" s="206" t="s">
        <v>121</v>
      </c>
      <c r="L2468" s="206" t="str">
        <v/>
      </c>
      <c r="M2468" s="206" t="str">
        <v/>
      </c>
    </row>
    <row r="2469" spans="1:13" ht="14.4">
      <c r="A2469" s="201"/>
      <c r="B2469" s="209"/>
      <c r="C2469" s="201"/>
      <c r="D2469" s="201"/>
      <c r="E2469" s="202"/>
      <c r="F2469" s="210"/>
      <c r="G2469" s="210"/>
      <c r="H2469" s="206" t="s">
        <v>121</v>
      </c>
      <c r="I2469" s="206" t="s">
        <v>121</v>
      </c>
      <c r="J2469" s="206" t="s">
        <v>121</v>
      </c>
      <c r="K2469" s="206" t="s">
        <v>121</v>
      </c>
      <c r="L2469" s="206" t="str">
        <v/>
      </c>
      <c r="M2469" s="206" t="str">
        <v/>
      </c>
    </row>
    <row r="2470" spans="1:13" ht="14.4">
      <c r="A2470" s="201"/>
      <c r="B2470" s="209"/>
      <c r="C2470" s="201"/>
      <c r="D2470" s="201"/>
      <c r="E2470" s="202"/>
      <c r="F2470" s="210"/>
      <c r="G2470" s="210"/>
      <c r="H2470" s="206" t="s">
        <v>121</v>
      </c>
      <c r="I2470" s="206" t="s">
        <v>121</v>
      </c>
      <c r="J2470" s="206" t="s">
        <v>121</v>
      </c>
      <c r="K2470" s="206" t="s">
        <v>121</v>
      </c>
      <c r="L2470" s="206" t="str">
        <v/>
      </c>
      <c r="M2470" s="206" t="str">
        <v/>
      </c>
    </row>
    <row r="2471" spans="1:13" ht="14.4">
      <c r="A2471" s="201"/>
      <c r="B2471" s="209"/>
      <c r="C2471" s="201"/>
      <c r="D2471" s="201"/>
      <c r="E2471" s="202"/>
      <c r="F2471" s="210"/>
      <c r="G2471" s="210"/>
      <c r="H2471" s="206" t="s">
        <v>121</v>
      </c>
      <c r="I2471" s="206" t="s">
        <v>121</v>
      </c>
      <c r="J2471" s="206" t="s">
        <v>121</v>
      </c>
      <c r="K2471" s="206" t="s">
        <v>121</v>
      </c>
      <c r="L2471" s="206" t="str">
        <v/>
      </c>
      <c r="M2471" s="206" t="str">
        <v/>
      </c>
    </row>
    <row r="2472" spans="1:13" ht="14.4">
      <c r="A2472" s="201"/>
      <c r="B2472" s="209"/>
      <c r="C2472" s="201"/>
      <c r="D2472" s="201"/>
      <c r="E2472" s="202"/>
      <c r="F2472" s="210"/>
      <c r="G2472" s="210"/>
      <c r="H2472" s="206" t="s">
        <v>121</v>
      </c>
      <c r="I2472" s="206" t="s">
        <v>121</v>
      </c>
      <c r="J2472" s="206" t="s">
        <v>121</v>
      </c>
      <c r="K2472" s="206" t="s">
        <v>121</v>
      </c>
      <c r="L2472" s="206" t="str">
        <v/>
      </c>
      <c r="M2472" s="206" t="str">
        <v/>
      </c>
    </row>
    <row r="2473" spans="1:13" ht="14.4">
      <c r="A2473" s="201"/>
      <c r="B2473" s="209"/>
      <c r="C2473" s="201"/>
      <c r="D2473" s="201"/>
      <c r="E2473" s="202"/>
      <c r="F2473" s="210"/>
      <c r="G2473" s="210"/>
      <c r="H2473" s="206" t="s">
        <v>121</v>
      </c>
      <c r="I2473" s="206" t="s">
        <v>121</v>
      </c>
      <c r="J2473" s="206" t="s">
        <v>121</v>
      </c>
      <c r="K2473" s="206" t="s">
        <v>121</v>
      </c>
      <c r="L2473" s="206" t="str">
        <v/>
      </c>
      <c r="M2473" s="206" t="str">
        <v/>
      </c>
    </row>
    <row r="2474" spans="1:13" ht="14.4">
      <c r="A2474" s="201"/>
      <c r="B2474" s="209"/>
      <c r="C2474" s="201"/>
      <c r="D2474" s="201"/>
      <c r="E2474" s="202"/>
      <c r="F2474" s="210"/>
      <c r="G2474" s="210"/>
      <c r="H2474" s="206" t="s">
        <v>121</v>
      </c>
      <c r="I2474" s="206" t="s">
        <v>121</v>
      </c>
      <c r="J2474" s="206" t="s">
        <v>121</v>
      </c>
      <c r="K2474" s="206" t="s">
        <v>121</v>
      </c>
      <c r="L2474" s="206" t="str">
        <v/>
      </c>
      <c r="M2474" s="206" t="str">
        <v/>
      </c>
    </row>
    <row r="2475" spans="1:13" ht="14.4">
      <c r="A2475" s="201"/>
      <c r="B2475" s="209"/>
      <c r="C2475" s="201"/>
      <c r="D2475" s="201"/>
      <c r="E2475" s="202"/>
      <c r="F2475" s="210"/>
      <c r="G2475" s="210"/>
      <c r="H2475" s="206" t="s">
        <v>121</v>
      </c>
      <c r="I2475" s="206" t="s">
        <v>121</v>
      </c>
      <c r="J2475" s="206" t="s">
        <v>121</v>
      </c>
      <c r="K2475" s="206" t="s">
        <v>121</v>
      </c>
      <c r="L2475" s="206" t="str">
        <v/>
      </c>
      <c r="M2475" s="206" t="str">
        <v/>
      </c>
    </row>
    <row r="2476" spans="1:13" ht="14.4">
      <c r="A2476" s="201"/>
      <c r="B2476" s="209"/>
      <c r="C2476" s="201"/>
      <c r="D2476" s="201"/>
      <c r="E2476" s="202"/>
      <c r="F2476" s="210"/>
      <c r="G2476" s="210"/>
      <c r="H2476" s="206" t="s">
        <v>121</v>
      </c>
      <c r="I2476" s="206" t="s">
        <v>121</v>
      </c>
      <c r="J2476" s="206" t="s">
        <v>121</v>
      </c>
      <c r="K2476" s="206" t="s">
        <v>121</v>
      </c>
      <c r="L2476" s="206" t="str">
        <v/>
      </c>
      <c r="M2476" s="206" t="str">
        <v/>
      </c>
    </row>
    <row r="2477" spans="1:13" ht="14.4">
      <c r="A2477" s="201"/>
      <c r="B2477" s="209"/>
      <c r="C2477" s="201"/>
      <c r="D2477" s="201"/>
      <c r="E2477" s="202"/>
      <c r="F2477" s="210"/>
      <c r="G2477" s="210"/>
      <c r="H2477" s="206" t="s">
        <v>121</v>
      </c>
      <c r="I2477" s="206" t="s">
        <v>121</v>
      </c>
      <c r="J2477" s="206" t="s">
        <v>121</v>
      </c>
      <c r="K2477" s="206" t="s">
        <v>121</v>
      </c>
      <c r="L2477" s="206" t="str">
        <v/>
      </c>
      <c r="M2477" s="206" t="str">
        <v/>
      </c>
    </row>
    <row r="2478" spans="1:13" ht="14.4">
      <c r="A2478" s="201"/>
      <c r="B2478" s="209"/>
      <c r="C2478" s="201"/>
      <c r="D2478" s="201"/>
      <c r="E2478" s="202"/>
      <c r="F2478" s="210"/>
      <c r="G2478" s="210"/>
      <c r="H2478" s="206" t="s">
        <v>121</v>
      </c>
      <c r="I2478" s="206" t="s">
        <v>121</v>
      </c>
      <c r="J2478" s="206" t="s">
        <v>121</v>
      </c>
      <c r="K2478" s="206" t="s">
        <v>121</v>
      </c>
      <c r="L2478" s="206" t="str">
        <v/>
      </c>
      <c r="M2478" s="206" t="str">
        <v/>
      </c>
    </row>
    <row r="2479" spans="1:13" ht="14.4">
      <c r="A2479" s="201"/>
      <c r="B2479" s="209"/>
      <c r="C2479" s="201"/>
      <c r="D2479" s="201"/>
      <c r="E2479" s="202"/>
      <c r="F2479" s="210"/>
      <c r="G2479" s="210"/>
      <c r="H2479" s="206" t="s">
        <v>121</v>
      </c>
      <c r="I2479" s="206" t="s">
        <v>121</v>
      </c>
      <c r="J2479" s="206" t="s">
        <v>121</v>
      </c>
      <c r="K2479" s="206" t="s">
        <v>121</v>
      </c>
      <c r="L2479" s="206" t="str">
        <v/>
      </c>
      <c r="M2479" s="206" t="str">
        <v/>
      </c>
    </row>
    <row r="2480" spans="1:13" ht="14.4">
      <c r="A2480" s="201"/>
      <c r="B2480" s="209"/>
      <c r="C2480" s="201"/>
      <c r="D2480" s="201"/>
      <c r="E2480" s="202"/>
      <c r="F2480" s="210"/>
      <c r="G2480" s="210"/>
      <c r="H2480" s="206" t="s">
        <v>121</v>
      </c>
      <c r="I2480" s="206" t="s">
        <v>121</v>
      </c>
      <c r="J2480" s="206" t="s">
        <v>121</v>
      </c>
      <c r="K2480" s="206" t="s">
        <v>121</v>
      </c>
      <c r="L2480" s="206" t="str">
        <v/>
      </c>
      <c r="M2480" s="206" t="str">
        <v/>
      </c>
    </row>
    <row r="2481" spans="1:13" ht="14.4">
      <c r="A2481" s="201"/>
      <c r="B2481" s="209"/>
      <c r="C2481" s="201"/>
      <c r="D2481" s="201"/>
      <c r="E2481" s="202"/>
      <c r="F2481" s="210"/>
      <c r="G2481" s="210"/>
      <c r="H2481" s="206" t="s">
        <v>121</v>
      </c>
      <c r="I2481" s="206" t="s">
        <v>121</v>
      </c>
      <c r="J2481" s="206" t="s">
        <v>121</v>
      </c>
      <c r="K2481" s="206" t="s">
        <v>121</v>
      </c>
      <c r="L2481" s="206" t="str">
        <v/>
      </c>
      <c r="M2481" s="206" t="str">
        <v/>
      </c>
    </row>
    <row r="2482" spans="1:13" ht="14.4">
      <c r="A2482" s="201"/>
      <c r="B2482" s="209"/>
      <c r="C2482" s="201"/>
      <c r="D2482" s="201"/>
      <c r="E2482" s="202"/>
      <c r="F2482" s="210"/>
      <c r="G2482" s="210"/>
      <c r="H2482" s="206" t="s">
        <v>121</v>
      </c>
      <c r="I2482" s="206" t="s">
        <v>121</v>
      </c>
      <c r="J2482" s="206" t="s">
        <v>121</v>
      </c>
      <c r="K2482" s="206" t="s">
        <v>121</v>
      </c>
      <c r="L2482" s="206" t="str">
        <v/>
      </c>
      <c r="M2482" s="206" t="str">
        <v/>
      </c>
    </row>
    <row r="2483" spans="1:13" ht="14.4">
      <c r="A2483" s="201"/>
      <c r="B2483" s="209"/>
      <c r="C2483" s="201"/>
      <c r="D2483" s="201"/>
      <c r="E2483" s="202"/>
      <c r="F2483" s="210"/>
      <c r="G2483" s="210"/>
      <c r="H2483" s="206" t="s">
        <v>121</v>
      </c>
      <c r="I2483" s="206" t="s">
        <v>121</v>
      </c>
      <c r="J2483" s="206" t="s">
        <v>121</v>
      </c>
      <c r="K2483" s="206" t="s">
        <v>121</v>
      </c>
      <c r="L2483" s="206" t="str">
        <v/>
      </c>
      <c r="M2483" s="206" t="str">
        <v/>
      </c>
    </row>
    <row r="2484" spans="1:13" ht="14.4">
      <c r="A2484" s="201"/>
      <c r="B2484" s="209"/>
      <c r="C2484" s="201"/>
      <c r="D2484" s="201"/>
      <c r="E2484" s="202"/>
      <c r="F2484" s="210"/>
      <c r="G2484" s="210"/>
      <c r="H2484" s="206" t="s">
        <v>121</v>
      </c>
      <c r="I2484" s="206" t="s">
        <v>121</v>
      </c>
      <c r="J2484" s="206" t="s">
        <v>121</v>
      </c>
      <c r="K2484" s="206" t="s">
        <v>121</v>
      </c>
      <c r="L2484" s="206" t="str">
        <v/>
      </c>
      <c r="M2484" s="206" t="str">
        <v/>
      </c>
    </row>
    <row r="2485" spans="1:13" ht="14.4">
      <c r="A2485" s="201"/>
      <c r="B2485" s="209"/>
      <c r="C2485" s="201"/>
      <c r="D2485" s="201"/>
      <c r="E2485" s="202"/>
      <c r="F2485" s="210"/>
      <c r="G2485" s="210"/>
      <c r="H2485" s="206" t="s">
        <v>121</v>
      </c>
      <c r="I2485" s="206" t="s">
        <v>121</v>
      </c>
      <c r="J2485" s="206" t="s">
        <v>121</v>
      </c>
      <c r="K2485" s="206" t="s">
        <v>121</v>
      </c>
      <c r="L2485" s="206" t="str">
        <v/>
      </c>
      <c r="M2485" s="206" t="str">
        <v/>
      </c>
    </row>
    <row r="2486" spans="1:13" ht="14.4">
      <c r="A2486" s="201"/>
      <c r="B2486" s="209"/>
      <c r="C2486" s="201"/>
      <c r="D2486" s="201"/>
      <c r="E2486" s="202"/>
      <c r="F2486" s="210"/>
      <c r="G2486" s="210"/>
      <c r="H2486" s="206" t="s">
        <v>121</v>
      </c>
      <c r="I2486" s="206" t="s">
        <v>121</v>
      </c>
      <c r="J2486" s="206" t="s">
        <v>121</v>
      </c>
      <c r="K2486" s="206" t="s">
        <v>121</v>
      </c>
      <c r="L2486" s="206" t="str">
        <v/>
      </c>
      <c r="M2486" s="206" t="str">
        <v/>
      </c>
    </row>
    <row r="2487" spans="1:13" ht="14.4">
      <c r="A2487" s="201"/>
      <c r="B2487" s="209"/>
      <c r="C2487" s="201"/>
      <c r="D2487" s="201"/>
      <c r="E2487" s="202"/>
      <c r="F2487" s="210"/>
      <c r="G2487" s="210"/>
      <c r="H2487" s="206" t="s">
        <v>121</v>
      </c>
      <c r="I2487" s="206" t="s">
        <v>121</v>
      </c>
      <c r="J2487" s="206" t="s">
        <v>121</v>
      </c>
      <c r="K2487" s="206" t="s">
        <v>121</v>
      </c>
      <c r="L2487" s="206" t="str">
        <v/>
      </c>
      <c r="M2487" s="206" t="str">
        <v/>
      </c>
    </row>
    <row r="2488" spans="1:13" ht="14.4">
      <c r="A2488" s="201"/>
      <c r="B2488" s="209"/>
      <c r="C2488" s="201"/>
      <c r="D2488" s="201"/>
      <c r="E2488" s="202"/>
      <c r="F2488" s="210"/>
      <c r="G2488" s="210"/>
      <c r="H2488" s="206" t="s">
        <v>121</v>
      </c>
      <c r="I2488" s="206" t="s">
        <v>121</v>
      </c>
      <c r="J2488" s="206" t="s">
        <v>121</v>
      </c>
      <c r="K2488" s="206" t="s">
        <v>121</v>
      </c>
      <c r="L2488" s="206" t="str">
        <v/>
      </c>
      <c r="M2488" s="206" t="str">
        <v/>
      </c>
    </row>
    <row r="2489" spans="1:13" ht="14.4">
      <c r="A2489" s="201"/>
      <c r="B2489" s="209"/>
      <c r="C2489" s="201"/>
      <c r="D2489" s="201"/>
      <c r="E2489" s="202"/>
      <c r="F2489" s="210"/>
      <c r="G2489" s="210"/>
      <c r="H2489" s="206" t="s">
        <v>121</v>
      </c>
      <c r="I2489" s="206" t="s">
        <v>121</v>
      </c>
      <c r="J2489" s="206" t="s">
        <v>121</v>
      </c>
      <c r="K2489" s="206" t="s">
        <v>121</v>
      </c>
      <c r="L2489" s="206" t="str">
        <v/>
      </c>
      <c r="M2489" s="206" t="str">
        <v/>
      </c>
    </row>
    <row r="2490" spans="1:13" ht="14.4">
      <c r="A2490" s="201"/>
      <c r="B2490" s="209"/>
      <c r="C2490" s="201"/>
      <c r="D2490" s="201"/>
      <c r="E2490" s="202"/>
      <c r="F2490" s="210"/>
      <c r="G2490" s="210"/>
      <c r="H2490" s="206" t="s">
        <v>121</v>
      </c>
      <c r="I2490" s="206" t="s">
        <v>121</v>
      </c>
      <c r="J2490" s="206" t="s">
        <v>121</v>
      </c>
      <c r="K2490" s="206" t="s">
        <v>121</v>
      </c>
      <c r="L2490" s="206" t="str">
        <v/>
      </c>
      <c r="M2490" s="206" t="str">
        <v/>
      </c>
    </row>
    <row r="2491" spans="1:13" ht="14.4">
      <c r="A2491" s="201"/>
      <c r="B2491" s="209"/>
      <c r="C2491" s="201"/>
      <c r="D2491" s="201"/>
      <c r="E2491" s="202"/>
      <c r="F2491" s="210"/>
      <c r="G2491" s="210"/>
      <c r="H2491" s="206" t="s">
        <v>121</v>
      </c>
      <c r="I2491" s="206" t="s">
        <v>121</v>
      </c>
      <c r="J2491" s="206" t="s">
        <v>121</v>
      </c>
      <c r="K2491" s="206" t="s">
        <v>121</v>
      </c>
      <c r="L2491" s="206" t="str">
        <v/>
      </c>
      <c r="M2491" s="206" t="str">
        <v/>
      </c>
    </row>
    <row r="2492" spans="1:13" ht="14.4">
      <c r="A2492" s="201"/>
      <c r="B2492" s="209"/>
      <c r="C2492" s="201"/>
      <c r="D2492" s="201"/>
      <c r="E2492" s="202"/>
      <c r="F2492" s="210"/>
      <c r="G2492" s="210"/>
      <c r="H2492" s="206" t="s">
        <v>121</v>
      </c>
      <c r="I2492" s="206" t="s">
        <v>121</v>
      </c>
      <c r="J2492" s="206" t="s">
        <v>121</v>
      </c>
      <c r="K2492" s="206" t="s">
        <v>121</v>
      </c>
      <c r="L2492" s="206" t="str">
        <v/>
      </c>
      <c r="M2492" s="206" t="str">
        <v/>
      </c>
    </row>
    <row r="2493" spans="1:13" ht="14.4">
      <c r="A2493" s="201"/>
      <c r="B2493" s="209"/>
      <c r="C2493" s="201"/>
      <c r="D2493" s="201"/>
      <c r="E2493" s="202"/>
      <c r="F2493" s="210"/>
      <c r="G2493" s="210"/>
      <c r="H2493" s="206" t="s">
        <v>121</v>
      </c>
      <c r="I2493" s="206" t="s">
        <v>121</v>
      </c>
      <c r="J2493" s="206" t="s">
        <v>121</v>
      </c>
      <c r="K2493" s="206" t="s">
        <v>121</v>
      </c>
      <c r="L2493" s="206" t="str">
        <v/>
      </c>
      <c r="M2493" s="206" t="str">
        <v/>
      </c>
    </row>
    <row r="2494" spans="1:13" ht="14.4">
      <c r="A2494" s="201"/>
      <c r="B2494" s="209"/>
      <c r="C2494" s="201"/>
      <c r="D2494" s="201"/>
      <c r="E2494" s="202"/>
      <c r="F2494" s="210"/>
      <c r="G2494" s="210"/>
      <c r="H2494" s="206" t="s">
        <v>121</v>
      </c>
      <c r="I2494" s="206" t="s">
        <v>121</v>
      </c>
      <c r="J2494" s="206" t="s">
        <v>121</v>
      </c>
      <c r="K2494" s="206" t="s">
        <v>121</v>
      </c>
      <c r="L2494" s="206" t="str">
        <v/>
      </c>
      <c r="M2494" s="206" t="str">
        <v/>
      </c>
    </row>
    <row r="2495" spans="1:13" ht="14.4">
      <c r="A2495" s="201"/>
      <c r="B2495" s="209"/>
      <c r="C2495" s="201"/>
      <c r="D2495" s="201"/>
      <c r="E2495" s="202"/>
      <c r="F2495" s="210"/>
      <c r="G2495" s="210"/>
      <c r="H2495" s="206" t="s">
        <v>121</v>
      </c>
      <c r="I2495" s="206" t="s">
        <v>121</v>
      </c>
      <c r="J2495" s="206" t="s">
        <v>121</v>
      </c>
      <c r="K2495" s="206" t="s">
        <v>121</v>
      </c>
      <c r="L2495" s="206" t="str">
        <v/>
      </c>
      <c r="M2495" s="206" t="str">
        <v/>
      </c>
    </row>
    <row r="2496" spans="1:13" ht="14.4">
      <c r="A2496" s="201"/>
      <c r="B2496" s="209"/>
      <c r="C2496" s="201"/>
      <c r="D2496" s="201"/>
      <c r="E2496" s="202"/>
      <c r="F2496" s="210"/>
      <c r="G2496" s="210"/>
      <c r="H2496" s="206" t="s">
        <v>121</v>
      </c>
      <c r="I2496" s="206" t="s">
        <v>121</v>
      </c>
      <c r="J2496" s="206" t="s">
        <v>121</v>
      </c>
      <c r="K2496" s="206" t="s">
        <v>121</v>
      </c>
      <c r="L2496" s="206" t="str">
        <v/>
      </c>
      <c r="M2496" s="206" t="str">
        <v/>
      </c>
    </row>
    <row r="2497" spans="1:13" ht="14.4">
      <c r="A2497" s="201"/>
      <c r="B2497" s="209"/>
      <c r="C2497" s="201"/>
      <c r="D2497" s="201"/>
      <c r="E2497" s="202"/>
      <c r="F2497" s="210"/>
      <c r="G2497" s="210"/>
      <c r="H2497" s="206" t="s">
        <v>121</v>
      </c>
      <c r="I2497" s="206" t="s">
        <v>121</v>
      </c>
      <c r="J2497" s="206" t="s">
        <v>121</v>
      </c>
      <c r="K2497" s="206" t="s">
        <v>121</v>
      </c>
      <c r="L2497" s="206" t="str">
        <v/>
      </c>
      <c r="M2497" s="206" t="str">
        <v/>
      </c>
    </row>
    <row r="2498" spans="1:13" ht="14.4">
      <c r="A2498" s="201"/>
      <c r="B2498" s="209"/>
      <c r="C2498" s="201"/>
      <c r="D2498" s="201"/>
      <c r="E2498" s="202"/>
      <c r="F2498" s="210"/>
      <c r="G2498" s="210"/>
      <c r="H2498" s="206" t="s">
        <v>121</v>
      </c>
      <c r="I2498" s="206" t="s">
        <v>121</v>
      </c>
      <c r="J2498" s="206" t="s">
        <v>121</v>
      </c>
      <c r="K2498" s="206" t="s">
        <v>121</v>
      </c>
      <c r="L2498" s="206" t="str">
        <v/>
      </c>
      <c r="M2498" s="206" t="str">
        <v/>
      </c>
    </row>
    <row r="2499" spans="1:13" ht="14.4">
      <c r="A2499" s="201"/>
      <c r="B2499" s="209"/>
      <c r="C2499" s="201"/>
      <c r="D2499" s="201"/>
      <c r="E2499" s="202"/>
      <c r="F2499" s="210"/>
      <c r="G2499" s="210"/>
      <c r="H2499" s="206" t="s">
        <v>121</v>
      </c>
      <c r="I2499" s="206" t="s">
        <v>121</v>
      </c>
      <c r="J2499" s="206" t="s">
        <v>121</v>
      </c>
      <c r="K2499" s="206" t="s">
        <v>121</v>
      </c>
      <c r="L2499" s="206" t="str">
        <v/>
      </c>
      <c r="M2499" s="206" t="str">
        <v/>
      </c>
    </row>
    <row r="2500" spans="1:13" ht="14.4">
      <c r="A2500" s="201"/>
      <c r="B2500" s="209"/>
      <c r="C2500" s="201"/>
      <c r="D2500" s="201"/>
      <c r="E2500" s="202"/>
      <c r="F2500" s="210"/>
      <c r="G2500" s="210"/>
      <c r="H2500" s="206" t="s">
        <v>121</v>
      </c>
      <c r="I2500" s="206" t="s">
        <v>121</v>
      </c>
      <c r="J2500" s="206" t="s">
        <v>121</v>
      </c>
      <c r="K2500" s="206" t="s">
        <v>121</v>
      </c>
      <c r="L2500" s="206" t="str">
        <v/>
      </c>
      <c r="M2500" s="206" t="str">
        <v/>
      </c>
    </row>
    <row r="2501" spans="1:13" ht="14.4">
      <c r="A2501" s="201"/>
      <c r="B2501" s="209"/>
      <c r="C2501" s="201"/>
      <c r="D2501" s="201"/>
      <c r="E2501" s="202"/>
      <c r="F2501" s="210"/>
      <c r="G2501" s="210"/>
      <c r="H2501" s="206" t="s">
        <v>121</v>
      </c>
      <c r="I2501" s="206" t="s">
        <v>121</v>
      </c>
      <c r="J2501" s="206" t="s">
        <v>121</v>
      </c>
      <c r="K2501" s="206" t="s">
        <v>121</v>
      </c>
      <c r="L2501" s="206" t="str">
        <v/>
      </c>
      <c r="M2501" s="206" t="str">
        <v/>
      </c>
    </row>
    <row r="2502" spans="1:13" ht="14.4">
      <c r="A2502" s="201"/>
      <c r="B2502" s="209"/>
      <c r="C2502" s="201"/>
      <c r="D2502" s="201"/>
      <c r="E2502" s="202"/>
      <c r="F2502" s="210"/>
      <c r="G2502" s="210"/>
      <c r="H2502" s="206" t="s">
        <v>121</v>
      </c>
      <c r="I2502" s="206" t="s">
        <v>121</v>
      </c>
      <c r="J2502" s="206" t="s">
        <v>121</v>
      </c>
      <c r="K2502" s="206" t="s">
        <v>121</v>
      </c>
      <c r="L2502" s="206" t="str">
        <v/>
      </c>
      <c r="M2502" s="206" t="str">
        <v/>
      </c>
    </row>
    <row r="2503" spans="1:13" ht="14.4">
      <c r="A2503" s="201"/>
      <c r="B2503" s="209"/>
      <c r="C2503" s="201"/>
      <c r="D2503" s="201"/>
      <c r="E2503" s="202"/>
      <c r="F2503" s="210"/>
      <c r="G2503" s="210"/>
      <c r="H2503" s="206" t="s">
        <v>121</v>
      </c>
      <c r="I2503" s="206" t="s">
        <v>121</v>
      </c>
      <c r="J2503" s="206" t="s">
        <v>121</v>
      </c>
      <c r="K2503" s="206" t="s">
        <v>121</v>
      </c>
      <c r="L2503" s="206" t="str">
        <v/>
      </c>
      <c r="M2503" s="206" t="str">
        <v/>
      </c>
    </row>
    <row r="2504" spans="1:13" ht="14.4">
      <c r="A2504" s="201"/>
      <c r="B2504" s="209"/>
      <c r="C2504" s="201"/>
      <c r="D2504" s="201"/>
      <c r="E2504" s="202"/>
      <c r="F2504" s="210"/>
      <c r="G2504" s="210"/>
      <c r="H2504" s="206" t="s">
        <v>121</v>
      </c>
      <c r="I2504" s="206" t="s">
        <v>121</v>
      </c>
      <c r="J2504" s="206" t="s">
        <v>121</v>
      </c>
      <c r="K2504" s="206" t="s">
        <v>121</v>
      </c>
      <c r="L2504" s="206" t="str">
        <v/>
      </c>
      <c r="M2504" s="206" t="str">
        <v/>
      </c>
    </row>
    <row r="2505" spans="1:13" ht="14.4">
      <c r="A2505" s="201"/>
      <c r="B2505" s="209"/>
      <c r="C2505" s="201"/>
      <c r="D2505" s="201"/>
      <c r="E2505" s="202"/>
      <c r="F2505" s="210"/>
      <c r="G2505" s="210"/>
      <c r="H2505" s="206" t="s">
        <v>121</v>
      </c>
      <c r="I2505" s="206" t="s">
        <v>121</v>
      </c>
      <c r="J2505" s="206" t="s">
        <v>121</v>
      </c>
      <c r="K2505" s="206" t="s">
        <v>121</v>
      </c>
      <c r="L2505" s="206" t="str">
        <v/>
      </c>
      <c r="M2505" s="206" t="str">
        <v/>
      </c>
    </row>
    <row r="2506" spans="1:13" ht="14.4">
      <c r="A2506" s="201"/>
      <c r="B2506" s="209"/>
      <c r="C2506" s="201"/>
      <c r="D2506" s="201"/>
      <c r="E2506" s="202"/>
      <c r="F2506" s="210"/>
      <c r="G2506" s="210"/>
      <c r="H2506" s="206" t="s">
        <v>121</v>
      </c>
      <c r="I2506" s="206" t="s">
        <v>121</v>
      </c>
      <c r="J2506" s="206" t="s">
        <v>121</v>
      </c>
      <c r="K2506" s="206" t="s">
        <v>121</v>
      </c>
      <c r="L2506" s="206" t="str">
        <v/>
      </c>
      <c r="M2506" s="206" t="str">
        <v/>
      </c>
    </row>
    <row r="2507" spans="1:13" ht="14.4">
      <c r="A2507" s="201"/>
      <c r="B2507" s="209"/>
      <c r="C2507" s="201"/>
      <c r="D2507" s="201"/>
      <c r="E2507" s="202"/>
      <c r="F2507" s="210"/>
      <c r="G2507" s="210"/>
      <c r="H2507" s="206" t="s">
        <v>121</v>
      </c>
      <c r="I2507" s="206" t="s">
        <v>121</v>
      </c>
      <c r="J2507" s="206" t="s">
        <v>121</v>
      </c>
      <c r="K2507" s="206" t="s">
        <v>121</v>
      </c>
      <c r="L2507" s="206" t="str">
        <v/>
      </c>
      <c r="M2507" s="206" t="str">
        <v/>
      </c>
    </row>
    <row r="2508" spans="1:13" ht="14.4">
      <c r="A2508" s="201"/>
      <c r="B2508" s="209"/>
      <c r="C2508" s="201"/>
      <c r="D2508" s="201"/>
      <c r="E2508" s="202"/>
      <c r="F2508" s="210"/>
      <c r="G2508" s="210"/>
      <c r="H2508" s="206" t="s">
        <v>121</v>
      </c>
      <c r="I2508" s="206" t="s">
        <v>121</v>
      </c>
      <c r="J2508" s="206" t="s">
        <v>121</v>
      </c>
      <c r="K2508" s="206" t="s">
        <v>121</v>
      </c>
      <c r="L2508" s="206" t="str">
        <v/>
      </c>
      <c r="M2508" s="206" t="str">
        <v/>
      </c>
    </row>
    <row r="2509" spans="1:13" ht="14.4">
      <c r="A2509" s="201"/>
      <c r="B2509" s="209"/>
      <c r="C2509" s="201"/>
      <c r="D2509" s="201"/>
      <c r="E2509" s="202"/>
      <c r="F2509" s="210"/>
      <c r="G2509" s="210"/>
      <c r="H2509" s="206" t="s">
        <v>121</v>
      </c>
      <c r="I2509" s="206" t="s">
        <v>121</v>
      </c>
      <c r="J2509" s="206" t="s">
        <v>121</v>
      </c>
      <c r="K2509" s="206" t="s">
        <v>121</v>
      </c>
      <c r="L2509" s="206" t="str">
        <v/>
      </c>
      <c r="M2509" s="206" t="str">
        <v/>
      </c>
    </row>
    <row r="2510" spans="1:13" ht="14.4">
      <c r="A2510" s="201"/>
      <c r="B2510" s="209"/>
      <c r="C2510" s="201"/>
      <c r="D2510" s="201"/>
      <c r="E2510" s="202"/>
      <c r="F2510" s="210"/>
      <c r="G2510" s="210"/>
      <c r="H2510" s="206" t="s">
        <v>121</v>
      </c>
      <c r="I2510" s="206" t="s">
        <v>121</v>
      </c>
      <c r="J2510" s="206" t="s">
        <v>121</v>
      </c>
      <c r="K2510" s="206" t="s">
        <v>121</v>
      </c>
      <c r="L2510" s="206" t="str">
        <v/>
      </c>
      <c r="M2510" s="206" t="str">
        <v/>
      </c>
    </row>
    <row r="2511" spans="1:13" ht="14.4">
      <c r="A2511" s="201"/>
      <c r="B2511" s="209"/>
      <c r="C2511" s="201"/>
      <c r="D2511" s="201"/>
      <c r="E2511" s="202"/>
      <c r="F2511" s="210"/>
      <c r="G2511" s="210"/>
      <c r="H2511" s="206" t="s">
        <v>121</v>
      </c>
      <c r="I2511" s="206" t="s">
        <v>121</v>
      </c>
      <c r="J2511" s="206" t="s">
        <v>121</v>
      </c>
      <c r="K2511" s="206" t="s">
        <v>121</v>
      </c>
      <c r="L2511" s="206" t="str">
        <v/>
      </c>
      <c r="M2511" s="206" t="str">
        <v/>
      </c>
    </row>
    <row r="2512" spans="1:13" ht="14.4">
      <c r="A2512" s="201"/>
      <c r="B2512" s="209"/>
      <c r="C2512" s="201"/>
      <c r="D2512" s="201"/>
      <c r="E2512" s="202"/>
      <c r="F2512" s="210"/>
      <c r="G2512" s="210"/>
      <c r="H2512" s="206" t="s">
        <v>121</v>
      </c>
      <c r="I2512" s="206" t="s">
        <v>121</v>
      </c>
      <c r="J2512" s="206" t="s">
        <v>121</v>
      </c>
      <c r="K2512" s="206" t="s">
        <v>121</v>
      </c>
      <c r="L2512" s="206" t="str">
        <v/>
      </c>
      <c r="M2512" s="206" t="str">
        <v/>
      </c>
    </row>
    <row r="2513" spans="1:13" ht="14.4">
      <c r="A2513" s="201"/>
      <c r="B2513" s="209"/>
      <c r="C2513" s="201"/>
      <c r="D2513" s="201"/>
      <c r="E2513" s="202"/>
      <c r="F2513" s="210"/>
      <c r="G2513" s="210"/>
      <c r="H2513" s="206" t="s">
        <v>121</v>
      </c>
      <c r="I2513" s="206" t="s">
        <v>121</v>
      </c>
      <c r="J2513" s="206" t="s">
        <v>121</v>
      </c>
      <c r="K2513" s="206" t="s">
        <v>121</v>
      </c>
      <c r="L2513" s="206" t="str">
        <v/>
      </c>
      <c r="M2513" s="206" t="str">
        <v/>
      </c>
    </row>
    <row r="2514" spans="1:13" ht="14.4">
      <c r="A2514" s="201"/>
      <c r="B2514" s="209"/>
      <c r="C2514" s="201"/>
      <c r="D2514" s="201"/>
      <c r="E2514" s="202"/>
      <c r="F2514" s="210"/>
      <c r="G2514" s="210"/>
      <c r="H2514" s="206" t="s">
        <v>121</v>
      </c>
      <c r="I2514" s="206" t="s">
        <v>121</v>
      </c>
      <c r="J2514" s="206" t="s">
        <v>121</v>
      </c>
      <c r="K2514" s="206" t="s">
        <v>121</v>
      </c>
      <c r="L2514" s="206" t="str">
        <v/>
      </c>
      <c r="M2514" s="206" t="str">
        <v/>
      </c>
    </row>
    <row r="2515" spans="1:13" ht="14.4">
      <c r="A2515" s="201"/>
      <c r="B2515" s="209"/>
      <c r="C2515" s="201"/>
      <c r="D2515" s="201"/>
      <c r="E2515" s="202"/>
      <c r="F2515" s="210"/>
      <c r="G2515" s="210"/>
      <c r="H2515" s="206" t="s">
        <v>121</v>
      </c>
      <c r="I2515" s="206" t="s">
        <v>121</v>
      </c>
      <c r="J2515" s="206" t="s">
        <v>121</v>
      </c>
      <c r="K2515" s="206" t="s">
        <v>121</v>
      </c>
      <c r="L2515" s="206" t="str">
        <v/>
      </c>
      <c r="M2515" s="206" t="str">
        <v/>
      </c>
    </row>
    <row r="2516" spans="1:13" ht="14.4">
      <c r="A2516" s="201"/>
      <c r="B2516" s="209"/>
      <c r="C2516" s="201"/>
      <c r="D2516" s="201"/>
      <c r="E2516" s="202"/>
      <c r="F2516" s="210"/>
      <c r="G2516" s="210"/>
      <c r="H2516" s="206" t="s">
        <v>121</v>
      </c>
      <c r="I2516" s="206" t="s">
        <v>121</v>
      </c>
      <c r="J2516" s="206" t="s">
        <v>121</v>
      </c>
      <c r="K2516" s="206" t="s">
        <v>121</v>
      </c>
      <c r="L2516" s="206" t="str">
        <v/>
      </c>
      <c r="M2516" s="206" t="str">
        <v/>
      </c>
    </row>
    <row r="2517" spans="1:13" ht="14.4">
      <c r="A2517" s="201"/>
      <c r="B2517" s="209"/>
      <c r="C2517" s="201"/>
      <c r="D2517" s="201"/>
      <c r="E2517" s="202"/>
      <c r="F2517" s="210"/>
      <c r="G2517" s="210"/>
      <c r="H2517" s="206" t="s">
        <v>121</v>
      </c>
      <c r="I2517" s="206" t="s">
        <v>121</v>
      </c>
      <c r="J2517" s="206" t="s">
        <v>121</v>
      </c>
      <c r="K2517" s="206" t="s">
        <v>121</v>
      </c>
      <c r="L2517" s="206" t="str">
        <v/>
      </c>
      <c r="M2517" s="206" t="str">
        <v/>
      </c>
    </row>
    <row r="2518" spans="1:13" ht="14.4">
      <c r="A2518" s="201"/>
      <c r="B2518" s="209"/>
      <c r="C2518" s="201"/>
      <c r="D2518" s="201"/>
      <c r="E2518" s="202"/>
      <c r="F2518" s="210"/>
      <c r="G2518" s="210"/>
      <c r="H2518" s="206" t="s">
        <v>121</v>
      </c>
      <c r="I2518" s="206" t="s">
        <v>121</v>
      </c>
      <c r="J2518" s="206" t="s">
        <v>121</v>
      </c>
      <c r="K2518" s="206" t="s">
        <v>121</v>
      </c>
      <c r="L2518" s="206" t="str">
        <v/>
      </c>
      <c r="M2518" s="206" t="str">
        <v/>
      </c>
    </row>
    <row r="2519" spans="1:13" ht="14.4">
      <c r="A2519" s="201"/>
      <c r="B2519" s="209"/>
      <c r="C2519" s="201"/>
      <c r="D2519" s="201"/>
      <c r="E2519" s="202"/>
      <c r="F2519" s="210"/>
      <c r="G2519" s="210"/>
      <c r="H2519" s="206" t="s">
        <v>121</v>
      </c>
      <c r="I2519" s="206" t="s">
        <v>121</v>
      </c>
      <c r="J2519" s="206" t="s">
        <v>121</v>
      </c>
      <c r="K2519" s="206" t="s">
        <v>121</v>
      </c>
      <c r="L2519" s="206" t="str">
        <v/>
      </c>
      <c r="M2519" s="206" t="str">
        <v/>
      </c>
    </row>
    <row r="2520" spans="1:13" ht="14.4">
      <c r="A2520" s="201"/>
      <c r="B2520" s="209"/>
      <c r="C2520" s="201"/>
      <c r="D2520" s="201"/>
      <c r="E2520" s="202"/>
      <c r="F2520" s="210"/>
      <c r="G2520" s="210"/>
      <c r="H2520" s="206" t="s">
        <v>121</v>
      </c>
      <c r="I2520" s="206" t="s">
        <v>121</v>
      </c>
      <c r="J2520" s="206" t="s">
        <v>121</v>
      </c>
      <c r="K2520" s="206" t="s">
        <v>121</v>
      </c>
      <c r="L2520" s="206" t="str">
        <v/>
      </c>
      <c r="M2520" s="206" t="str">
        <v/>
      </c>
    </row>
    <row r="2521" spans="1:13" ht="14.4">
      <c r="A2521" s="201"/>
      <c r="B2521" s="209"/>
      <c r="C2521" s="201"/>
      <c r="D2521" s="201"/>
      <c r="E2521" s="202"/>
      <c r="F2521" s="210"/>
      <c r="G2521" s="210"/>
      <c r="H2521" s="206" t="s">
        <v>121</v>
      </c>
      <c r="I2521" s="206" t="s">
        <v>121</v>
      </c>
      <c r="J2521" s="206" t="s">
        <v>121</v>
      </c>
      <c r="K2521" s="206" t="s">
        <v>121</v>
      </c>
      <c r="L2521" s="206" t="str">
        <v/>
      </c>
      <c r="M2521" s="206" t="str">
        <v/>
      </c>
    </row>
    <row r="2522" spans="1:13" ht="14.4">
      <c r="A2522" s="201"/>
      <c r="B2522" s="209"/>
      <c r="C2522" s="201"/>
      <c r="D2522" s="201"/>
      <c r="E2522" s="202"/>
      <c r="F2522" s="210"/>
      <c r="G2522" s="210"/>
      <c r="H2522" s="206" t="s">
        <v>121</v>
      </c>
      <c r="I2522" s="206" t="s">
        <v>121</v>
      </c>
      <c r="J2522" s="206" t="s">
        <v>121</v>
      </c>
      <c r="K2522" s="206" t="s">
        <v>121</v>
      </c>
      <c r="L2522" s="206" t="str">
        <v/>
      </c>
      <c r="M2522" s="206" t="str">
        <v/>
      </c>
    </row>
    <row r="2523" spans="1:13" ht="14.4">
      <c r="A2523" s="201"/>
      <c r="B2523" s="209"/>
      <c r="C2523" s="201"/>
      <c r="D2523" s="201"/>
      <c r="E2523" s="202"/>
      <c r="F2523" s="210"/>
      <c r="G2523" s="210"/>
      <c r="H2523" s="206" t="s">
        <v>121</v>
      </c>
      <c r="I2523" s="206" t="s">
        <v>121</v>
      </c>
      <c r="J2523" s="206" t="s">
        <v>121</v>
      </c>
      <c r="K2523" s="206" t="s">
        <v>121</v>
      </c>
      <c r="L2523" s="206" t="str">
        <v/>
      </c>
      <c r="M2523" s="206" t="str">
        <v/>
      </c>
    </row>
    <row r="2524" spans="1:13" ht="14.4">
      <c r="A2524" s="201"/>
      <c r="B2524" s="209"/>
      <c r="C2524" s="201"/>
      <c r="D2524" s="201"/>
      <c r="E2524" s="202"/>
      <c r="F2524" s="210"/>
      <c r="G2524" s="210"/>
      <c r="H2524" s="206" t="s">
        <v>121</v>
      </c>
      <c r="I2524" s="206" t="s">
        <v>121</v>
      </c>
      <c r="J2524" s="206" t="s">
        <v>121</v>
      </c>
      <c r="K2524" s="206" t="s">
        <v>121</v>
      </c>
      <c r="L2524" s="206" t="str">
        <v/>
      </c>
      <c r="M2524" s="206" t="str">
        <v/>
      </c>
    </row>
    <row r="2525" spans="1:13" ht="14.4">
      <c r="A2525" s="201"/>
      <c r="B2525" s="209"/>
      <c r="C2525" s="201"/>
      <c r="D2525" s="201"/>
      <c r="E2525" s="202"/>
      <c r="F2525" s="210"/>
      <c r="G2525" s="210"/>
      <c r="H2525" s="206" t="s">
        <v>121</v>
      </c>
      <c r="I2525" s="206" t="s">
        <v>121</v>
      </c>
      <c r="J2525" s="206" t="s">
        <v>121</v>
      </c>
      <c r="K2525" s="206" t="s">
        <v>121</v>
      </c>
      <c r="L2525" s="206" t="str">
        <v/>
      </c>
      <c r="M2525" s="206" t="str">
        <v/>
      </c>
    </row>
    <row r="2526" spans="1:13" ht="14.4">
      <c r="A2526" s="201"/>
      <c r="B2526" s="209"/>
      <c r="C2526" s="201"/>
      <c r="D2526" s="201"/>
      <c r="E2526" s="202"/>
      <c r="F2526" s="210"/>
      <c r="G2526" s="210"/>
      <c r="H2526" s="206" t="s">
        <v>121</v>
      </c>
      <c r="I2526" s="206" t="s">
        <v>121</v>
      </c>
      <c r="J2526" s="206" t="s">
        <v>121</v>
      </c>
      <c r="K2526" s="206" t="s">
        <v>121</v>
      </c>
      <c r="L2526" s="206" t="str">
        <v/>
      </c>
      <c r="M2526" s="206" t="str">
        <v/>
      </c>
    </row>
    <row r="2527" spans="1:13" ht="14.4">
      <c r="A2527" s="201"/>
      <c r="B2527" s="209"/>
      <c r="C2527" s="201"/>
      <c r="D2527" s="201"/>
      <c r="E2527" s="202"/>
      <c r="F2527" s="210"/>
      <c r="G2527" s="210"/>
      <c r="H2527" s="206" t="s">
        <v>121</v>
      </c>
      <c r="I2527" s="206" t="s">
        <v>121</v>
      </c>
      <c r="J2527" s="206" t="s">
        <v>121</v>
      </c>
      <c r="K2527" s="206" t="s">
        <v>121</v>
      </c>
      <c r="L2527" s="206" t="str">
        <v/>
      </c>
      <c r="M2527" s="206" t="str">
        <v/>
      </c>
    </row>
    <row r="2528" spans="1:13" ht="14.4">
      <c r="A2528" s="201"/>
      <c r="B2528" s="209"/>
      <c r="C2528" s="201"/>
      <c r="D2528" s="201"/>
      <c r="E2528" s="202"/>
      <c r="F2528" s="210"/>
      <c r="G2528" s="210"/>
      <c r="H2528" s="206" t="s">
        <v>121</v>
      </c>
      <c r="I2528" s="206" t="s">
        <v>121</v>
      </c>
      <c r="J2528" s="206" t="s">
        <v>121</v>
      </c>
      <c r="K2528" s="206" t="s">
        <v>121</v>
      </c>
      <c r="L2528" s="206" t="str">
        <v/>
      </c>
      <c r="M2528" s="206" t="str">
        <v/>
      </c>
    </row>
    <row r="2529" spans="1:13" ht="14.4">
      <c r="A2529" s="201"/>
      <c r="B2529" s="209"/>
      <c r="C2529" s="201"/>
      <c r="D2529" s="201"/>
      <c r="E2529" s="202"/>
      <c r="F2529" s="210"/>
      <c r="G2529" s="210"/>
      <c r="H2529" s="206" t="s">
        <v>121</v>
      </c>
      <c r="I2529" s="206" t="s">
        <v>121</v>
      </c>
      <c r="J2529" s="206" t="s">
        <v>121</v>
      </c>
      <c r="K2529" s="206" t="s">
        <v>121</v>
      </c>
      <c r="L2529" s="206" t="str">
        <v/>
      </c>
      <c r="M2529" s="206" t="str">
        <v/>
      </c>
    </row>
    <row r="2530" spans="1:13" ht="14.4">
      <c r="A2530" s="201"/>
      <c r="B2530" s="209"/>
      <c r="C2530" s="201"/>
      <c r="D2530" s="201"/>
      <c r="E2530" s="202"/>
      <c r="F2530" s="210"/>
      <c r="G2530" s="210"/>
      <c r="H2530" s="206" t="s">
        <v>121</v>
      </c>
      <c r="I2530" s="206" t="s">
        <v>121</v>
      </c>
      <c r="J2530" s="206" t="s">
        <v>121</v>
      </c>
      <c r="K2530" s="206" t="s">
        <v>121</v>
      </c>
      <c r="L2530" s="206" t="str">
        <v/>
      </c>
      <c r="M2530" s="206" t="str">
        <v/>
      </c>
    </row>
    <row r="2531" spans="1:13" ht="14.4">
      <c r="A2531" s="201"/>
      <c r="B2531" s="209"/>
      <c r="C2531" s="201"/>
      <c r="D2531" s="201"/>
      <c r="E2531" s="202"/>
      <c r="F2531" s="210"/>
      <c r="G2531" s="210"/>
      <c r="H2531" s="206" t="s">
        <v>121</v>
      </c>
      <c r="I2531" s="206" t="s">
        <v>121</v>
      </c>
      <c r="J2531" s="206" t="s">
        <v>121</v>
      </c>
      <c r="K2531" s="206" t="s">
        <v>121</v>
      </c>
      <c r="L2531" s="206" t="str">
        <v/>
      </c>
      <c r="M2531" s="206" t="str">
        <v/>
      </c>
    </row>
    <row r="2532" spans="1:13" ht="14.4">
      <c r="A2532" s="201"/>
      <c r="B2532" s="209"/>
      <c r="C2532" s="201"/>
      <c r="D2532" s="201"/>
      <c r="E2532" s="202"/>
      <c r="F2532" s="210"/>
      <c r="G2532" s="210"/>
      <c r="H2532" s="206" t="s">
        <v>121</v>
      </c>
      <c r="I2532" s="206" t="s">
        <v>121</v>
      </c>
      <c r="J2532" s="206" t="s">
        <v>121</v>
      </c>
      <c r="K2532" s="206" t="s">
        <v>121</v>
      </c>
      <c r="L2532" s="206" t="str">
        <v/>
      </c>
      <c r="M2532" s="206" t="str">
        <v/>
      </c>
    </row>
    <row r="2533" spans="1:13" ht="14.4">
      <c r="A2533" s="201"/>
      <c r="B2533" s="209"/>
      <c r="C2533" s="201"/>
      <c r="D2533" s="201"/>
      <c r="E2533" s="202"/>
      <c r="F2533" s="210"/>
      <c r="G2533" s="210"/>
      <c r="H2533" s="206" t="s">
        <v>121</v>
      </c>
      <c r="I2533" s="206" t="s">
        <v>121</v>
      </c>
      <c r="J2533" s="206" t="s">
        <v>121</v>
      </c>
      <c r="K2533" s="206" t="s">
        <v>121</v>
      </c>
      <c r="L2533" s="206" t="str">
        <v/>
      </c>
      <c r="M2533" s="206" t="str">
        <v/>
      </c>
    </row>
    <row r="2534" spans="1:13" ht="14.4">
      <c r="A2534" s="201"/>
      <c r="B2534" s="209"/>
      <c r="C2534" s="201"/>
      <c r="D2534" s="201"/>
      <c r="E2534" s="202"/>
      <c r="F2534" s="210"/>
      <c r="G2534" s="210"/>
      <c r="H2534" s="206" t="s">
        <v>121</v>
      </c>
      <c r="I2534" s="206" t="s">
        <v>121</v>
      </c>
      <c r="J2534" s="206" t="s">
        <v>121</v>
      </c>
      <c r="K2534" s="206" t="s">
        <v>121</v>
      </c>
      <c r="L2534" s="206" t="str">
        <v/>
      </c>
      <c r="M2534" s="206" t="str">
        <v/>
      </c>
    </row>
    <row r="2535" spans="1:13" ht="14.4">
      <c r="A2535" s="201"/>
      <c r="B2535" s="209"/>
      <c r="C2535" s="201"/>
      <c r="D2535" s="201"/>
      <c r="E2535" s="202"/>
      <c r="F2535" s="210"/>
      <c r="G2535" s="210"/>
      <c r="H2535" s="206" t="s">
        <v>121</v>
      </c>
      <c r="I2535" s="206" t="s">
        <v>121</v>
      </c>
      <c r="J2535" s="206" t="s">
        <v>121</v>
      </c>
      <c r="K2535" s="206" t="s">
        <v>121</v>
      </c>
      <c r="L2535" s="206" t="str">
        <v/>
      </c>
      <c r="M2535" s="206" t="str">
        <v/>
      </c>
    </row>
    <row r="2536" spans="1:13" ht="14.4">
      <c r="A2536" s="201"/>
      <c r="B2536" s="209"/>
      <c r="C2536" s="201"/>
      <c r="D2536" s="201"/>
      <c r="E2536" s="202"/>
      <c r="F2536" s="210"/>
      <c r="G2536" s="210"/>
      <c r="H2536" s="206" t="s">
        <v>121</v>
      </c>
      <c r="I2536" s="206" t="s">
        <v>121</v>
      </c>
      <c r="J2536" s="206" t="s">
        <v>121</v>
      </c>
      <c r="K2536" s="206" t="s">
        <v>121</v>
      </c>
      <c r="L2536" s="206" t="str">
        <v/>
      </c>
      <c r="M2536" s="206" t="str">
        <v/>
      </c>
    </row>
    <row r="2537" spans="1:13" ht="14.4">
      <c r="A2537" s="201"/>
      <c r="B2537" s="209"/>
      <c r="C2537" s="201"/>
      <c r="D2537" s="201"/>
      <c r="E2537" s="202"/>
      <c r="F2537" s="210"/>
      <c r="G2537" s="210"/>
      <c r="H2537" s="206" t="s">
        <v>121</v>
      </c>
      <c r="I2537" s="206" t="s">
        <v>121</v>
      </c>
      <c r="J2537" s="206" t="s">
        <v>121</v>
      </c>
      <c r="K2537" s="206" t="s">
        <v>121</v>
      </c>
      <c r="L2537" s="206" t="str">
        <v/>
      </c>
      <c r="M2537" s="206" t="str">
        <v/>
      </c>
    </row>
    <row r="2538" spans="1:13" ht="14.4">
      <c r="A2538" s="201"/>
      <c r="B2538" s="209"/>
      <c r="C2538" s="201"/>
      <c r="D2538" s="201"/>
      <c r="E2538" s="202"/>
      <c r="F2538" s="210"/>
      <c r="G2538" s="210"/>
      <c r="H2538" s="206" t="s">
        <v>121</v>
      </c>
      <c r="I2538" s="206" t="s">
        <v>121</v>
      </c>
      <c r="J2538" s="206" t="s">
        <v>121</v>
      </c>
      <c r="K2538" s="206" t="s">
        <v>121</v>
      </c>
      <c r="L2538" s="206" t="str">
        <v/>
      </c>
      <c r="M2538" s="206" t="str">
        <v/>
      </c>
    </row>
    <row r="2539" spans="1:13" ht="14.4">
      <c r="A2539" s="201"/>
      <c r="B2539" s="209"/>
      <c r="C2539" s="201"/>
      <c r="D2539" s="201"/>
      <c r="E2539" s="202"/>
      <c r="F2539" s="210"/>
      <c r="G2539" s="210"/>
      <c r="H2539" s="206" t="s">
        <v>121</v>
      </c>
      <c r="I2539" s="206" t="s">
        <v>121</v>
      </c>
      <c r="J2539" s="206" t="s">
        <v>121</v>
      </c>
      <c r="K2539" s="206" t="s">
        <v>121</v>
      </c>
      <c r="L2539" s="206" t="str">
        <v/>
      </c>
      <c r="M2539" s="206" t="str">
        <v/>
      </c>
    </row>
    <row r="2540" spans="1:13" ht="14.4">
      <c r="A2540" s="201"/>
      <c r="B2540" s="209"/>
      <c r="C2540" s="201"/>
      <c r="D2540" s="201"/>
      <c r="E2540" s="202"/>
      <c r="F2540" s="210"/>
      <c r="G2540" s="210"/>
      <c r="H2540" s="206" t="s">
        <v>121</v>
      </c>
      <c r="I2540" s="206" t="s">
        <v>121</v>
      </c>
      <c r="J2540" s="206" t="s">
        <v>121</v>
      </c>
      <c r="K2540" s="206" t="s">
        <v>121</v>
      </c>
      <c r="L2540" s="206" t="str">
        <v/>
      </c>
      <c r="M2540" s="206" t="str">
        <v/>
      </c>
    </row>
    <row r="2541" spans="1:13" ht="14.4">
      <c r="A2541" s="201"/>
      <c r="B2541" s="209"/>
      <c r="C2541" s="201"/>
      <c r="D2541" s="201"/>
      <c r="E2541" s="202"/>
      <c r="F2541" s="210"/>
      <c r="G2541" s="210"/>
      <c r="H2541" s="206" t="s">
        <v>121</v>
      </c>
      <c r="I2541" s="206" t="s">
        <v>121</v>
      </c>
      <c r="J2541" s="206" t="s">
        <v>121</v>
      </c>
      <c r="K2541" s="206" t="s">
        <v>121</v>
      </c>
      <c r="L2541" s="206" t="str">
        <v/>
      </c>
      <c r="M2541" s="206" t="str">
        <v/>
      </c>
    </row>
    <row r="2542" spans="1:13" ht="14.4">
      <c r="A2542" s="201"/>
      <c r="B2542" s="209"/>
      <c r="C2542" s="201"/>
      <c r="D2542" s="201"/>
      <c r="E2542" s="202"/>
      <c r="F2542" s="210"/>
      <c r="G2542" s="210"/>
      <c r="H2542" s="206" t="s">
        <v>121</v>
      </c>
      <c r="I2542" s="206" t="s">
        <v>121</v>
      </c>
      <c r="J2542" s="206" t="s">
        <v>121</v>
      </c>
      <c r="K2542" s="206" t="s">
        <v>121</v>
      </c>
      <c r="L2542" s="206" t="str">
        <v/>
      </c>
      <c r="M2542" s="206" t="str">
        <v/>
      </c>
    </row>
    <row r="2543" spans="1:13" ht="14.4">
      <c r="A2543" s="201"/>
      <c r="B2543" s="209"/>
      <c r="C2543" s="201"/>
      <c r="D2543" s="201"/>
      <c r="E2543" s="202"/>
      <c r="F2543" s="210"/>
      <c r="G2543" s="210"/>
      <c r="H2543" s="206" t="s">
        <v>121</v>
      </c>
      <c r="I2543" s="206" t="s">
        <v>121</v>
      </c>
      <c r="J2543" s="206" t="s">
        <v>121</v>
      </c>
      <c r="K2543" s="206" t="s">
        <v>121</v>
      </c>
      <c r="L2543" s="206" t="str">
        <v/>
      </c>
      <c r="M2543" s="206" t="str">
        <v/>
      </c>
    </row>
    <row r="2544" spans="1:13" ht="14.4">
      <c r="A2544" s="201"/>
      <c r="B2544" s="209"/>
      <c r="C2544" s="201"/>
      <c r="D2544" s="201"/>
      <c r="E2544" s="202"/>
      <c r="F2544" s="210"/>
      <c r="G2544" s="210"/>
      <c r="H2544" s="206" t="s">
        <v>121</v>
      </c>
      <c r="I2544" s="206" t="s">
        <v>121</v>
      </c>
      <c r="J2544" s="206" t="s">
        <v>121</v>
      </c>
      <c r="K2544" s="206" t="s">
        <v>121</v>
      </c>
      <c r="L2544" s="206" t="str">
        <v/>
      </c>
      <c r="M2544" s="206" t="str">
        <v/>
      </c>
    </row>
    <row r="2545" spans="1:13" ht="14.4">
      <c r="A2545" s="201"/>
      <c r="B2545" s="209"/>
      <c r="C2545" s="201"/>
      <c r="D2545" s="201"/>
      <c r="E2545" s="202"/>
      <c r="F2545" s="210"/>
      <c r="G2545" s="210"/>
      <c r="H2545" s="206" t="s">
        <v>121</v>
      </c>
      <c r="I2545" s="206" t="s">
        <v>121</v>
      </c>
      <c r="J2545" s="206" t="s">
        <v>121</v>
      </c>
      <c r="K2545" s="206" t="s">
        <v>121</v>
      </c>
      <c r="L2545" s="206" t="str">
        <v/>
      </c>
      <c r="M2545" s="206" t="str">
        <v/>
      </c>
    </row>
    <row r="2546" spans="1:13" ht="14.4">
      <c r="A2546" s="201"/>
      <c r="B2546" s="209"/>
      <c r="C2546" s="201"/>
      <c r="D2546" s="201"/>
      <c r="E2546" s="202"/>
      <c r="F2546" s="210"/>
      <c r="G2546" s="210"/>
      <c r="H2546" s="206" t="s">
        <v>121</v>
      </c>
      <c r="I2546" s="206" t="s">
        <v>121</v>
      </c>
      <c r="J2546" s="206" t="s">
        <v>121</v>
      </c>
      <c r="K2546" s="206" t="s">
        <v>121</v>
      </c>
      <c r="L2546" s="206" t="str">
        <v/>
      </c>
      <c r="M2546" s="206" t="str">
        <v/>
      </c>
    </row>
    <row r="2547" spans="1:13" ht="14.4">
      <c r="A2547" s="201"/>
      <c r="B2547" s="209"/>
      <c r="C2547" s="201"/>
      <c r="D2547" s="201"/>
      <c r="E2547" s="202"/>
      <c r="F2547" s="210"/>
      <c r="G2547" s="210"/>
      <c r="H2547" s="206" t="s">
        <v>121</v>
      </c>
      <c r="I2547" s="206" t="s">
        <v>121</v>
      </c>
      <c r="J2547" s="206" t="s">
        <v>121</v>
      </c>
      <c r="K2547" s="206" t="s">
        <v>121</v>
      </c>
      <c r="L2547" s="206" t="str">
        <v/>
      </c>
      <c r="M2547" s="206" t="str">
        <v/>
      </c>
    </row>
    <row r="2548" spans="1:13" ht="14.4">
      <c r="A2548" s="201"/>
      <c r="B2548" s="209"/>
      <c r="C2548" s="201"/>
      <c r="D2548" s="201"/>
      <c r="E2548" s="202"/>
      <c r="F2548" s="210"/>
      <c r="G2548" s="210"/>
      <c r="H2548" s="206" t="s">
        <v>121</v>
      </c>
      <c r="I2548" s="206" t="s">
        <v>121</v>
      </c>
      <c r="J2548" s="206" t="s">
        <v>121</v>
      </c>
      <c r="K2548" s="206" t="s">
        <v>121</v>
      </c>
      <c r="L2548" s="206" t="str">
        <v/>
      </c>
      <c r="M2548" s="206" t="str">
        <v/>
      </c>
    </row>
    <row r="2549" spans="1:13" ht="14.4">
      <c r="A2549" s="201"/>
      <c r="B2549" s="209"/>
      <c r="C2549" s="201"/>
      <c r="D2549" s="201"/>
      <c r="E2549" s="202"/>
      <c r="F2549" s="210"/>
      <c r="G2549" s="210"/>
      <c r="H2549" s="206" t="s">
        <v>121</v>
      </c>
      <c r="I2549" s="206" t="s">
        <v>121</v>
      </c>
      <c r="J2549" s="206" t="s">
        <v>121</v>
      </c>
      <c r="K2549" s="206" t="s">
        <v>121</v>
      </c>
      <c r="L2549" s="206" t="str">
        <v/>
      </c>
      <c r="M2549" s="206" t="str">
        <v/>
      </c>
    </row>
    <row r="2550" spans="1:13" ht="14.4">
      <c r="A2550" s="201"/>
      <c r="B2550" s="209"/>
      <c r="C2550" s="201"/>
      <c r="D2550" s="201"/>
      <c r="E2550" s="202"/>
      <c r="F2550" s="210"/>
      <c r="G2550" s="210"/>
      <c r="H2550" s="206" t="s">
        <v>121</v>
      </c>
      <c r="I2550" s="206" t="s">
        <v>121</v>
      </c>
      <c r="J2550" s="206" t="s">
        <v>121</v>
      </c>
      <c r="K2550" s="206" t="s">
        <v>121</v>
      </c>
      <c r="L2550" s="206" t="str">
        <v/>
      </c>
      <c r="M2550" s="206" t="str">
        <v/>
      </c>
    </row>
    <row r="2551" spans="1:13" ht="14.4">
      <c r="A2551" s="201"/>
      <c r="B2551" s="209"/>
      <c r="C2551" s="201"/>
      <c r="D2551" s="201"/>
      <c r="E2551" s="202"/>
      <c r="F2551" s="210"/>
      <c r="G2551" s="210"/>
      <c r="H2551" s="206" t="s">
        <v>121</v>
      </c>
      <c r="I2551" s="206" t="s">
        <v>121</v>
      </c>
      <c r="J2551" s="206" t="s">
        <v>121</v>
      </c>
      <c r="K2551" s="206" t="s">
        <v>121</v>
      </c>
      <c r="L2551" s="206" t="str">
        <v/>
      </c>
      <c r="M2551" s="206" t="str">
        <v/>
      </c>
    </row>
    <row r="2552" spans="1:13" ht="14.4">
      <c r="A2552" s="201"/>
      <c r="B2552" s="209"/>
      <c r="C2552" s="201"/>
      <c r="D2552" s="201"/>
      <c r="E2552" s="202"/>
      <c r="F2552" s="210"/>
      <c r="G2552" s="210"/>
      <c r="H2552" s="206" t="s">
        <v>121</v>
      </c>
      <c r="I2552" s="206" t="s">
        <v>121</v>
      </c>
      <c r="J2552" s="206" t="s">
        <v>121</v>
      </c>
      <c r="K2552" s="206" t="s">
        <v>121</v>
      </c>
      <c r="L2552" s="206" t="str">
        <v/>
      </c>
      <c r="M2552" s="206" t="str">
        <v/>
      </c>
    </row>
    <row r="2553" spans="1:13" ht="14.4">
      <c r="A2553" s="201"/>
      <c r="B2553" s="209"/>
      <c r="C2553" s="201"/>
      <c r="D2553" s="201"/>
      <c r="E2553" s="202"/>
      <c r="F2553" s="210"/>
      <c r="G2553" s="210"/>
      <c r="H2553" s="206" t="s">
        <v>121</v>
      </c>
      <c r="I2553" s="206" t="s">
        <v>121</v>
      </c>
      <c r="J2553" s="206" t="s">
        <v>121</v>
      </c>
      <c r="K2553" s="206" t="s">
        <v>121</v>
      </c>
      <c r="L2553" s="206" t="str">
        <v/>
      </c>
      <c r="M2553" s="206" t="str">
        <v/>
      </c>
    </row>
    <row r="2554" spans="1:13" ht="14.4">
      <c r="A2554" s="201"/>
      <c r="B2554" s="209"/>
      <c r="C2554" s="201"/>
      <c r="D2554" s="201"/>
      <c r="E2554" s="202"/>
      <c r="F2554" s="210"/>
      <c r="G2554" s="210"/>
      <c r="H2554" s="206" t="s">
        <v>121</v>
      </c>
      <c r="I2554" s="206" t="s">
        <v>121</v>
      </c>
      <c r="J2554" s="206" t="s">
        <v>121</v>
      </c>
      <c r="K2554" s="206" t="s">
        <v>121</v>
      </c>
      <c r="L2554" s="206" t="str">
        <v/>
      </c>
      <c r="M2554" s="206" t="str">
        <v/>
      </c>
    </row>
    <row r="2555" spans="1:13" ht="14.4">
      <c r="A2555" s="201"/>
      <c r="B2555" s="209"/>
      <c r="C2555" s="201"/>
      <c r="D2555" s="201"/>
      <c r="E2555" s="202"/>
      <c r="F2555" s="210"/>
      <c r="G2555" s="210"/>
      <c r="H2555" s="206" t="s">
        <v>121</v>
      </c>
      <c r="I2555" s="206" t="s">
        <v>121</v>
      </c>
      <c r="J2555" s="206" t="s">
        <v>121</v>
      </c>
      <c r="K2555" s="206" t="s">
        <v>121</v>
      </c>
      <c r="L2555" s="206" t="str">
        <v/>
      </c>
      <c r="M2555" s="206" t="str">
        <v/>
      </c>
    </row>
    <row r="2556" spans="1:13" ht="14.4">
      <c r="A2556" s="201"/>
      <c r="B2556" s="209"/>
      <c r="C2556" s="201"/>
      <c r="D2556" s="201"/>
      <c r="E2556" s="202"/>
      <c r="F2556" s="210"/>
      <c r="G2556" s="210"/>
      <c r="H2556" s="206" t="s">
        <v>121</v>
      </c>
      <c r="I2556" s="206" t="s">
        <v>121</v>
      </c>
      <c r="J2556" s="206" t="s">
        <v>121</v>
      </c>
      <c r="K2556" s="206" t="s">
        <v>121</v>
      </c>
      <c r="L2556" s="206" t="str">
        <v/>
      </c>
      <c r="M2556" s="206" t="str">
        <v/>
      </c>
    </row>
    <row r="2557" spans="1:13" ht="14.4">
      <c r="A2557" s="201"/>
      <c r="B2557" s="209"/>
      <c r="C2557" s="201"/>
      <c r="D2557" s="201"/>
      <c r="E2557" s="202"/>
      <c r="F2557" s="210"/>
      <c r="G2557" s="210"/>
      <c r="H2557" s="206" t="s">
        <v>121</v>
      </c>
      <c r="I2557" s="206" t="s">
        <v>121</v>
      </c>
      <c r="J2557" s="206" t="s">
        <v>121</v>
      </c>
      <c r="K2557" s="206" t="s">
        <v>121</v>
      </c>
      <c r="L2557" s="206" t="str">
        <v/>
      </c>
      <c r="M2557" s="206" t="str">
        <v/>
      </c>
    </row>
    <row r="2558" spans="1:13" ht="14.4">
      <c r="A2558" s="201"/>
      <c r="B2558" s="209"/>
      <c r="C2558" s="201"/>
      <c r="D2558" s="201"/>
      <c r="E2558" s="202"/>
      <c r="F2558" s="210"/>
      <c r="G2558" s="210"/>
      <c r="H2558" s="206" t="s">
        <v>121</v>
      </c>
      <c r="I2558" s="206" t="s">
        <v>121</v>
      </c>
      <c r="J2558" s="206" t="s">
        <v>121</v>
      </c>
      <c r="K2558" s="206" t="s">
        <v>121</v>
      </c>
      <c r="L2558" s="206" t="str">
        <v/>
      </c>
      <c r="M2558" s="206" t="str">
        <v/>
      </c>
    </row>
    <row r="2559" spans="1:13" ht="14.4">
      <c r="A2559" s="201"/>
      <c r="B2559" s="209"/>
      <c r="C2559" s="201"/>
      <c r="D2559" s="201"/>
      <c r="E2559" s="202"/>
      <c r="F2559" s="210"/>
      <c r="G2559" s="210"/>
      <c r="H2559" s="206" t="s">
        <v>121</v>
      </c>
      <c r="I2559" s="206" t="s">
        <v>121</v>
      </c>
      <c r="J2559" s="206" t="s">
        <v>121</v>
      </c>
      <c r="K2559" s="206" t="s">
        <v>121</v>
      </c>
      <c r="L2559" s="206" t="str">
        <v/>
      </c>
      <c r="M2559" s="206" t="str">
        <v/>
      </c>
    </row>
    <row r="2560" spans="1:13" ht="14.4">
      <c r="A2560" s="201"/>
      <c r="B2560" s="209"/>
      <c r="C2560" s="201"/>
      <c r="D2560" s="201"/>
      <c r="E2560" s="202"/>
      <c r="F2560" s="210"/>
      <c r="G2560" s="210"/>
      <c r="H2560" s="206" t="s">
        <v>121</v>
      </c>
      <c r="I2560" s="206" t="s">
        <v>121</v>
      </c>
      <c r="J2560" s="206" t="s">
        <v>121</v>
      </c>
      <c r="K2560" s="206" t="s">
        <v>121</v>
      </c>
      <c r="L2560" s="206" t="str">
        <v/>
      </c>
      <c r="M2560" s="206" t="str">
        <v/>
      </c>
    </row>
    <row r="2561" spans="1:13" ht="14.4">
      <c r="A2561" s="201"/>
      <c r="B2561" s="209"/>
      <c r="C2561" s="201"/>
      <c r="D2561" s="201"/>
      <c r="E2561" s="202"/>
      <c r="F2561" s="210"/>
      <c r="G2561" s="210"/>
      <c r="H2561" s="206" t="s">
        <v>121</v>
      </c>
      <c r="I2561" s="206" t="s">
        <v>121</v>
      </c>
      <c r="J2561" s="206" t="s">
        <v>121</v>
      </c>
      <c r="K2561" s="206" t="s">
        <v>121</v>
      </c>
      <c r="L2561" s="206" t="str">
        <v/>
      </c>
      <c r="M2561" s="206" t="str">
        <v/>
      </c>
    </row>
    <row r="2562" spans="1:13" ht="14.4">
      <c r="A2562" s="201"/>
      <c r="B2562" s="209"/>
      <c r="C2562" s="201"/>
      <c r="D2562" s="201"/>
      <c r="E2562" s="202"/>
      <c r="F2562" s="210"/>
      <c r="G2562" s="210"/>
      <c r="H2562" s="206" t="s">
        <v>121</v>
      </c>
      <c r="I2562" s="206" t="s">
        <v>121</v>
      </c>
      <c r="J2562" s="206" t="s">
        <v>121</v>
      </c>
      <c r="K2562" s="206" t="s">
        <v>121</v>
      </c>
      <c r="L2562" s="206" t="str">
        <v/>
      </c>
      <c r="M2562" s="206" t="str">
        <v/>
      </c>
    </row>
    <row r="2563" spans="1:13" ht="14.4">
      <c r="A2563" s="201"/>
      <c r="B2563" s="209"/>
      <c r="C2563" s="201"/>
      <c r="D2563" s="201"/>
      <c r="E2563" s="202"/>
      <c r="F2563" s="210"/>
      <c r="G2563" s="210"/>
      <c r="H2563" s="206" t="s">
        <v>121</v>
      </c>
      <c r="I2563" s="206" t="s">
        <v>121</v>
      </c>
      <c r="J2563" s="206" t="s">
        <v>121</v>
      </c>
      <c r="K2563" s="206" t="s">
        <v>121</v>
      </c>
      <c r="L2563" s="206" t="str">
        <v/>
      </c>
      <c r="M2563" s="206" t="str">
        <v/>
      </c>
    </row>
    <row r="2564" spans="1:13" ht="14.4">
      <c r="A2564" s="201"/>
      <c r="B2564" s="209"/>
      <c r="C2564" s="201"/>
      <c r="D2564" s="201"/>
      <c r="E2564" s="202"/>
      <c r="F2564" s="210"/>
      <c r="G2564" s="210"/>
      <c r="H2564" s="206" t="s">
        <v>121</v>
      </c>
      <c r="I2564" s="206" t="s">
        <v>121</v>
      </c>
      <c r="J2564" s="206" t="s">
        <v>121</v>
      </c>
      <c r="K2564" s="206" t="s">
        <v>121</v>
      </c>
      <c r="L2564" s="206" t="str">
        <v/>
      </c>
      <c r="M2564" s="206" t="str">
        <v/>
      </c>
    </row>
    <row r="2565" spans="1:13" ht="14.4">
      <c r="A2565" s="201"/>
      <c r="B2565" s="209"/>
      <c r="C2565" s="201"/>
      <c r="D2565" s="201"/>
      <c r="E2565" s="202"/>
      <c r="F2565" s="210"/>
      <c r="G2565" s="210"/>
      <c r="H2565" s="206" t="s">
        <v>121</v>
      </c>
      <c r="I2565" s="206" t="s">
        <v>121</v>
      </c>
      <c r="J2565" s="206" t="s">
        <v>121</v>
      </c>
      <c r="K2565" s="206" t="s">
        <v>121</v>
      </c>
      <c r="L2565" s="206" t="str">
        <v/>
      </c>
      <c r="M2565" s="206" t="str">
        <v/>
      </c>
    </row>
    <row r="2566" spans="1:13" ht="14.4">
      <c r="A2566" s="201"/>
      <c r="B2566" s="209"/>
      <c r="C2566" s="201"/>
      <c r="D2566" s="201"/>
      <c r="E2566" s="202"/>
      <c r="F2566" s="210"/>
      <c r="G2566" s="210"/>
      <c r="H2566" s="206" t="s">
        <v>121</v>
      </c>
      <c r="I2566" s="206" t="s">
        <v>121</v>
      </c>
      <c r="J2566" s="206" t="s">
        <v>121</v>
      </c>
      <c r="K2566" s="206" t="s">
        <v>121</v>
      </c>
      <c r="L2566" s="206" t="str">
        <v/>
      </c>
      <c r="M2566" s="206" t="str">
        <v/>
      </c>
    </row>
    <row r="2567" spans="1:13" ht="14.4">
      <c r="A2567" s="201"/>
      <c r="B2567" s="209"/>
      <c r="C2567" s="201"/>
      <c r="D2567" s="201"/>
      <c r="E2567" s="202"/>
      <c r="F2567" s="210"/>
      <c r="G2567" s="210"/>
      <c r="H2567" s="206" t="s">
        <v>121</v>
      </c>
      <c r="I2567" s="206" t="s">
        <v>121</v>
      </c>
      <c r="J2567" s="206" t="s">
        <v>121</v>
      </c>
      <c r="K2567" s="206" t="s">
        <v>121</v>
      </c>
      <c r="L2567" s="206" t="str">
        <v/>
      </c>
      <c r="M2567" s="206" t="str">
        <v/>
      </c>
    </row>
    <row r="2568" spans="1:13" ht="14.4">
      <c r="A2568" s="201"/>
      <c r="B2568" s="209"/>
      <c r="C2568" s="201"/>
      <c r="D2568" s="201"/>
      <c r="E2568" s="202"/>
      <c r="F2568" s="210"/>
      <c r="G2568" s="210"/>
      <c r="H2568" s="206" t="s">
        <v>121</v>
      </c>
      <c r="I2568" s="206" t="s">
        <v>121</v>
      </c>
      <c r="J2568" s="206" t="s">
        <v>121</v>
      </c>
      <c r="K2568" s="206" t="s">
        <v>121</v>
      </c>
      <c r="L2568" s="206" t="str">
        <v/>
      </c>
      <c r="M2568" s="206" t="str">
        <v/>
      </c>
    </row>
    <row r="2569" spans="1:13" ht="14.4">
      <c r="A2569" s="201"/>
      <c r="B2569" s="209"/>
      <c r="C2569" s="201"/>
      <c r="D2569" s="201"/>
      <c r="E2569" s="202"/>
      <c r="F2569" s="210"/>
      <c r="G2569" s="210"/>
      <c r="H2569" s="206" t="s">
        <v>121</v>
      </c>
      <c r="I2569" s="206" t="s">
        <v>121</v>
      </c>
      <c r="J2569" s="206" t="s">
        <v>121</v>
      </c>
      <c r="K2569" s="206" t="s">
        <v>121</v>
      </c>
      <c r="L2569" s="206" t="str">
        <v/>
      </c>
      <c r="M2569" s="206" t="str">
        <v/>
      </c>
    </row>
    <row r="2570" spans="1:13" ht="14.4">
      <c r="A2570" s="201"/>
      <c r="B2570" s="209"/>
      <c r="C2570" s="201"/>
      <c r="D2570" s="201"/>
      <c r="E2570" s="202"/>
      <c r="F2570" s="210"/>
      <c r="G2570" s="210"/>
      <c r="H2570" s="206" t="s">
        <v>121</v>
      </c>
      <c r="I2570" s="206" t="s">
        <v>121</v>
      </c>
      <c r="J2570" s="206" t="s">
        <v>121</v>
      </c>
      <c r="K2570" s="206" t="s">
        <v>121</v>
      </c>
      <c r="L2570" s="206" t="str">
        <v/>
      </c>
      <c r="M2570" s="206" t="str">
        <v/>
      </c>
    </row>
    <row r="2571" spans="1:13" ht="14.4">
      <c r="A2571" s="201"/>
      <c r="B2571" s="209"/>
      <c r="C2571" s="201"/>
      <c r="D2571" s="201"/>
      <c r="E2571" s="202"/>
      <c r="F2571" s="210"/>
      <c r="G2571" s="210"/>
      <c r="H2571" s="206" t="s">
        <v>121</v>
      </c>
      <c r="I2571" s="206" t="s">
        <v>121</v>
      </c>
      <c r="J2571" s="206" t="s">
        <v>121</v>
      </c>
      <c r="K2571" s="206" t="s">
        <v>121</v>
      </c>
      <c r="L2571" s="206" t="str">
        <v/>
      </c>
      <c r="M2571" s="206" t="str">
        <v/>
      </c>
    </row>
    <row r="2572" spans="1:13" ht="14.4">
      <c r="A2572" s="201"/>
      <c r="B2572" s="209"/>
      <c r="C2572" s="201"/>
      <c r="D2572" s="201"/>
      <c r="E2572" s="202"/>
      <c r="F2572" s="210"/>
      <c r="G2572" s="210"/>
      <c r="H2572" s="206" t="s">
        <v>121</v>
      </c>
      <c r="I2572" s="206" t="s">
        <v>121</v>
      </c>
      <c r="J2572" s="206" t="s">
        <v>121</v>
      </c>
      <c r="K2572" s="206" t="s">
        <v>121</v>
      </c>
      <c r="L2572" s="206" t="str">
        <v/>
      </c>
      <c r="M2572" s="206" t="str">
        <v/>
      </c>
    </row>
    <row r="2573" spans="1:13" ht="14.4">
      <c r="A2573" s="201"/>
      <c r="B2573" s="209"/>
      <c r="C2573" s="201"/>
      <c r="D2573" s="201"/>
      <c r="E2573" s="202"/>
      <c r="F2573" s="210"/>
      <c r="G2573" s="210"/>
      <c r="H2573" s="206" t="s">
        <v>121</v>
      </c>
      <c r="I2573" s="206" t="s">
        <v>121</v>
      </c>
      <c r="J2573" s="206" t="s">
        <v>121</v>
      </c>
      <c r="K2573" s="206" t="s">
        <v>121</v>
      </c>
      <c r="L2573" s="206" t="str">
        <v/>
      </c>
      <c r="M2573" s="206" t="str">
        <v/>
      </c>
    </row>
    <row r="2574" spans="1:13" ht="14.4">
      <c r="A2574" s="201"/>
      <c r="B2574" s="209"/>
      <c r="C2574" s="201"/>
      <c r="D2574" s="201"/>
      <c r="E2574" s="202"/>
      <c r="F2574" s="210"/>
      <c r="G2574" s="210"/>
      <c r="H2574" s="206" t="s">
        <v>121</v>
      </c>
      <c r="I2574" s="206" t="s">
        <v>121</v>
      </c>
      <c r="J2574" s="206" t="s">
        <v>121</v>
      </c>
      <c r="K2574" s="206" t="s">
        <v>121</v>
      </c>
      <c r="L2574" s="206" t="str">
        <v/>
      </c>
      <c r="M2574" s="206" t="str">
        <v/>
      </c>
    </row>
    <row r="2575" spans="1:13" ht="14.4">
      <c r="A2575" s="201"/>
      <c r="B2575" s="209"/>
      <c r="C2575" s="201"/>
      <c r="D2575" s="201"/>
      <c r="E2575" s="202"/>
      <c r="F2575" s="210"/>
      <c r="G2575" s="210"/>
      <c r="H2575" s="206" t="s">
        <v>121</v>
      </c>
      <c r="I2575" s="206" t="s">
        <v>121</v>
      </c>
      <c r="J2575" s="206" t="s">
        <v>121</v>
      </c>
      <c r="K2575" s="206" t="s">
        <v>121</v>
      </c>
      <c r="L2575" s="206" t="str">
        <v/>
      </c>
      <c r="M2575" s="206" t="str">
        <v/>
      </c>
    </row>
    <row r="2576" spans="1:13" ht="14.4">
      <c r="A2576" s="201"/>
      <c r="B2576" s="209"/>
      <c r="C2576" s="201"/>
      <c r="D2576" s="201"/>
      <c r="E2576" s="202"/>
      <c r="F2576" s="210"/>
      <c r="G2576" s="210"/>
      <c r="H2576" s="206" t="s">
        <v>121</v>
      </c>
      <c r="I2576" s="206" t="s">
        <v>121</v>
      </c>
      <c r="J2576" s="206" t="s">
        <v>121</v>
      </c>
      <c r="K2576" s="206" t="s">
        <v>121</v>
      </c>
      <c r="L2576" s="206" t="str">
        <v/>
      </c>
      <c r="M2576" s="206" t="str">
        <v/>
      </c>
    </row>
    <row r="2577" spans="1:13" ht="14.4">
      <c r="A2577" s="201"/>
      <c r="B2577" s="209"/>
      <c r="C2577" s="201"/>
      <c r="D2577" s="201"/>
      <c r="E2577" s="202"/>
      <c r="F2577" s="210"/>
      <c r="G2577" s="210"/>
      <c r="H2577" s="206" t="s">
        <v>121</v>
      </c>
      <c r="I2577" s="206" t="s">
        <v>121</v>
      </c>
      <c r="J2577" s="206" t="s">
        <v>121</v>
      </c>
      <c r="K2577" s="206" t="s">
        <v>121</v>
      </c>
      <c r="L2577" s="206" t="str">
        <v/>
      </c>
      <c r="M2577" s="206" t="str">
        <v/>
      </c>
    </row>
    <row r="2578" spans="1:13" ht="14.4">
      <c r="A2578" s="201"/>
      <c r="B2578" s="209"/>
      <c r="C2578" s="201"/>
      <c r="D2578" s="201"/>
      <c r="E2578" s="202"/>
      <c r="F2578" s="210"/>
      <c r="G2578" s="210"/>
      <c r="H2578" s="206" t="s">
        <v>121</v>
      </c>
      <c r="I2578" s="206" t="s">
        <v>121</v>
      </c>
      <c r="J2578" s="206" t="s">
        <v>121</v>
      </c>
      <c r="K2578" s="206" t="s">
        <v>121</v>
      </c>
      <c r="L2578" s="206" t="str">
        <v/>
      </c>
      <c r="M2578" s="206" t="str">
        <v/>
      </c>
    </row>
    <row r="2579" spans="1:13" ht="14.4">
      <c r="A2579" s="201"/>
      <c r="B2579" s="209"/>
      <c r="C2579" s="201"/>
      <c r="D2579" s="201"/>
      <c r="E2579" s="202"/>
      <c r="F2579" s="210"/>
      <c r="G2579" s="210"/>
      <c r="H2579" s="206" t="s">
        <v>121</v>
      </c>
      <c r="I2579" s="206" t="s">
        <v>121</v>
      </c>
      <c r="J2579" s="206" t="s">
        <v>121</v>
      </c>
      <c r="K2579" s="206" t="s">
        <v>121</v>
      </c>
      <c r="L2579" s="206" t="str">
        <v/>
      </c>
      <c r="M2579" s="206" t="str">
        <v/>
      </c>
    </row>
    <row r="2580" spans="1:13" ht="14.4">
      <c r="A2580" s="201"/>
      <c r="B2580" s="209"/>
      <c r="C2580" s="201"/>
      <c r="D2580" s="201"/>
      <c r="E2580" s="202"/>
      <c r="F2580" s="210"/>
      <c r="G2580" s="210"/>
      <c r="H2580" s="206" t="s">
        <v>121</v>
      </c>
      <c r="I2580" s="206" t="s">
        <v>121</v>
      </c>
      <c r="J2580" s="206" t="s">
        <v>121</v>
      </c>
      <c r="K2580" s="206" t="s">
        <v>121</v>
      </c>
      <c r="L2580" s="206" t="str">
        <v/>
      </c>
      <c r="M2580" s="206" t="str">
        <v/>
      </c>
    </row>
    <row r="2581" spans="1:13" ht="14.4">
      <c r="A2581" s="201"/>
      <c r="B2581" s="209"/>
      <c r="C2581" s="201"/>
      <c r="D2581" s="201"/>
      <c r="E2581" s="202"/>
      <c r="F2581" s="210"/>
      <c r="G2581" s="210"/>
      <c r="H2581" s="206" t="s">
        <v>121</v>
      </c>
      <c r="I2581" s="206" t="s">
        <v>121</v>
      </c>
      <c r="J2581" s="206" t="s">
        <v>121</v>
      </c>
      <c r="K2581" s="206" t="s">
        <v>121</v>
      </c>
      <c r="L2581" s="206" t="str">
        <v/>
      </c>
      <c r="M2581" s="206" t="str">
        <v/>
      </c>
    </row>
    <row r="2582" spans="1:13" ht="14.4">
      <c r="A2582" s="201"/>
      <c r="B2582" s="209"/>
      <c r="C2582" s="201"/>
      <c r="D2582" s="201"/>
      <c r="E2582" s="202"/>
      <c r="F2582" s="210"/>
      <c r="G2582" s="210"/>
      <c r="H2582" s="206" t="s">
        <v>121</v>
      </c>
      <c r="I2582" s="206" t="s">
        <v>121</v>
      </c>
      <c r="J2582" s="206" t="s">
        <v>121</v>
      </c>
      <c r="K2582" s="206" t="s">
        <v>121</v>
      </c>
      <c r="L2582" s="206" t="str">
        <v/>
      </c>
      <c r="M2582" s="206" t="str">
        <v/>
      </c>
    </row>
    <row r="2583" spans="1:13" ht="14.4">
      <c r="A2583" s="201"/>
      <c r="B2583" s="209"/>
      <c r="C2583" s="201"/>
      <c r="D2583" s="201"/>
      <c r="E2583" s="202"/>
      <c r="F2583" s="210"/>
      <c r="G2583" s="210"/>
      <c r="H2583" s="206" t="s">
        <v>121</v>
      </c>
      <c r="I2583" s="206" t="s">
        <v>121</v>
      </c>
      <c r="J2583" s="206" t="s">
        <v>121</v>
      </c>
      <c r="K2583" s="206" t="s">
        <v>121</v>
      </c>
      <c r="L2583" s="206" t="str">
        <v/>
      </c>
      <c r="M2583" s="206" t="str">
        <v/>
      </c>
    </row>
    <row r="2584" spans="1:13" ht="14.4">
      <c r="A2584" s="201"/>
      <c r="B2584" s="209"/>
      <c r="C2584" s="201"/>
      <c r="D2584" s="201"/>
      <c r="E2584" s="202"/>
      <c r="F2584" s="210"/>
      <c r="G2584" s="210"/>
      <c r="H2584" s="206" t="s">
        <v>121</v>
      </c>
      <c r="I2584" s="206" t="s">
        <v>121</v>
      </c>
      <c r="J2584" s="206" t="s">
        <v>121</v>
      </c>
      <c r="K2584" s="206" t="s">
        <v>121</v>
      </c>
      <c r="L2584" s="206" t="str">
        <v/>
      </c>
      <c r="M2584" s="206" t="str">
        <v/>
      </c>
    </row>
    <row r="2585" spans="1:13" ht="14.4">
      <c r="A2585" s="201"/>
      <c r="B2585" s="209"/>
      <c r="C2585" s="201"/>
      <c r="D2585" s="201"/>
      <c r="E2585" s="202"/>
      <c r="F2585" s="210"/>
      <c r="G2585" s="210"/>
      <c r="H2585" s="206" t="s">
        <v>121</v>
      </c>
      <c r="I2585" s="206" t="s">
        <v>121</v>
      </c>
      <c r="J2585" s="206" t="s">
        <v>121</v>
      </c>
      <c r="K2585" s="206" t="s">
        <v>121</v>
      </c>
      <c r="L2585" s="206" t="str">
        <v/>
      </c>
      <c r="M2585" s="206" t="str">
        <v/>
      </c>
    </row>
    <row r="2586" spans="1:13" ht="14.4">
      <c r="A2586" s="201"/>
      <c r="B2586" s="209"/>
      <c r="C2586" s="201"/>
      <c r="D2586" s="201"/>
      <c r="E2586" s="202"/>
      <c r="F2586" s="210"/>
      <c r="G2586" s="210"/>
      <c r="H2586" s="206" t="s">
        <v>121</v>
      </c>
      <c r="I2586" s="206" t="s">
        <v>121</v>
      </c>
      <c r="J2586" s="206" t="s">
        <v>121</v>
      </c>
      <c r="K2586" s="206" t="s">
        <v>121</v>
      </c>
      <c r="L2586" s="206" t="str">
        <v/>
      </c>
      <c r="M2586" s="206" t="str">
        <v/>
      </c>
    </row>
    <row r="2587" spans="1:13" ht="14.4">
      <c r="A2587" s="201"/>
      <c r="B2587" s="209"/>
      <c r="C2587" s="201"/>
      <c r="D2587" s="201"/>
      <c r="E2587" s="202"/>
      <c r="F2587" s="210"/>
      <c r="G2587" s="210"/>
      <c r="H2587" s="206" t="s">
        <v>121</v>
      </c>
      <c r="I2587" s="206" t="s">
        <v>121</v>
      </c>
      <c r="J2587" s="206" t="s">
        <v>121</v>
      </c>
      <c r="K2587" s="206" t="s">
        <v>121</v>
      </c>
      <c r="L2587" s="206" t="str">
        <v/>
      </c>
      <c r="M2587" s="206" t="str">
        <v/>
      </c>
    </row>
    <row r="2588" spans="1:13" ht="14.4">
      <c r="A2588" s="201"/>
      <c r="B2588" s="209"/>
      <c r="C2588" s="201"/>
      <c r="D2588" s="201"/>
      <c r="E2588" s="202"/>
      <c r="F2588" s="210"/>
      <c r="G2588" s="210"/>
      <c r="H2588" s="206" t="s">
        <v>121</v>
      </c>
      <c r="I2588" s="206" t="s">
        <v>121</v>
      </c>
      <c r="J2588" s="206" t="s">
        <v>121</v>
      </c>
      <c r="K2588" s="206" t="s">
        <v>121</v>
      </c>
      <c r="L2588" s="206" t="str">
        <v/>
      </c>
      <c r="M2588" s="206" t="str">
        <v/>
      </c>
    </row>
    <row r="2589" spans="1:13" ht="14.4">
      <c r="A2589" s="201"/>
      <c r="B2589" s="209"/>
      <c r="C2589" s="201"/>
      <c r="D2589" s="201"/>
      <c r="E2589" s="202"/>
      <c r="F2589" s="210"/>
      <c r="G2589" s="210"/>
      <c r="H2589" s="206" t="s">
        <v>121</v>
      </c>
      <c r="I2589" s="206" t="s">
        <v>121</v>
      </c>
      <c r="J2589" s="206" t="s">
        <v>121</v>
      </c>
      <c r="K2589" s="206" t="s">
        <v>121</v>
      </c>
      <c r="L2589" s="206" t="str">
        <v/>
      </c>
      <c r="M2589" s="206" t="str">
        <v/>
      </c>
    </row>
    <row r="2590" spans="1:13" ht="14.4">
      <c r="A2590" s="201"/>
      <c r="B2590" s="209"/>
      <c r="C2590" s="201"/>
      <c r="D2590" s="201"/>
      <c r="E2590" s="202"/>
      <c r="F2590" s="210"/>
      <c r="G2590" s="210"/>
      <c r="H2590" s="206" t="s">
        <v>121</v>
      </c>
      <c r="I2590" s="206" t="s">
        <v>121</v>
      </c>
      <c r="J2590" s="206" t="s">
        <v>121</v>
      </c>
      <c r="K2590" s="206" t="s">
        <v>121</v>
      </c>
      <c r="L2590" s="206" t="str">
        <v/>
      </c>
      <c r="M2590" s="206" t="str">
        <v/>
      </c>
    </row>
    <row r="2591" spans="1:13" ht="14.4">
      <c r="A2591" s="201"/>
      <c r="B2591" s="209"/>
      <c r="C2591" s="201"/>
      <c r="D2591" s="201"/>
      <c r="E2591" s="202"/>
      <c r="F2591" s="210"/>
      <c r="G2591" s="210"/>
      <c r="H2591" s="206" t="s">
        <v>121</v>
      </c>
      <c r="I2591" s="206" t="s">
        <v>121</v>
      </c>
      <c r="J2591" s="206" t="s">
        <v>121</v>
      </c>
      <c r="K2591" s="206" t="s">
        <v>121</v>
      </c>
      <c r="L2591" s="206" t="str">
        <v/>
      </c>
      <c r="M2591" s="206" t="str">
        <v/>
      </c>
    </row>
    <row r="2592" spans="1:13" ht="14.4">
      <c r="A2592" s="201"/>
      <c r="B2592" s="209"/>
      <c r="C2592" s="201"/>
      <c r="D2592" s="201"/>
      <c r="E2592" s="202"/>
      <c r="F2592" s="210"/>
      <c r="G2592" s="210"/>
      <c r="H2592" s="206" t="s">
        <v>121</v>
      </c>
      <c r="I2592" s="206" t="s">
        <v>121</v>
      </c>
      <c r="J2592" s="206" t="s">
        <v>121</v>
      </c>
      <c r="K2592" s="206" t="s">
        <v>121</v>
      </c>
      <c r="L2592" s="206" t="str">
        <v/>
      </c>
      <c r="M2592" s="206" t="str">
        <v/>
      </c>
    </row>
    <row r="2593" spans="1:13" ht="14.4">
      <c r="A2593" s="201"/>
      <c r="B2593" s="209"/>
      <c r="C2593" s="201"/>
      <c r="D2593" s="201"/>
      <c r="E2593" s="202"/>
      <c r="F2593" s="210"/>
      <c r="G2593" s="210"/>
      <c r="H2593" s="206" t="s">
        <v>121</v>
      </c>
      <c r="I2593" s="206" t="s">
        <v>121</v>
      </c>
      <c r="J2593" s="206" t="s">
        <v>121</v>
      </c>
      <c r="K2593" s="206" t="s">
        <v>121</v>
      </c>
      <c r="L2593" s="206" t="str">
        <v/>
      </c>
      <c r="M2593" s="206" t="str">
        <v/>
      </c>
    </row>
    <row r="2594" spans="1:13" ht="14.4">
      <c r="A2594" s="201"/>
      <c r="B2594" s="209"/>
      <c r="C2594" s="201"/>
      <c r="D2594" s="201"/>
      <c r="E2594" s="202"/>
      <c r="F2594" s="210"/>
      <c r="G2594" s="210"/>
      <c r="H2594" s="206" t="s">
        <v>121</v>
      </c>
      <c r="I2594" s="206" t="s">
        <v>121</v>
      </c>
      <c r="J2594" s="206" t="s">
        <v>121</v>
      </c>
      <c r="K2594" s="206" t="s">
        <v>121</v>
      </c>
      <c r="L2594" s="206" t="str">
        <v/>
      </c>
      <c r="M2594" s="206" t="str">
        <v/>
      </c>
    </row>
    <row r="2595" spans="1:13" ht="14.4">
      <c r="A2595" s="201"/>
      <c r="B2595" s="209"/>
      <c r="C2595" s="201"/>
      <c r="D2595" s="201"/>
      <c r="E2595" s="202"/>
      <c r="F2595" s="210"/>
      <c r="G2595" s="210"/>
      <c r="H2595" s="206" t="s">
        <v>121</v>
      </c>
      <c r="I2595" s="206" t="s">
        <v>121</v>
      </c>
      <c r="J2595" s="206" t="s">
        <v>121</v>
      </c>
      <c r="K2595" s="206" t="s">
        <v>121</v>
      </c>
      <c r="L2595" s="206" t="str">
        <v/>
      </c>
      <c r="M2595" s="206" t="str">
        <v/>
      </c>
    </row>
    <row r="2596" spans="1:13" ht="14.4">
      <c r="A2596" s="201"/>
      <c r="B2596" s="209"/>
      <c r="C2596" s="201"/>
      <c r="D2596" s="201"/>
      <c r="E2596" s="202"/>
      <c r="F2596" s="210"/>
      <c r="G2596" s="210"/>
      <c r="H2596" s="206" t="s">
        <v>121</v>
      </c>
      <c r="I2596" s="206" t="s">
        <v>121</v>
      </c>
      <c r="J2596" s="206" t="s">
        <v>121</v>
      </c>
      <c r="K2596" s="206" t="s">
        <v>121</v>
      </c>
      <c r="L2596" s="206" t="str">
        <v/>
      </c>
      <c r="M2596" s="206" t="str">
        <v/>
      </c>
    </row>
    <row r="2597" spans="1:13" ht="14.4">
      <c r="A2597" s="201"/>
      <c r="B2597" s="209"/>
      <c r="C2597" s="201"/>
      <c r="D2597" s="201"/>
      <c r="E2597" s="202"/>
      <c r="F2597" s="210"/>
      <c r="G2597" s="210"/>
      <c r="H2597" s="206" t="s">
        <v>121</v>
      </c>
      <c r="I2597" s="206" t="s">
        <v>121</v>
      </c>
      <c r="J2597" s="206" t="s">
        <v>121</v>
      </c>
      <c r="K2597" s="206" t="s">
        <v>121</v>
      </c>
      <c r="L2597" s="206" t="str">
        <v/>
      </c>
      <c r="M2597" s="206" t="str">
        <v/>
      </c>
    </row>
    <row r="2598" spans="1:13" ht="14.4">
      <c r="A2598" s="201"/>
      <c r="B2598" s="209"/>
      <c r="C2598" s="201"/>
      <c r="D2598" s="201"/>
      <c r="E2598" s="202"/>
      <c r="F2598" s="210"/>
      <c r="G2598" s="210"/>
      <c r="H2598" s="206" t="s">
        <v>121</v>
      </c>
      <c r="I2598" s="206" t="s">
        <v>121</v>
      </c>
      <c r="J2598" s="206" t="s">
        <v>121</v>
      </c>
      <c r="K2598" s="206" t="s">
        <v>121</v>
      </c>
      <c r="L2598" s="206" t="str">
        <v/>
      </c>
      <c r="M2598" s="206" t="str">
        <v/>
      </c>
    </row>
    <row r="2599" spans="1:13" ht="14.4">
      <c r="A2599" s="201"/>
      <c r="B2599" s="209"/>
      <c r="C2599" s="201"/>
      <c r="D2599" s="201"/>
      <c r="E2599" s="202"/>
      <c r="F2599" s="210"/>
      <c r="G2599" s="210"/>
      <c r="H2599" s="206" t="s">
        <v>121</v>
      </c>
      <c r="I2599" s="206" t="s">
        <v>121</v>
      </c>
      <c r="J2599" s="206" t="s">
        <v>121</v>
      </c>
      <c r="K2599" s="206" t="s">
        <v>121</v>
      </c>
      <c r="L2599" s="206" t="str">
        <v/>
      </c>
      <c r="M2599" s="206" t="str">
        <v/>
      </c>
    </row>
    <row r="2600" spans="1:13" ht="14.4">
      <c r="A2600" s="201"/>
      <c r="B2600" s="209"/>
      <c r="C2600" s="201"/>
      <c r="D2600" s="201"/>
      <c r="E2600" s="202"/>
      <c r="F2600" s="210"/>
      <c r="G2600" s="210"/>
      <c r="H2600" s="206" t="s">
        <v>121</v>
      </c>
      <c r="I2600" s="206" t="s">
        <v>121</v>
      </c>
      <c r="J2600" s="206" t="s">
        <v>121</v>
      </c>
      <c r="K2600" s="206" t="s">
        <v>121</v>
      </c>
      <c r="L2600" s="206" t="str">
        <v/>
      </c>
      <c r="M2600" s="206" t="str">
        <v/>
      </c>
    </row>
    <row r="2601" spans="1:13" ht="14.4">
      <c r="A2601" s="201"/>
      <c r="B2601" s="209"/>
      <c r="C2601" s="201"/>
      <c r="D2601" s="201"/>
      <c r="E2601" s="202"/>
      <c r="F2601" s="210"/>
      <c r="G2601" s="210"/>
      <c r="H2601" s="206" t="s">
        <v>121</v>
      </c>
      <c r="I2601" s="206" t="s">
        <v>121</v>
      </c>
      <c r="J2601" s="206" t="s">
        <v>121</v>
      </c>
      <c r="K2601" s="206" t="s">
        <v>121</v>
      </c>
      <c r="L2601" s="206" t="str">
        <v/>
      </c>
      <c r="M2601" s="206" t="str">
        <v/>
      </c>
    </row>
    <row r="2602" spans="1:13" ht="14.4">
      <c r="A2602" s="201"/>
      <c r="B2602" s="209"/>
      <c r="C2602" s="201"/>
      <c r="D2602" s="201"/>
      <c r="E2602" s="202"/>
      <c r="F2602" s="210"/>
      <c r="G2602" s="210"/>
      <c r="H2602" s="206" t="s">
        <v>121</v>
      </c>
      <c r="I2602" s="206" t="s">
        <v>121</v>
      </c>
      <c r="J2602" s="206" t="s">
        <v>121</v>
      </c>
      <c r="K2602" s="206" t="s">
        <v>121</v>
      </c>
      <c r="L2602" s="206" t="str">
        <v/>
      </c>
      <c r="M2602" s="206" t="str">
        <v/>
      </c>
    </row>
    <row r="2603" spans="1:13" ht="14.4">
      <c r="A2603" s="201"/>
      <c r="B2603" s="209"/>
      <c r="C2603" s="201"/>
      <c r="D2603" s="201"/>
      <c r="E2603" s="202"/>
      <c r="F2603" s="210"/>
      <c r="G2603" s="210"/>
      <c r="H2603" s="206" t="s">
        <v>121</v>
      </c>
      <c r="I2603" s="206" t="s">
        <v>121</v>
      </c>
      <c r="J2603" s="206" t="s">
        <v>121</v>
      </c>
      <c r="K2603" s="206" t="s">
        <v>121</v>
      </c>
      <c r="L2603" s="206" t="str">
        <v/>
      </c>
      <c r="M2603" s="206" t="str">
        <v/>
      </c>
    </row>
    <row r="2604" spans="1:13" ht="14.4">
      <c r="A2604" s="201"/>
      <c r="B2604" s="209"/>
      <c r="C2604" s="201"/>
      <c r="D2604" s="201"/>
      <c r="E2604" s="202"/>
      <c r="F2604" s="210"/>
      <c r="G2604" s="210"/>
      <c r="H2604" s="206" t="s">
        <v>121</v>
      </c>
      <c r="I2604" s="206" t="s">
        <v>121</v>
      </c>
      <c r="J2604" s="206" t="s">
        <v>121</v>
      </c>
      <c r="K2604" s="206" t="s">
        <v>121</v>
      </c>
      <c r="L2604" s="206" t="str">
        <v/>
      </c>
      <c r="M2604" s="206" t="str">
        <v/>
      </c>
    </row>
    <row r="2605" spans="1:13" ht="14.4">
      <c r="A2605" s="201"/>
      <c r="B2605" s="209"/>
      <c r="C2605" s="201"/>
      <c r="D2605" s="201"/>
      <c r="E2605" s="202"/>
      <c r="F2605" s="210"/>
      <c r="G2605" s="210"/>
      <c r="H2605" s="206" t="s">
        <v>121</v>
      </c>
      <c r="I2605" s="206" t="s">
        <v>121</v>
      </c>
      <c r="J2605" s="206" t="s">
        <v>121</v>
      </c>
      <c r="K2605" s="206" t="s">
        <v>121</v>
      </c>
      <c r="L2605" s="206" t="str">
        <v/>
      </c>
      <c r="M2605" s="206" t="str">
        <v/>
      </c>
    </row>
    <row r="2606" spans="1:13" ht="14.4">
      <c r="A2606" s="201"/>
      <c r="B2606" s="209"/>
      <c r="C2606" s="201"/>
      <c r="D2606" s="201"/>
      <c r="E2606" s="202"/>
      <c r="F2606" s="210"/>
      <c r="G2606" s="210"/>
      <c r="H2606" s="206" t="s">
        <v>121</v>
      </c>
      <c r="I2606" s="206" t="s">
        <v>121</v>
      </c>
      <c r="J2606" s="206" t="s">
        <v>121</v>
      </c>
      <c r="K2606" s="206" t="s">
        <v>121</v>
      </c>
      <c r="L2606" s="206" t="str">
        <v/>
      </c>
      <c r="M2606" s="206" t="str">
        <v/>
      </c>
    </row>
    <row r="2607" spans="1:13" ht="14.4">
      <c r="A2607" s="201"/>
      <c r="B2607" s="209"/>
      <c r="C2607" s="201"/>
      <c r="D2607" s="201"/>
      <c r="E2607" s="202"/>
      <c r="F2607" s="210"/>
      <c r="G2607" s="210"/>
      <c r="H2607" s="206" t="s">
        <v>121</v>
      </c>
      <c r="I2607" s="206" t="s">
        <v>121</v>
      </c>
      <c r="J2607" s="206" t="s">
        <v>121</v>
      </c>
      <c r="K2607" s="206" t="s">
        <v>121</v>
      </c>
      <c r="L2607" s="206" t="str">
        <v/>
      </c>
      <c r="M2607" s="206" t="str">
        <v/>
      </c>
    </row>
    <row r="2608" spans="1:13" ht="14.4">
      <c r="A2608" s="201"/>
      <c r="B2608" s="209"/>
      <c r="C2608" s="201"/>
      <c r="D2608" s="201"/>
      <c r="E2608" s="202"/>
      <c r="F2608" s="210"/>
      <c r="G2608" s="210"/>
      <c r="H2608" s="206" t="s">
        <v>121</v>
      </c>
      <c r="I2608" s="206" t="s">
        <v>121</v>
      </c>
      <c r="J2608" s="206" t="s">
        <v>121</v>
      </c>
      <c r="K2608" s="206" t="s">
        <v>121</v>
      </c>
      <c r="L2608" s="206" t="str">
        <v/>
      </c>
      <c r="M2608" s="206" t="str">
        <v/>
      </c>
    </row>
    <row r="2609" spans="1:13" ht="14.4">
      <c r="A2609" s="201"/>
      <c r="B2609" s="209"/>
      <c r="C2609" s="201"/>
      <c r="D2609" s="201"/>
      <c r="E2609" s="202"/>
      <c r="F2609" s="210"/>
      <c r="G2609" s="210"/>
      <c r="H2609" s="206" t="s">
        <v>121</v>
      </c>
      <c r="I2609" s="206" t="s">
        <v>121</v>
      </c>
      <c r="J2609" s="206" t="s">
        <v>121</v>
      </c>
      <c r="K2609" s="206" t="s">
        <v>121</v>
      </c>
      <c r="L2609" s="206" t="str">
        <v/>
      </c>
      <c r="M2609" s="206" t="str">
        <v/>
      </c>
    </row>
    <row r="2610" spans="1:13" ht="14.4">
      <c r="A2610" s="201"/>
      <c r="B2610" s="209"/>
      <c r="C2610" s="201"/>
      <c r="D2610" s="201"/>
      <c r="E2610" s="202"/>
      <c r="F2610" s="210"/>
      <c r="G2610" s="210"/>
      <c r="H2610" s="206" t="s">
        <v>121</v>
      </c>
      <c r="I2610" s="206" t="s">
        <v>121</v>
      </c>
      <c r="J2610" s="206" t="s">
        <v>121</v>
      </c>
      <c r="K2610" s="206" t="s">
        <v>121</v>
      </c>
      <c r="L2610" s="206" t="str">
        <v/>
      </c>
      <c r="M2610" s="206" t="str">
        <v/>
      </c>
    </row>
    <row r="2611" spans="1:13" ht="14.4">
      <c r="A2611" s="201"/>
      <c r="B2611" s="209"/>
      <c r="C2611" s="201"/>
      <c r="D2611" s="201"/>
      <c r="E2611" s="202"/>
      <c r="F2611" s="210"/>
      <c r="G2611" s="210"/>
      <c r="H2611" s="206" t="s">
        <v>121</v>
      </c>
      <c r="I2611" s="206" t="s">
        <v>121</v>
      </c>
      <c r="J2611" s="206" t="s">
        <v>121</v>
      </c>
      <c r="K2611" s="206" t="s">
        <v>121</v>
      </c>
      <c r="L2611" s="206" t="str">
        <v/>
      </c>
      <c r="M2611" s="206" t="str">
        <v/>
      </c>
    </row>
    <row r="2612" spans="1:13" ht="14.4">
      <c r="A2612" s="201"/>
      <c r="B2612" s="209"/>
      <c r="C2612" s="201"/>
      <c r="D2612" s="201"/>
      <c r="E2612" s="202"/>
      <c r="F2612" s="210"/>
      <c r="G2612" s="210"/>
      <c r="H2612" s="206" t="s">
        <v>121</v>
      </c>
      <c r="I2612" s="206" t="s">
        <v>121</v>
      </c>
      <c r="J2612" s="206" t="s">
        <v>121</v>
      </c>
      <c r="K2612" s="206" t="s">
        <v>121</v>
      </c>
      <c r="L2612" s="206" t="str">
        <v/>
      </c>
      <c r="M2612" s="206" t="str">
        <v/>
      </c>
    </row>
    <row r="2613" spans="1:13" ht="14.4">
      <c r="A2613" s="201"/>
      <c r="B2613" s="209"/>
      <c r="C2613" s="201"/>
      <c r="D2613" s="201"/>
      <c r="E2613" s="202"/>
      <c r="F2613" s="210"/>
      <c r="G2613" s="210"/>
      <c r="H2613" s="206" t="s">
        <v>121</v>
      </c>
      <c r="I2613" s="206" t="s">
        <v>121</v>
      </c>
      <c r="J2613" s="206" t="s">
        <v>121</v>
      </c>
      <c r="K2613" s="206" t="s">
        <v>121</v>
      </c>
      <c r="L2613" s="206" t="str">
        <v/>
      </c>
      <c r="M2613" s="206" t="str">
        <v/>
      </c>
    </row>
    <row r="2614" spans="1:13" ht="14.4">
      <c r="A2614" s="201"/>
      <c r="B2614" s="209"/>
      <c r="C2614" s="201"/>
      <c r="D2614" s="201"/>
      <c r="E2614" s="202"/>
      <c r="F2614" s="210"/>
      <c r="G2614" s="210"/>
      <c r="H2614" s="206" t="s">
        <v>121</v>
      </c>
      <c r="I2614" s="206" t="s">
        <v>121</v>
      </c>
      <c r="J2614" s="206" t="s">
        <v>121</v>
      </c>
      <c r="K2614" s="206" t="s">
        <v>121</v>
      </c>
      <c r="L2614" s="206" t="str">
        <v/>
      </c>
      <c r="M2614" s="206" t="str">
        <v/>
      </c>
    </row>
    <row r="2615" spans="1:13" ht="14.4">
      <c r="A2615" s="201"/>
      <c r="B2615" s="209"/>
      <c r="C2615" s="201"/>
      <c r="D2615" s="201"/>
      <c r="E2615" s="202"/>
      <c r="F2615" s="210"/>
      <c r="G2615" s="210"/>
      <c r="H2615" s="206" t="s">
        <v>121</v>
      </c>
      <c r="I2615" s="206" t="s">
        <v>121</v>
      </c>
      <c r="J2615" s="206" t="s">
        <v>121</v>
      </c>
      <c r="K2615" s="206" t="s">
        <v>121</v>
      </c>
      <c r="L2615" s="206" t="str">
        <v/>
      </c>
      <c r="M2615" s="206" t="str">
        <v/>
      </c>
    </row>
    <row r="2616" spans="1:13" ht="14.4">
      <c r="A2616" s="201"/>
      <c r="B2616" s="209"/>
      <c r="C2616" s="201"/>
      <c r="D2616" s="201"/>
      <c r="E2616" s="202"/>
      <c r="F2616" s="210"/>
      <c r="G2616" s="210"/>
      <c r="H2616" s="206" t="s">
        <v>121</v>
      </c>
      <c r="I2616" s="206" t="s">
        <v>121</v>
      </c>
      <c r="J2616" s="206" t="s">
        <v>121</v>
      </c>
      <c r="K2616" s="206" t="s">
        <v>121</v>
      </c>
      <c r="L2616" s="206" t="str">
        <v/>
      </c>
      <c r="M2616" s="206" t="str">
        <v/>
      </c>
    </row>
    <row r="2617" spans="1:13" ht="14.4">
      <c r="A2617" s="201"/>
      <c r="B2617" s="209"/>
      <c r="C2617" s="201"/>
      <c r="D2617" s="201"/>
      <c r="E2617" s="202"/>
      <c r="F2617" s="210"/>
      <c r="G2617" s="210"/>
      <c r="H2617" s="206" t="s">
        <v>121</v>
      </c>
      <c r="I2617" s="206" t="s">
        <v>121</v>
      </c>
      <c r="J2617" s="206" t="s">
        <v>121</v>
      </c>
      <c r="K2617" s="206" t="s">
        <v>121</v>
      </c>
      <c r="L2617" s="206" t="str">
        <v/>
      </c>
      <c r="M2617" s="206" t="str">
        <v/>
      </c>
    </row>
    <row r="2618" spans="1:13" ht="14.4">
      <c r="A2618" s="201"/>
      <c r="B2618" s="209"/>
      <c r="C2618" s="201"/>
      <c r="D2618" s="201"/>
      <c r="E2618" s="202"/>
      <c r="F2618" s="210"/>
      <c r="G2618" s="210"/>
      <c r="H2618" s="206" t="s">
        <v>121</v>
      </c>
      <c r="I2618" s="206" t="s">
        <v>121</v>
      </c>
      <c r="J2618" s="206" t="s">
        <v>121</v>
      </c>
      <c r="K2618" s="206" t="s">
        <v>121</v>
      </c>
      <c r="L2618" s="206" t="str">
        <v/>
      </c>
      <c r="M2618" s="206" t="str">
        <v/>
      </c>
    </row>
    <row r="2619" spans="1:13" ht="14.4">
      <c r="A2619" s="201"/>
      <c r="B2619" s="209"/>
      <c r="C2619" s="201"/>
      <c r="D2619" s="201"/>
      <c r="E2619" s="202"/>
      <c r="F2619" s="210"/>
      <c r="G2619" s="210"/>
      <c r="H2619" s="206" t="s">
        <v>121</v>
      </c>
      <c r="I2619" s="206" t="s">
        <v>121</v>
      </c>
      <c r="J2619" s="206" t="s">
        <v>121</v>
      </c>
      <c r="K2619" s="206" t="s">
        <v>121</v>
      </c>
      <c r="L2619" s="206" t="str">
        <v/>
      </c>
      <c r="M2619" s="206" t="str">
        <v/>
      </c>
    </row>
    <row r="2620" spans="1:13" ht="14.4">
      <c r="A2620" s="201"/>
      <c r="B2620" s="209"/>
      <c r="C2620" s="201"/>
      <c r="D2620" s="201"/>
      <c r="E2620" s="202"/>
      <c r="F2620" s="210"/>
      <c r="G2620" s="210"/>
      <c r="H2620" s="206" t="s">
        <v>121</v>
      </c>
      <c r="I2620" s="206" t="s">
        <v>121</v>
      </c>
      <c r="J2620" s="206" t="s">
        <v>121</v>
      </c>
      <c r="K2620" s="206" t="s">
        <v>121</v>
      </c>
      <c r="L2620" s="206" t="str">
        <v/>
      </c>
      <c r="M2620" s="206" t="str">
        <v/>
      </c>
    </row>
    <row r="2621" spans="1:13" ht="14.4">
      <c r="A2621" s="201"/>
      <c r="B2621" s="209"/>
      <c r="C2621" s="201"/>
      <c r="D2621" s="201"/>
      <c r="E2621" s="202"/>
      <c r="F2621" s="210"/>
      <c r="G2621" s="210"/>
      <c r="H2621" s="206" t="s">
        <v>121</v>
      </c>
      <c r="I2621" s="206" t="s">
        <v>121</v>
      </c>
      <c r="J2621" s="206" t="s">
        <v>121</v>
      </c>
      <c r="K2621" s="206" t="s">
        <v>121</v>
      </c>
      <c r="L2621" s="206" t="str">
        <v/>
      </c>
      <c r="M2621" s="206" t="str">
        <v/>
      </c>
    </row>
    <row r="2622" spans="1:13" ht="14.4">
      <c r="A2622" s="201"/>
      <c r="B2622" s="209"/>
      <c r="C2622" s="201"/>
      <c r="D2622" s="201"/>
      <c r="E2622" s="202"/>
      <c r="F2622" s="210"/>
      <c r="G2622" s="210"/>
      <c r="H2622" s="206" t="s">
        <v>121</v>
      </c>
      <c r="I2622" s="206" t="s">
        <v>121</v>
      </c>
      <c r="J2622" s="206" t="s">
        <v>121</v>
      </c>
      <c r="K2622" s="206" t="s">
        <v>121</v>
      </c>
      <c r="L2622" s="206" t="str">
        <v/>
      </c>
      <c r="M2622" s="206" t="str">
        <v/>
      </c>
    </row>
    <row r="2623" spans="1:13" ht="14.4">
      <c r="A2623" s="201"/>
      <c r="B2623" s="209"/>
      <c r="C2623" s="201"/>
      <c r="D2623" s="201"/>
      <c r="E2623" s="202"/>
      <c r="F2623" s="210"/>
      <c r="G2623" s="210"/>
      <c r="H2623" s="206" t="s">
        <v>121</v>
      </c>
      <c r="I2623" s="206" t="s">
        <v>121</v>
      </c>
      <c r="J2623" s="206" t="s">
        <v>121</v>
      </c>
      <c r="K2623" s="206" t="s">
        <v>121</v>
      </c>
      <c r="L2623" s="206" t="str">
        <v/>
      </c>
      <c r="M2623" s="206" t="str">
        <v/>
      </c>
    </row>
    <row r="2624" spans="1:13" ht="14.4">
      <c r="A2624" s="201"/>
      <c r="B2624" s="209"/>
      <c r="C2624" s="201"/>
      <c r="D2624" s="201"/>
      <c r="E2624" s="202"/>
      <c r="F2624" s="210"/>
      <c r="G2624" s="210"/>
      <c r="H2624" s="206" t="s">
        <v>121</v>
      </c>
      <c r="I2624" s="206" t="s">
        <v>121</v>
      </c>
      <c r="J2624" s="206" t="s">
        <v>121</v>
      </c>
      <c r="K2624" s="206" t="s">
        <v>121</v>
      </c>
      <c r="L2624" s="206" t="str">
        <v/>
      </c>
      <c r="M2624" s="206" t="str">
        <v/>
      </c>
    </row>
    <row r="2625" spans="1:13" ht="14.4">
      <c r="A2625" s="201"/>
      <c r="B2625" s="209"/>
      <c r="C2625" s="201"/>
      <c r="D2625" s="201"/>
      <c r="E2625" s="202"/>
      <c r="F2625" s="210"/>
      <c r="G2625" s="210"/>
      <c r="H2625" s="206" t="s">
        <v>121</v>
      </c>
      <c r="I2625" s="206" t="s">
        <v>121</v>
      </c>
      <c r="J2625" s="206" t="s">
        <v>121</v>
      </c>
      <c r="K2625" s="206" t="s">
        <v>121</v>
      </c>
      <c r="L2625" s="206" t="str">
        <v/>
      </c>
      <c r="M2625" s="206" t="str">
        <v/>
      </c>
    </row>
    <row r="2626" spans="1:13" ht="14.4">
      <c r="A2626" s="201"/>
      <c r="B2626" s="209"/>
      <c r="C2626" s="201"/>
      <c r="D2626" s="201"/>
      <c r="E2626" s="202"/>
      <c r="F2626" s="210"/>
      <c r="G2626" s="210"/>
      <c r="H2626" s="206" t="s">
        <v>121</v>
      </c>
      <c r="I2626" s="206" t="s">
        <v>121</v>
      </c>
      <c r="J2626" s="206" t="s">
        <v>121</v>
      </c>
      <c r="K2626" s="206" t="s">
        <v>121</v>
      </c>
      <c r="L2626" s="206" t="str">
        <v/>
      </c>
      <c r="M2626" s="206" t="str">
        <v/>
      </c>
    </row>
    <row r="2627" spans="1:13" ht="14.4">
      <c r="A2627" s="201"/>
      <c r="B2627" s="209"/>
      <c r="C2627" s="201"/>
      <c r="D2627" s="201"/>
      <c r="E2627" s="202"/>
      <c r="F2627" s="210"/>
      <c r="G2627" s="210"/>
      <c r="H2627" s="206" t="s">
        <v>121</v>
      </c>
      <c r="I2627" s="206" t="s">
        <v>121</v>
      </c>
      <c r="J2627" s="206" t="s">
        <v>121</v>
      </c>
      <c r="K2627" s="206" t="s">
        <v>121</v>
      </c>
      <c r="L2627" s="206" t="str">
        <v/>
      </c>
      <c r="M2627" s="206" t="str">
        <v/>
      </c>
    </row>
    <row r="2628" spans="1:13" ht="14.4">
      <c r="A2628" s="201"/>
      <c r="B2628" s="209"/>
      <c r="C2628" s="201"/>
      <c r="D2628" s="201"/>
      <c r="E2628" s="202"/>
      <c r="F2628" s="210"/>
      <c r="G2628" s="210"/>
      <c r="H2628" s="206" t="s">
        <v>121</v>
      </c>
      <c r="I2628" s="206" t="s">
        <v>121</v>
      </c>
      <c r="J2628" s="206" t="s">
        <v>121</v>
      </c>
      <c r="K2628" s="206" t="s">
        <v>121</v>
      </c>
      <c r="L2628" s="206" t="str">
        <v/>
      </c>
      <c r="M2628" s="206" t="str">
        <v/>
      </c>
    </row>
    <row r="2629" spans="1:13" ht="14.4">
      <c r="A2629" s="201"/>
      <c r="B2629" s="209"/>
      <c r="C2629" s="201"/>
      <c r="D2629" s="201"/>
      <c r="E2629" s="202"/>
      <c r="F2629" s="210"/>
      <c r="G2629" s="210"/>
      <c r="H2629" s="206" t="s">
        <v>121</v>
      </c>
      <c r="I2629" s="206" t="s">
        <v>121</v>
      </c>
      <c r="J2629" s="206" t="s">
        <v>121</v>
      </c>
      <c r="K2629" s="206" t="s">
        <v>121</v>
      </c>
      <c r="L2629" s="206" t="str">
        <v/>
      </c>
      <c r="M2629" s="206" t="str">
        <v/>
      </c>
    </row>
    <row r="2630" spans="1:13" ht="14.4">
      <c r="A2630" s="201"/>
      <c r="B2630" s="209"/>
      <c r="C2630" s="201"/>
      <c r="D2630" s="201"/>
      <c r="E2630" s="202"/>
      <c r="F2630" s="210"/>
      <c r="G2630" s="210"/>
      <c r="H2630" s="206" t="s">
        <v>121</v>
      </c>
      <c r="I2630" s="206" t="s">
        <v>121</v>
      </c>
      <c r="J2630" s="206" t="s">
        <v>121</v>
      </c>
      <c r="K2630" s="206" t="s">
        <v>121</v>
      </c>
      <c r="L2630" s="206" t="str">
        <v/>
      </c>
      <c r="M2630" s="206" t="str">
        <v/>
      </c>
    </row>
    <row r="2631" spans="1:13" ht="14.4">
      <c r="A2631" s="201"/>
      <c r="B2631" s="209"/>
      <c r="C2631" s="201"/>
      <c r="D2631" s="201"/>
      <c r="E2631" s="202"/>
      <c r="F2631" s="210"/>
      <c r="G2631" s="210"/>
      <c r="H2631" s="206" t="s">
        <v>121</v>
      </c>
      <c r="I2631" s="206" t="s">
        <v>121</v>
      </c>
      <c r="J2631" s="206" t="s">
        <v>121</v>
      </c>
      <c r="K2631" s="206" t="s">
        <v>121</v>
      </c>
      <c r="L2631" s="206" t="str">
        <v/>
      </c>
      <c r="M2631" s="206" t="str">
        <v/>
      </c>
    </row>
    <row r="2632" spans="1:13" ht="14.4">
      <c r="A2632" s="201"/>
      <c r="B2632" s="209"/>
      <c r="C2632" s="201"/>
      <c r="D2632" s="201"/>
      <c r="E2632" s="202"/>
      <c r="F2632" s="210"/>
      <c r="G2632" s="210"/>
      <c r="H2632" s="206" t="s">
        <v>121</v>
      </c>
      <c r="I2632" s="206" t="s">
        <v>121</v>
      </c>
      <c r="J2632" s="206" t="s">
        <v>121</v>
      </c>
      <c r="K2632" s="206" t="s">
        <v>121</v>
      </c>
      <c r="L2632" s="206" t="str">
        <v/>
      </c>
      <c r="M2632" s="206" t="str">
        <v/>
      </c>
    </row>
    <row r="2633" spans="1:13" ht="14.4">
      <c r="A2633" s="201"/>
      <c r="B2633" s="209"/>
      <c r="C2633" s="201"/>
      <c r="D2633" s="201"/>
      <c r="E2633" s="202"/>
      <c r="F2633" s="210"/>
      <c r="G2633" s="210"/>
      <c r="H2633" s="206" t="s">
        <v>121</v>
      </c>
      <c r="I2633" s="206" t="s">
        <v>121</v>
      </c>
      <c r="J2633" s="206" t="s">
        <v>121</v>
      </c>
      <c r="K2633" s="206" t="s">
        <v>121</v>
      </c>
      <c r="L2633" s="206" t="str">
        <v/>
      </c>
      <c r="M2633" s="206" t="str">
        <v/>
      </c>
    </row>
    <row r="2634" spans="1:13" ht="14.4">
      <c r="A2634" s="201"/>
      <c r="B2634" s="209"/>
      <c r="C2634" s="201"/>
      <c r="D2634" s="201"/>
      <c r="E2634" s="202"/>
      <c r="F2634" s="210"/>
      <c r="G2634" s="210"/>
      <c r="H2634" s="206" t="s">
        <v>121</v>
      </c>
      <c r="I2634" s="206" t="s">
        <v>121</v>
      </c>
      <c r="J2634" s="206" t="s">
        <v>121</v>
      </c>
      <c r="K2634" s="206" t="s">
        <v>121</v>
      </c>
      <c r="L2634" s="206" t="str">
        <v/>
      </c>
      <c r="M2634" s="206" t="str">
        <v/>
      </c>
    </row>
    <row r="2635" spans="1:13" ht="14.4">
      <c r="A2635" s="201"/>
      <c r="B2635" s="209"/>
      <c r="C2635" s="201"/>
      <c r="D2635" s="201"/>
      <c r="E2635" s="202"/>
      <c r="F2635" s="210"/>
      <c r="G2635" s="210"/>
      <c r="H2635" s="206" t="s">
        <v>121</v>
      </c>
      <c r="I2635" s="206" t="s">
        <v>121</v>
      </c>
      <c r="J2635" s="206" t="s">
        <v>121</v>
      </c>
      <c r="K2635" s="206" t="s">
        <v>121</v>
      </c>
      <c r="L2635" s="206" t="str">
        <v/>
      </c>
      <c r="M2635" s="206" t="str">
        <v/>
      </c>
    </row>
    <row r="2636" spans="1:13" ht="14.4">
      <c r="A2636" s="201"/>
      <c r="B2636" s="209"/>
      <c r="C2636" s="201"/>
      <c r="D2636" s="201"/>
      <c r="E2636" s="202"/>
      <c r="F2636" s="210"/>
      <c r="G2636" s="210"/>
      <c r="H2636" s="206" t="s">
        <v>121</v>
      </c>
      <c r="I2636" s="206" t="s">
        <v>121</v>
      </c>
      <c r="J2636" s="206" t="s">
        <v>121</v>
      </c>
      <c r="K2636" s="206" t="s">
        <v>121</v>
      </c>
      <c r="L2636" s="206" t="str">
        <v/>
      </c>
      <c r="M2636" s="206" t="str">
        <v/>
      </c>
    </row>
    <row r="2637" spans="1:13" ht="14.4">
      <c r="A2637" s="201"/>
      <c r="B2637" s="209"/>
      <c r="C2637" s="201"/>
      <c r="D2637" s="201"/>
      <c r="E2637" s="202"/>
      <c r="F2637" s="210"/>
      <c r="G2637" s="210"/>
      <c r="H2637" s="206" t="s">
        <v>121</v>
      </c>
      <c r="I2637" s="206" t="s">
        <v>121</v>
      </c>
      <c r="J2637" s="206" t="s">
        <v>121</v>
      </c>
      <c r="K2637" s="206" t="s">
        <v>121</v>
      </c>
      <c r="L2637" s="206" t="str">
        <v/>
      </c>
      <c r="M2637" s="206" t="str">
        <v/>
      </c>
    </row>
    <row r="2638" spans="1:13" ht="14.4">
      <c r="A2638" s="201"/>
      <c r="B2638" s="209"/>
      <c r="C2638" s="201"/>
      <c r="D2638" s="201"/>
      <c r="E2638" s="202"/>
      <c r="F2638" s="210"/>
      <c r="G2638" s="210"/>
      <c r="H2638" s="206" t="s">
        <v>121</v>
      </c>
      <c r="I2638" s="206" t="s">
        <v>121</v>
      </c>
      <c r="J2638" s="206" t="s">
        <v>121</v>
      </c>
      <c r="K2638" s="206" t="s">
        <v>121</v>
      </c>
      <c r="L2638" s="206" t="str">
        <v/>
      </c>
      <c r="M2638" s="206" t="str">
        <v/>
      </c>
    </row>
    <row r="2639" spans="1:13" ht="14.4">
      <c r="A2639" s="201"/>
      <c r="B2639" s="209"/>
      <c r="C2639" s="201"/>
      <c r="D2639" s="201"/>
      <c r="E2639" s="202"/>
      <c r="F2639" s="210"/>
      <c r="G2639" s="210"/>
      <c r="H2639" s="206" t="s">
        <v>121</v>
      </c>
      <c r="I2639" s="206" t="s">
        <v>121</v>
      </c>
      <c r="J2639" s="206" t="s">
        <v>121</v>
      </c>
      <c r="K2639" s="206" t="s">
        <v>121</v>
      </c>
      <c r="L2639" s="206" t="str">
        <v/>
      </c>
      <c r="M2639" s="206" t="str">
        <v/>
      </c>
    </row>
    <row r="2640" spans="1:13" ht="14.4">
      <c r="A2640" s="201"/>
      <c r="B2640" s="209"/>
      <c r="C2640" s="201"/>
      <c r="D2640" s="201"/>
      <c r="E2640" s="202"/>
      <c r="F2640" s="210"/>
      <c r="G2640" s="210"/>
      <c r="H2640" s="206" t="s">
        <v>121</v>
      </c>
      <c r="I2640" s="206" t="s">
        <v>121</v>
      </c>
      <c r="J2640" s="206" t="s">
        <v>121</v>
      </c>
      <c r="K2640" s="206" t="s">
        <v>121</v>
      </c>
      <c r="L2640" s="206" t="str">
        <v/>
      </c>
      <c r="M2640" s="206" t="str">
        <v/>
      </c>
    </row>
    <row r="2641" spans="1:13" ht="14.4">
      <c r="A2641" s="201"/>
      <c r="B2641" s="209"/>
      <c r="C2641" s="201"/>
      <c r="D2641" s="201"/>
      <c r="E2641" s="202"/>
      <c r="F2641" s="210"/>
      <c r="G2641" s="210"/>
      <c r="H2641" s="206" t="s">
        <v>121</v>
      </c>
      <c r="I2641" s="206" t="s">
        <v>121</v>
      </c>
      <c r="J2641" s="206" t="s">
        <v>121</v>
      </c>
      <c r="K2641" s="206" t="s">
        <v>121</v>
      </c>
      <c r="L2641" s="206" t="str">
        <v/>
      </c>
      <c r="M2641" s="206" t="str">
        <v/>
      </c>
    </row>
    <row r="2642" spans="1:13" ht="14.4">
      <c r="A2642" s="201"/>
      <c r="B2642" s="209"/>
      <c r="C2642" s="201"/>
      <c r="D2642" s="201"/>
      <c r="E2642" s="202"/>
      <c r="F2642" s="210"/>
      <c r="G2642" s="210"/>
      <c r="H2642" s="206" t="s">
        <v>121</v>
      </c>
      <c r="I2642" s="206" t="s">
        <v>121</v>
      </c>
      <c r="J2642" s="206" t="s">
        <v>121</v>
      </c>
      <c r="K2642" s="206" t="s">
        <v>121</v>
      </c>
      <c r="L2642" s="206" t="str">
        <v/>
      </c>
      <c r="M2642" s="206" t="str">
        <v/>
      </c>
    </row>
    <row r="2643" spans="1:13" ht="14.4">
      <c r="A2643" s="201"/>
      <c r="B2643" s="209"/>
      <c r="C2643" s="201"/>
      <c r="D2643" s="201"/>
      <c r="E2643" s="202"/>
      <c r="F2643" s="210"/>
      <c r="G2643" s="210"/>
      <c r="H2643" s="206" t="s">
        <v>121</v>
      </c>
      <c r="I2643" s="206" t="s">
        <v>121</v>
      </c>
      <c r="J2643" s="206" t="s">
        <v>121</v>
      </c>
      <c r="K2643" s="206" t="s">
        <v>121</v>
      </c>
      <c r="L2643" s="206" t="str">
        <v/>
      </c>
      <c r="M2643" s="206" t="str">
        <v/>
      </c>
    </row>
    <row r="2644" spans="1:13" ht="14.4">
      <c r="A2644" s="201"/>
      <c r="B2644" s="209"/>
      <c r="C2644" s="201"/>
      <c r="D2644" s="201"/>
      <c r="E2644" s="202"/>
      <c r="F2644" s="210"/>
      <c r="G2644" s="210"/>
      <c r="H2644" s="206" t="s">
        <v>121</v>
      </c>
      <c r="I2644" s="206" t="s">
        <v>121</v>
      </c>
      <c r="J2644" s="206" t="s">
        <v>121</v>
      </c>
      <c r="K2644" s="206" t="s">
        <v>121</v>
      </c>
      <c r="L2644" s="206" t="str">
        <v/>
      </c>
      <c r="M2644" s="206" t="str">
        <v/>
      </c>
    </row>
    <row r="2645" spans="1:13" ht="14.4">
      <c r="A2645" s="201"/>
      <c r="B2645" s="209"/>
      <c r="C2645" s="201"/>
      <c r="D2645" s="201"/>
      <c r="E2645" s="202"/>
      <c r="F2645" s="210"/>
      <c r="G2645" s="210"/>
      <c r="H2645" s="206" t="s">
        <v>121</v>
      </c>
      <c r="I2645" s="206" t="s">
        <v>121</v>
      </c>
      <c r="J2645" s="206" t="s">
        <v>121</v>
      </c>
      <c r="K2645" s="206" t="s">
        <v>121</v>
      </c>
      <c r="L2645" s="206" t="str">
        <v/>
      </c>
      <c r="M2645" s="206" t="str">
        <v/>
      </c>
    </row>
    <row r="2646" spans="1:13" ht="14.4">
      <c r="A2646" s="201"/>
      <c r="B2646" s="209"/>
      <c r="C2646" s="201"/>
      <c r="D2646" s="201"/>
      <c r="E2646" s="202"/>
      <c r="F2646" s="210"/>
      <c r="G2646" s="210"/>
      <c r="H2646" s="206" t="s">
        <v>121</v>
      </c>
      <c r="I2646" s="206" t="s">
        <v>121</v>
      </c>
      <c r="J2646" s="206" t="s">
        <v>121</v>
      </c>
      <c r="K2646" s="206" t="s">
        <v>121</v>
      </c>
      <c r="L2646" s="206" t="str">
        <v/>
      </c>
      <c r="M2646" s="206" t="str">
        <v/>
      </c>
    </row>
    <row r="2647" spans="1:13" ht="14.4">
      <c r="A2647" s="201"/>
      <c r="B2647" s="209"/>
      <c r="C2647" s="201"/>
      <c r="D2647" s="201"/>
      <c r="E2647" s="202"/>
      <c r="F2647" s="210"/>
      <c r="G2647" s="210"/>
      <c r="H2647" s="206" t="s">
        <v>121</v>
      </c>
      <c r="I2647" s="206" t="s">
        <v>121</v>
      </c>
      <c r="J2647" s="206" t="s">
        <v>121</v>
      </c>
      <c r="K2647" s="206" t="s">
        <v>121</v>
      </c>
      <c r="L2647" s="206" t="str">
        <v/>
      </c>
      <c r="M2647" s="206" t="str">
        <v/>
      </c>
    </row>
    <row r="2648" spans="1:13" ht="14.4">
      <c r="A2648" s="201"/>
      <c r="B2648" s="209"/>
      <c r="C2648" s="201"/>
      <c r="D2648" s="201"/>
      <c r="E2648" s="202"/>
      <c r="F2648" s="210"/>
      <c r="G2648" s="210"/>
      <c r="H2648" s="206" t="s">
        <v>121</v>
      </c>
      <c r="I2648" s="206" t="s">
        <v>121</v>
      </c>
      <c r="J2648" s="206" t="s">
        <v>121</v>
      </c>
      <c r="K2648" s="206" t="s">
        <v>121</v>
      </c>
      <c r="L2648" s="206" t="str">
        <v/>
      </c>
      <c r="M2648" s="206" t="str">
        <v/>
      </c>
    </row>
    <row r="2649" spans="1:13" ht="14.4">
      <c r="A2649" s="201"/>
      <c r="B2649" s="209"/>
      <c r="C2649" s="201"/>
      <c r="D2649" s="201"/>
      <c r="E2649" s="202"/>
      <c r="F2649" s="210"/>
      <c r="G2649" s="210"/>
      <c r="H2649" s="206" t="s">
        <v>121</v>
      </c>
      <c r="I2649" s="206" t="s">
        <v>121</v>
      </c>
      <c r="J2649" s="206" t="s">
        <v>121</v>
      </c>
      <c r="K2649" s="206" t="s">
        <v>121</v>
      </c>
      <c r="L2649" s="206" t="str">
        <v/>
      </c>
      <c r="M2649" s="206" t="str">
        <v/>
      </c>
    </row>
    <row r="2650" spans="1:13" ht="14.4">
      <c r="A2650" s="201"/>
      <c r="B2650" s="209"/>
      <c r="C2650" s="201"/>
      <c r="D2650" s="201"/>
      <c r="E2650" s="202"/>
      <c r="F2650" s="210"/>
      <c r="G2650" s="210"/>
      <c r="H2650" s="206" t="s">
        <v>121</v>
      </c>
      <c r="I2650" s="206" t="s">
        <v>121</v>
      </c>
      <c r="J2650" s="206" t="s">
        <v>121</v>
      </c>
      <c r="K2650" s="206" t="s">
        <v>121</v>
      </c>
      <c r="L2650" s="206" t="str">
        <v/>
      </c>
      <c r="M2650" s="206" t="str">
        <v/>
      </c>
    </row>
    <row r="2651" spans="1:13" ht="14.4">
      <c r="A2651" s="201"/>
      <c r="B2651" s="209"/>
      <c r="C2651" s="201"/>
      <c r="D2651" s="201"/>
      <c r="E2651" s="202"/>
      <c r="F2651" s="210"/>
      <c r="G2651" s="210"/>
      <c r="H2651" s="206" t="s">
        <v>121</v>
      </c>
      <c r="I2651" s="206" t="s">
        <v>121</v>
      </c>
      <c r="J2651" s="206" t="s">
        <v>121</v>
      </c>
      <c r="K2651" s="206" t="s">
        <v>121</v>
      </c>
      <c r="L2651" s="206" t="str">
        <v/>
      </c>
      <c r="M2651" s="206" t="str">
        <v/>
      </c>
    </row>
    <row r="2652" spans="1:13" ht="14.4">
      <c r="A2652" s="201"/>
      <c r="B2652" s="209"/>
      <c r="C2652" s="201"/>
      <c r="D2652" s="201"/>
      <c r="E2652" s="202"/>
      <c r="F2652" s="210"/>
      <c r="G2652" s="210"/>
      <c r="H2652" s="206" t="s">
        <v>121</v>
      </c>
      <c r="I2652" s="206" t="s">
        <v>121</v>
      </c>
      <c r="J2652" s="206" t="s">
        <v>121</v>
      </c>
      <c r="K2652" s="206" t="s">
        <v>121</v>
      </c>
      <c r="L2652" s="206" t="str">
        <v/>
      </c>
      <c r="M2652" s="206" t="str">
        <v/>
      </c>
    </row>
    <row r="2653" spans="1:13" ht="14.4">
      <c r="A2653" s="201"/>
      <c r="B2653" s="209"/>
      <c r="C2653" s="201"/>
      <c r="D2653" s="201"/>
      <c r="E2653" s="202"/>
      <c r="F2653" s="210"/>
      <c r="G2653" s="210"/>
      <c r="H2653" s="206" t="s">
        <v>121</v>
      </c>
      <c r="I2653" s="206" t="s">
        <v>121</v>
      </c>
      <c r="J2653" s="206" t="s">
        <v>121</v>
      </c>
      <c r="K2653" s="206" t="s">
        <v>121</v>
      </c>
      <c r="L2653" s="206" t="str">
        <v/>
      </c>
      <c r="M2653" s="206" t="str">
        <v/>
      </c>
    </row>
    <row r="2654" spans="1:13" ht="14.4">
      <c r="A2654" s="201"/>
      <c r="B2654" s="209"/>
      <c r="C2654" s="201"/>
      <c r="D2654" s="201"/>
      <c r="E2654" s="202"/>
      <c r="F2654" s="210"/>
      <c r="G2654" s="210"/>
      <c r="H2654" s="206" t="s">
        <v>121</v>
      </c>
      <c r="I2654" s="206" t="s">
        <v>121</v>
      </c>
      <c r="J2654" s="206" t="s">
        <v>121</v>
      </c>
      <c r="K2654" s="206" t="s">
        <v>121</v>
      </c>
      <c r="L2654" s="206" t="str">
        <v/>
      </c>
      <c r="M2654" s="206" t="str">
        <v/>
      </c>
    </row>
    <row r="2655" spans="1:13" ht="14.4">
      <c r="A2655" s="201"/>
      <c r="B2655" s="209"/>
      <c r="C2655" s="201"/>
      <c r="D2655" s="201"/>
      <c r="E2655" s="202"/>
      <c r="F2655" s="210"/>
      <c r="G2655" s="210"/>
      <c r="H2655" s="206" t="s">
        <v>121</v>
      </c>
      <c r="I2655" s="206" t="s">
        <v>121</v>
      </c>
      <c r="J2655" s="206" t="s">
        <v>121</v>
      </c>
      <c r="K2655" s="206" t="s">
        <v>121</v>
      </c>
      <c r="L2655" s="206" t="str">
        <v/>
      </c>
      <c r="M2655" s="206" t="str">
        <v/>
      </c>
    </row>
    <row r="2656" spans="1:13" ht="14.4">
      <c r="A2656" s="201"/>
      <c r="B2656" s="209"/>
      <c r="C2656" s="201"/>
      <c r="D2656" s="201"/>
      <c r="E2656" s="202"/>
      <c r="F2656" s="210"/>
      <c r="G2656" s="210"/>
      <c r="H2656" s="206" t="s">
        <v>121</v>
      </c>
      <c r="I2656" s="206" t="s">
        <v>121</v>
      </c>
      <c r="J2656" s="206" t="s">
        <v>121</v>
      </c>
      <c r="K2656" s="206" t="s">
        <v>121</v>
      </c>
      <c r="L2656" s="206" t="str">
        <v/>
      </c>
      <c r="M2656" s="206" t="str">
        <v/>
      </c>
    </row>
    <row r="2657" spans="1:13" ht="14.4">
      <c r="A2657" s="201"/>
      <c r="B2657" s="209"/>
      <c r="C2657" s="201"/>
      <c r="D2657" s="201"/>
      <c r="E2657" s="202"/>
      <c r="F2657" s="210"/>
      <c r="G2657" s="210"/>
      <c r="H2657" s="206" t="s">
        <v>121</v>
      </c>
      <c r="I2657" s="206" t="s">
        <v>121</v>
      </c>
      <c r="J2657" s="206" t="s">
        <v>121</v>
      </c>
      <c r="K2657" s="206" t="s">
        <v>121</v>
      </c>
      <c r="L2657" s="206" t="str">
        <v/>
      </c>
      <c r="M2657" s="206" t="str">
        <v/>
      </c>
    </row>
    <row r="2658" spans="1:13" ht="14.4">
      <c r="A2658" s="201"/>
      <c r="B2658" s="209"/>
      <c r="C2658" s="201"/>
      <c r="D2658" s="201"/>
      <c r="E2658" s="202"/>
      <c r="F2658" s="210"/>
      <c r="G2658" s="210"/>
      <c r="H2658" s="206" t="s">
        <v>121</v>
      </c>
      <c r="I2658" s="206" t="s">
        <v>121</v>
      </c>
      <c r="J2658" s="206" t="s">
        <v>121</v>
      </c>
      <c r="K2658" s="206" t="s">
        <v>121</v>
      </c>
      <c r="L2658" s="206" t="str">
        <v/>
      </c>
      <c r="M2658" s="206" t="str">
        <v/>
      </c>
    </row>
    <row r="2659" spans="1:13" ht="14.4">
      <c r="A2659" s="201"/>
      <c r="B2659" s="209"/>
      <c r="C2659" s="201"/>
      <c r="D2659" s="201"/>
      <c r="E2659" s="202"/>
      <c r="F2659" s="210"/>
      <c r="G2659" s="210"/>
      <c r="H2659" s="206" t="s">
        <v>121</v>
      </c>
      <c r="I2659" s="206" t="s">
        <v>121</v>
      </c>
      <c r="J2659" s="206" t="s">
        <v>121</v>
      </c>
      <c r="K2659" s="206" t="s">
        <v>121</v>
      </c>
      <c r="L2659" s="206" t="str">
        <v/>
      </c>
      <c r="M2659" s="206" t="str">
        <v/>
      </c>
    </row>
    <row r="2660" spans="1:13" ht="14.4">
      <c r="A2660" s="201"/>
      <c r="B2660" s="209"/>
      <c r="C2660" s="201"/>
      <c r="D2660" s="201"/>
      <c r="E2660" s="202"/>
      <c r="F2660" s="210"/>
      <c r="G2660" s="210"/>
      <c r="H2660" s="206" t="s">
        <v>121</v>
      </c>
      <c r="I2660" s="206" t="s">
        <v>121</v>
      </c>
      <c r="J2660" s="206" t="s">
        <v>121</v>
      </c>
      <c r="K2660" s="206" t="s">
        <v>121</v>
      </c>
      <c r="L2660" s="206" t="str">
        <v/>
      </c>
      <c r="M2660" s="206" t="str">
        <v/>
      </c>
    </row>
    <row r="2661" spans="1:13" ht="14.4">
      <c r="A2661" s="201"/>
      <c r="B2661" s="209"/>
      <c r="C2661" s="201"/>
      <c r="D2661" s="201"/>
      <c r="E2661" s="202"/>
      <c r="F2661" s="210"/>
      <c r="G2661" s="210"/>
      <c r="H2661" s="206" t="s">
        <v>121</v>
      </c>
      <c r="I2661" s="206" t="s">
        <v>121</v>
      </c>
      <c r="J2661" s="206" t="s">
        <v>121</v>
      </c>
      <c r="K2661" s="206" t="s">
        <v>121</v>
      </c>
      <c r="L2661" s="206" t="str">
        <v/>
      </c>
      <c r="M2661" s="206" t="str">
        <v/>
      </c>
    </row>
    <row r="2662" spans="1:13" ht="14.4">
      <c r="A2662" s="201"/>
      <c r="B2662" s="209"/>
      <c r="C2662" s="201"/>
      <c r="D2662" s="201"/>
      <c r="E2662" s="202"/>
      <c r="F2662" s="210"/>
      <c r="G2662" s="210"/>
      <c r="H2662" s="206" t="s">
        <v>121</v>
      </c>
      <c r="I2662" s="206" t="s">
        <v>121</v>
      </c>
      <c r="J2662" s="206" t="s">
        <v>121</v>
      </c>
      <c r="K2662" s="206" t="s">
        <v>121</v>
      </c>
      <c r="L2662" s="206" t="str">
        <v/>
      </c>
      <c r="M2662" s="206" t="str">
        <v/>
      </c>
    </row>
    <row r="2663" spans="1:13" ht="14.4">
      <c r="A2663" s="201"/>
      <c r="B2663" s="209"/>
      <c r="C2663" s="201"/>
      <c r="D2663" s="201"/>
      <c r="E2663" s="202"/>
      <c r="F2663" s="210"/>
      <c r="G2663" s="210"/>
      <c r="H2663" s="206" t="s">
        <v>121</v>
      </c>
      <c r="I2663" s="206" t="s">
        <v>121</v>
      </c>
      <c r="J2663" s="206" t="s">
        <v>121</v>
      </c>
      <c r="K2663" s="206" t="s">
        <v>121</v>
      </c>
      <c r="L2663" s="206" t="str">
        <v/>
      </c>
      <c r="M2663" s="206" t="str">
        <v/>
      </c>
    </row>
    <row r="2664" spans="1:13" ht="14.4">
      <c r="A2664" s="201"/>
      <c r="B2664" s="209"/>
      <c r="C2664" s="201"/>
      <c r="D2664" s="201"/>
      <c r="E2664" s="202"/>
      <c r="F2664" s="210"/>
      <c r="G2664" s="210"/>
      <c r="H2664" s="206" t="s">
        <v>121</v>
      </c>
      <c r="I2664" s="206" t="s">
        <v>121</v>
      </c>
      <c r="J2664" s="206" t="s">
        <v>121</v>
      </c>
      <c r="K2664" s="206" t="s">
        <v>121</v>
      </c>
      <c r="L2664" s="206" t="str">
        <v/>
      </c>
      <c r="M2664" s="206" t="str">
        <v/>
      </c>
    </row>
    <row r="2665" spans="1:13" ht="14.4">
      <c r="A2665" s="201"/>
      <c r="B2665" s="209"/>
      <c r="C2665" s="201"/>
      <c r="D2665" s="201"/>
      <c r="E2665" s="202"/>
      <c r="F2665" s="210"/>
      <c r="G2665" s="210"/>
      <c r="H2665" s="206" t="s">
        <v>121</v>
      </c>
      <c r="I2665" s="206" t="s">
        <v>121</v>
      </c>
      <c r="J2665" s="206" t="s">
        <v>121</v>
      </c>
      <c r="K2665" s="206" t="s">
        <v>121</v>
      </c>
      <c r="L2665" s="206" t="str">
        <v/>
      </c>
      <c r="M2665" s="206" t="str">
        <v/>
      </c>
    </row>
    <row r="2666" spans="1:13" ht="14.4">
      <c r="A2666" s="201"/>
      <c r="B2666" s="209"/>
      <c r="C2666" s="201"/>
      <c r="D2666" s="201"/>
      <c r="E2666" s="202"/>
      <c r="F2666" s="210"/>
      <c r="G2666" s="210"/>
      <c r="H2666" s="206" t="s">
        <v>121</v>
      </c>
      <c r="I2666" s="206" t="s">
        <v>121</v>
      </c>
      <c r="J2666" s="206" t="s">
        <v>121</v>
      </c>
      <c r="K2666" s="206" t="s">
        <v>121</v>
      </c>
      <c r="L2666" s="206" t="str">
        <v/>
      </c>
      <c r="M2666" s="206" t="str">
        <v/>
      </c>
    </row>
    <row r="2667" spans="1:13" ht="14.4">
      <c r="A2667" s="201"/>
      <c r="B2667" s="209"/>
      <c r="C2667" s="201"/>
      <c r="D2667" s="201"/>
      <c r="E2667" s="202"/>
      <c r="F2667" s="210"/>
      <c r="G2667" s="210"/>
      <c r="H2667" s="206" t="s">
        <v>121</v>
      </c>
      <c r="I2667" s="206" t="s">
        <v>121</v>
      </c>
      <c r="J2667" s="206" t="s">
        <v>121</v>
      </c>
      <c r="K2667" s="206" t="s">
        <v>121</v>
      </c>
      <c r="L2667" s="206" t="str">
        <v/>
      </c>
      <c r="M2667" s="206" t="str">
        <v/>
      </c>
    </row>
    <row r="2668" spans="1:13" ht="14.4">
      <c r="A2668" s="201"/>
      <c r="B2668" s="209"/>
      <c r="C2668" s="201"/>
      <c r="D2668" s="201"/>
      <c r="E2668" s="202"/>
      <c r="F2668" s="210"/>
      <c r="G2668" s="210"/>
      <c r="H2668" s="206" t="s">
        <v>121</v>
      </c>
      <c r="I2668" s="206" t="s">
        <v>121</v>
      </c>
      <c r="J2668" s="206" t="s">
        <v>121</v>
      </c>
      <c r="K2668" s="206" t="s">
        <v>121</v>
      </c>
      <c r="L2668" s="206" t="str">
        <v/>
      </c>
      <c r="M2668" s="206" t="str">
        <v/>
      </c>
    </row>
    <row r="2669" spans="1:13" ht="14.4">
      <c r="A2669" s="201"/>
      <c r="B2669" s="209"/>
      <c r="C2669" s="201"/>
      <c r="D2669" s="201"/>
      <c r="E2669" s="202"/>
      <c r="F2669" s="210"/>
      <c r="G2669" s="210"/>
      <c r="H2669" s="206" t="s">
        <v>121</v>
      </c>
      <c r="I2669" s="206" t="s">
        <v>121</v>
      </c>
      <c r="J2669" s="206" t="s">
        <v>121</v>
      </c>
      <c r="K2669" s="206" t="s">
        <v>121</v>
      </c>
      <c r="L2669" s="206" t="str">
        <v/>
      </c>
      <c r="M2669" s="206" t="str">
        <v/>
      </c>
    </row>
    <row r="2670" spans="1:13" ht="14.4">
      <c r="A2670" s="201"/>
      <c r="B2670" s="209"/>
      <c r="C2670" s="201"/>
      <c r="D2670" s="201"/>
      <c r="E2670" s="202"/>
      <c r="F2670" s="210"/>
      <c r="G2670" s="210"/>
      <c r="H2670" s="206" t="s">
        <v>121</v>
      </c>
      <c r="I2670" s="206" t="s">
        <v>121</v>
      </c>
      <c r="J2670" s="206" t="s">
        <v>121</v>
      </c>
      <c r="K2670" s="206" t="s">
        <v>121</v>
      </c>
      <c r="L2670" s="206" t="str">
        <v/>
      </c>
      <c r="M2670" s="206" t="str">
        <v/>
      </c>
    </row>
    <row r="2671" spans="1:13" ht="14.4">
      <c r="A2671" s="201"/>
      <c r="B2671" s="209"/>
      <c r="C2671" s="201"/>
      <c r="D2671" s="201"/>
      <c r="E2671" s="202"/>
      <c r="F2671" s="210"/>
      <c r="G2671" s="210"/>
      <c r="H2671" s="206" t="s">
        <v>121</v>
      </c>
      <c r="I2671" s="206" t="s">
        <v>121</v>
      </c>
      <c r="J2671" s="206" t="s">
        <v>121</v>
      </c>
      <c r="K2671" s="206" t="s">
        <v>121</v>
      </c>
      <c r="L2671" s="206" t="str">
        <v/>
      </c>
      <c r="M2671" s="206" t="str">
        <v/>
      </c>
    </row>
    <row r="2672" spans="1:13" ht="14.4">
      <c r="A2672" s="201"/>
      <c r="B2672" s="209"/>
      <c r="C2672" s="201"/>
      <c r="D2672" s="201"/>
      <c r="E2672" s="202"/>
      <c r="F2672" s="210"/>
      <c r="G2672" s="210"/>
      <c r="H2672" s="206" t="s">
        <v>121</v>
      </c>
      <c r="I2672" s="206" t="s">
        <v>121</v>
      </c>
      <c r="J2672" s="206" t="s">
        <v>121</v>
      </c>
      <c r="K2672" s="206" t="s">
        <v>121</v>
      </c>
      <c r="L2672" s="206" t="str">
        <v/>
      </c>
      <c r="M2672" s="206" t="str">
        <v/>
      </c>
    </row>
    <row r="2673" spans="1:13" ht="14.4">
      <c r="A2673" s="201"/>
      <c r="B2673" s="209"/>
      <c r="C2673" s="201"/>
      <c r="D2673" s="201"/>
      <c r="E2673" s="202"/>
      <c r="F2673" s="210"/>
      <c r="G2673" s="210"/>
      <c r="H2673" s="206" t="s">
        <v>121</v>
      </c>
      <c r="I2673" s="206" t="s">
        <v>121</v>
      </c>
      <c r="J2673" s="206" t="s">
        <v>121</v>
      </c>
      <c r="K2673" s="206" t="s">
        <v>121</v>
      </c>
      <c r="L2673" s="206" t="str">
        <v/>
      </c>
      <c r="M2673" s="206" t="str">
        <v/>
      </c>
    </row>
    <row r="2674" spans="1:13" ht="14.4">
      <c r="A2674" s="201"/>
      <c r="B2674" s="209"/>
      <c r="C2674" s="201"/>
      <c r="D2674" s="201"/>
      <c r="E2674" s="202"/>
      <c r="F2674" s="210"/>
      <c r="G2674" s="210"/>
      <c r="H2674" s="206" t="s">
        <v>121</v>
      </c>
      <c r="I2674" s="206" t="s">
        <v>121</v>
      </c>
      <c r="J2674" s="206" t="s">
        <v>121</v>
      </c>
      <c r="K2674" s="206" t="s">
        <v>121</v>
      </c>
      <c r="L2674" s="206" t="str">
        <v/>
      </c>
      <c r="M2674" s="206" t="str">
        <v/>
      </c>
    </row>
    <row r="2675" spans="1:13" ht="14.4">
      <c r="A2675" s="201"/>
      <c r="B2675" s="209"/>
      <c r="C2675" s="201"/>
      <c r="D2675" s="201"/>
      <c r="E2675" s="202"/>
      <c r="F2675" s="210"/>
      <c r="G2675" s="210"/>
      <c r="H2675" s="206" t="s">
        <v>121</v>
      </c>
      <c r="I2675" s="206" t="s">
        <v>121</v>
      </c>
      <c r="J2675" s="206" t="s">
        <v>121</v>
      </c>
      <c r="K2675" s="206" t="s">
        <v>121</v>
      </c>
      <c r="L2675" s="206" t="str">
        <v/>
      </c>
      <c r="M2675" s="206" t="str">
        <v/>
      </c>
    </row>
    <row r="2676" spans="1:13" ht="14.4">
      <c r="A2676" s="201"/>
      <c r="B2676" s="209"/>
      <c r="C2676" s="201"/>
      <c r="D2676" s="201"/>
      <c r="E2676" s="202"/>
      <c r="F2676" s="210"/>
      <c r="G2676" s="210"/>
      <c r="H2676" s="206" t="s">
        <v>121</v>
      </c>
      <c r="I2676" s="206" t="s">
        <v>121</v>
      </c>
      <c r="J2676" s="206" t="s">
        <v>121</v>
      </c>
      <c r="K2676" s="206" t="s">
        <v>121</v>
      </c>
      <c r="L2676" s="206" t="str">
        <v/>
      </c>
      <c r="M2676" s="206" t="str">
        <v/>
      </c>
    </row>
    <row r="2677" spans="1:13" ht="14.4">
      <c r="A2677" s="201"/>
      <c r="B2677" s="209"/>
      <c r="C2677" s="201"/>
      <c r="D2677" s="201"/>
      <c r="E2677" s="202"/>
      <c r="F2677" s="210"/>
      <c r="G2677" s="210"/>
      <c r="H2677" s="206" t="s">
        <v>121</v>
      </c>
      <c r="I2677" s="206" t="s">
        <v>121</v>
      </c>
      <c r="J2677" s="206" t="s">
        <v>121</v>
      </c>
      <c r="K2677" s="206" t="s">
        <v>121</v>
      </c>
      <c r="L2677" s="206" t="str">
        <v/>
      </c>
      <c r="M2677" s="206" t="str">
        <v/>
      </c>
    </row>
    <row r="2678" spans="1:13" ht="14.4">
      <c r="A2678" s="201"/>
      <c r="B2678" s="209"/>
      <c r="C2678" s="201"/>
      <c r="D2678" s="201"/>
      <c r="E2678" s="202"/>
      <c r="F2678" s="210"/>
      <c r="G2678" s="210"/>
      <c r="H2678" s="206" t="s">
        <v>121</v>
      </c>
      <c r="I2678" s="206" t="s">
        <v>121</v>
      </c>
      <c r="J2678" s="206" t="s">
        <v>121</v>
      </c>
      <c r="K2678" s="206" t="s">
        <v>121</v>
      </c>
      <c r="L2678" s="206" t="str">
        <v/>
      </c>
      <c r="M2678" s="206" t="str">
        <v/>
      </c>
    </row>
    <row r="2679" spans="1:13" ht="14.4">
      <c r="A2679" s="201"/>
      <c r="B2679" s="209"/>
      <c r="C2679" s="201"/>
      <c r="D2679" s="201"/>
      <c r="E2679" s="202"/>
      <c r="F2679" s="210"/>
      <c r="G2679" s="210"/>
      <c r="H2679" s="206" t="s">
        <v>121</v>
      </c>
      <c r="I2679" s="206" t="s">
        <v>121</v>
      </c>
      <c r="J2679" s="206" t="s">
        <v>121</v>
      </c>
      <c r="K2679" s="206" t="s">
        <v>121</v>
      </c>
      <c r="L2679" s="206" t="str">
        <v/>
      </c>
      <c r="M2679" s="206" t="str">
        <v/>
      </c>
    </row>
    <row r="2680" spans="1:13" ht="14.4">
      <c r="A2680" s="201"/>
      <c r="B2680" s="209"/>
      <c r="C2680" s="201"/>
      <c r="D2680" s="201"/>
      <c r="E2680" s="202"/>
      <c r="F2680" s="210"/>
      <c r="G2680" s="210"/>
      <c r="H2680" s="206" t="s">
        <v>121</v>
      </c>
      <c r="I2680" s="206" t="s">
        <v>121</v>
      </c>
      <c r="J2680" s="206" t="s">
        <v>121</v>
      </c>
      <c r="K2680" s="206" t="s">
        <v>121</v>
      </c>
      <c r="L2680" s="206" t="str">
        <v/>
      </c>
      <c r="M2680" s="206" t="str">
        <v/>
      </c>
    </row>
    <row r="2681" spans="1:13" ht="14.4">
      <c r="A2681" s="201"/>
      <c r="B2681" s="209"/>
      <c r="C2681" s="201"/>
      <c r="D2681" s="201"/>
      <c r="E2681" s="202"/>
      <c r="F2681" s="210"/>
      <c r="G2681" s="210"/>
      <c r="H2681" s="206" t="s">
        <v>121</v>
      </c>
      <c r="I2681" s="206" t="s">
        <v>121</v>
      </c>
      <c r="J2681" s="206" t="s">
        <v>121</v>
      </c>
      <c r="K2681" s="206" t="s">
        <v>121</v>
      </c>
      <c r="L2681" s="206" t="str">
        <v/>
      </c>
      <c r="M2681" s="206" t="str">
        <v/>
      </c>
    </row>
    <row r="2682" spans="1:13" ht="14.4">
      <c r="A2682" s="201"/>
      <c r="B2682" s="209"/>
      <c r="C2682" s="201"/>
      <c r="D2682" s="201"/>
      <c r="E2682" s="202"/>
      <c r="F2682" s="210"/>
      <c r="G2682" s="210"/>
      <c r="H2682" s="206" t="s">
        <v>121</v>
      </c>
      <c r="I2682" s="206" t="s">
        <v>121</v>
      </c>
      <c r="J2682" s="206" t="s">
        <v>121</v>
      </c>
      <c r="K2682" s="206" t="s">
        <v>121</v>
      </c>
      <c r="L2682" s="206" t="str">
        <v/>
      </c>
      <c r="M2682" s="206" t="str">
        <v/>
      </c>
    </row>
    <row r="2683" spans="1:13" ht="14.4">
      <c r="A2683" s="201"/>
      <c r="B2683" s="209"/>
      <c r="C2683" s="201"/>
      <c r="D2683" s="201"/>
      <c r="E2683" s="202"/>
      <c r="F2683" s="210"/>
      <c r="G2683" s="210"/>
      <c r="H2683" s="206" t="s">
        <v>121</v>
      </c>
      <c r="I2683" s="206" t="s">
        <v>121</v>
      </c>
      <c r="J2683" s="206" t="s">
        <v>121</v>
      </c>
      <c r="K2683" s="206" t="s">
        <v>121</v>
      </c>
      <c r="L2683" s="206" t="str">
        <v/>
      </c>
      <c r="M2683" s="206" t="str">
        <v/>
      </c>
    </row>
    <row r="2684" spans="1:13" ht="14.4">
      <c r="A2684" s="201"/>
      <c r="B2684" s="209"/>
      <c r="C2684" s="201"/>
      <c r="D2684" s="201"/>
      <c r="E2684" s="202"/>
      <c r="F2684" s="210"/>
      <c r="G2684" s="210"/>
      <c r="H2684" s="206" t="s">
        <v>121</v>
      </c>
      <c r="I2684" s="206" t="s">
        <v>121</v>
      </c>
      <c r="J2684" s="206" t="s">
        <v>121</v>
      </c>
      <c r="K2684" s="206" t="s">
        <v>121</v>
      </c>
      <c r="L2684" s="206" t="str">
        <v/>
      </c>
      <c r="M2684" s="206" t="str">
        <v/>
      </c>
    </row>
    <row r="2685" spans="1:13" ht="14.4">
      <c r="A2685" s="201"/>
      <c r="B2685" s="209"/>
      <c r="C2685" s="201"/>
      <c r="D2685" s="201"/>
      <c r="E2685" s="202"/>
      <c r="F2685" s="210"/>
      <c r="G2685" s="210"/>
      <c r="H2685" s="206" t="s">
        <v>121</v>
      </c>
      <c r="I2685" s="206" t="s">
        <v>121</v>
      </c>
      <c r="J2685" s="206" t="s">
        <v>121</v>
      </c>
      <c r="K2685" s="206" t="s">
        <v>121</v>
      </c>
      <c r="L2685" s="206" t="str">
        <v/>
      </c>
      <c r="M2685" s="206" t="str">
        <v/>
      </c>
    </row>
    <row r="2686" spans="1:13" ht="14.4">
      <c r="A2686" s="201"/>
      <c r="B2686" s="209"/>
      <c r="C2686" s="201"/>
      <c r="D2686" s="201"/>
      <c r="E2686" s="202"/>
      <c r="F2686" s="210"/>
      <c r="G2686" s="210"/>
      <c r="H2686" s="206" t="s">
        <v>121</v>
      </c>
      <c r="I2686" s="206" t="s">
        <v>121</v>
      </c>
      <c r="J2686" s="206" t="s">
        <v>121</v>
      </c>
      <c r="K2686" s="206" t="s">
        <v>121</v>
      </c>
      <c r="L2686" s="206" t="str">
        <v/>
      </c>
      <c r="M2686" s="206" t="str">
        <v/>
      </c>
    </row>
    <row r="2687" spans="1:13" ht="14.4">
      <c r="A2687" s="201"/>
      <c r="B2687" s="209"/>
      <c r="C2687" s="201"/>
      <c r="D2687" s="201"/>
      <c r="E2687" s="202"/>
      <c r="F2687" s="210"/>
      <c r="G2687" s="210"/>
      <c r="H2687" s="206" t="s">
        <v>121</v>
      </c>
      <c r="I2687" s="206" t="s">
        <v>121</v>
      </c>
      <c r="J2687" s="206" t="s">
        <v>121</v>
      </c>
      <c r="K2687" s="206" t="s">
        <v>121</v>
      </c>
      <c r="L2687" s="206" t="str">
        <v/>
      </c>
      <c r="M2687" s="206" t="str">
        <v/>
      </c>
    </row>
    <row r="2688" spans="1:13" ht="14.4">
      <c r="A2688" s="201"/>
      <c r="B2688" s="209"/>
      <c r="C2688" s="201"/>
      <c r="D2688" s="201"/>
      <c r="E2688" s="202"/>
      <c r="F2688" s="210"/>
      <c r="G2688" s="210"/>
      <c r="H2688" s="206" t="s">
        <v>121</v>
      </c>
      <c r="I2688" s="206" t="s">
        <v>121</v>
      </c>
      <c r="J2688" s="206" t="s">
        <v>121</v>
      </c>
      <c r="K2688" s="206" t="s">
        <v>121</v>
      </c>
      <c r="L2688" s="206" t="str">
        <v/>
      </c>
      <c r="M2688" s="206" t="str">
        <v/>
      </c>
    </row>
    <row r="2689" spans="1:13" ht="14.4">
      <c r="A2689" s="201"/>
      <c r="B2689" s="209"/>
      <c r="C2689" s="201"/>
      <c r="D2689" s="201"/>
      <c r="E2689" s="202"/>
      <c r="F2689" s="210"/>
      <c r="G2689" s="210"/>
      <c r="H2689" s="206" t="s">
        <v>121</v>
      </c>
      <c r="I2689" s="206" t="s">
        <v>121</v>
      </c>
      <c r="J2689" s="206" t="s">
        <v>121</v>
      </c>
      <c r="K2689" s="206" t="s">
        <v>121</v>
      </c>
      <c r="L2689" s="206" t="str">
        <v/>
      </c>
      <c r="M2689" s="206" t="str">
        <v/>
      </c>
    </row>
    <row r="2690" spans="1:13" ht="14.4">
      <c r="A2690" s="201"/>
      <c r="B2690" s="209"/>
      <c r="C2690" s="201"/>
      <c r="D2690" s="201"/>
      <c r="E2690" s="202"/>
      <c r="F2690" s="210"/>
      <c r="G2690" s="210"/>
      <c r="H2690" s="206" t="s">
        <v>121</v>
      </c>
      <c r="I2690" s="206" t="s">
        <v>121</v>
      </c>
      <c r="J2690" s="206" t="s">
        <v>121</v>
      </c>
      <c r="K2690" s="206" t="s">
        <v>121</v>
      </c>
      <c r="L2690" s="206" t="str">
        <v/>
      </c>
      <c r="M2690" s="206" t="str">
        <v/>
      </c>
    </row>
    <row r="2691" spans="1:13" ht="14.4">
      <c r="A2691" s="201"/>
      <c r="B2691" s="209"/>
      <c r="C2691" s="201"/>
      <c r="D2691" s="201"/>
      <c r="E2691" s="202"/>
      <c r="F2691" s="210"/>
      <c r="G2691" s="210"/>
      <c r="H2691" s="206" t="s">
        <v>121</v>
      </c>
      <c r="I2691" s="206" t="s">
        <v>121</v>
      </c>
      <c r="J2691" s="206" t="s">
        <v>121</v>
      </c>
      <c r="K2691" s="206" t="s">
        <v>121</v>
      </c>
      <c r="L2691" s="206" t="str">
        <v/>
      </c>
      <c r="M2691" s="206" t="str">
        <v/>
      </c>
    </row>
    <row r="2692" spans="1:13" ht="14.4">
      <c r="A2692" s="201"/>
      <c r="B2692" s="209"/>
      <c r="C2692" s="201"/>
      <c r="D2692" s="201"/>
      <c r="E2692" s="202"/>
      <c r="F2692" s="210"/>
      <c r="G2692" s="210"/>
      <c r="H2692" s="206" t="s">
        <v>121</v>
      </c>
      <c r="I2692" s="206" t="s">
        <v>121</v>
      </c>
      <c r="J2692" s="206" t="s">
        <v>121</v>
      </c>
      <c r="K2692" s="206" t="s">
        <v>121</v>
      </c>
      <c r="L2692" s="206" t="str">
        <v/>
      </c>
      <c r="M2692" s="206" t="str">
        <v/>
      </c>
    </row>
    <row r="2693" spans="1:13" ht="14.4">
      <c r="A2693" s="201"/>
      <c r="B2693" s="209"/>
      <c r="C2693" s="201"/>
      <c r="D2693" s="201"/>
      <c r="E2693" s="202"/>
      <c r="F2693" s="210"/>
      <c r="G2693" s="210"/>
      <c r="H2693" s="206" t="s">
        <v>121</v>
      </c>
      <c r="I2693" s="206" t="s">
        <v>121</v>
      </c>
      <c r="J2693" s="206" t="s">
        <v>121</v>
      </c>
      <c r="K2693" s="206" t="s">
        <v>121</v>
      </c>
      <c r="L2693" s="206" t="str">
        <v/>
      </c>
      <c r="M2693" s="206" t="str">
        <v/>
      </c>
    </row>
    <row r="2694" spans="1:13" ht="14.4">
      <c r="A2694" s="201"/>
      <c r="B2694" s="209"/>
      <c r="C2694" s="201"/>
      <c r="D2694" s="201"/>
      <c r="E2694" s="202"/>
      <c r="F2694" s="210"/>
      <c r="G2694" s="210"/>
      <c r="H2694" s="206" t="s">
        <v>121</v>
      </c>
      <c r="I2694" s="206" t="s">
        <v>121</v>
      </c>
      <c r="J2694" s="206" t="s">
        <v>121</v>
      </c>
      <c r="K2694" s="206" t="s">
        <v>121</v>
      </c>
      <c r="L2694" s="206" t="str">
        <v/>
      </c>
      <c r="M2694" s="206" t="str">
        <v/>
      </c>
    </row>
    <row r="2695" spans="1:13" ht="14.4">
      <c r="A2695" s="201"/>
      <c r="B2695" s="209"/>
      <c r="C2695" s="201"/>
      <c r="D2695" s="201"/>
      <c r="E2695" s="202"/>
      <c r="F2695" s="210"/>
      <c r="G2695" s="210"/>
      <c r="H2695" s="206" t="s">
        <v>121</v>
      </c>
      <c r="I2695" s="206" t="s">
        <v>121</v>
      </c>
      <c r="J2695" s="206" t="s">
        <v>121</v>
      </c>
      <c r="K2695" s="206" t="s">
        <v>121</v>
      </c>
      <c r="L2695" s="206" t="str">
        <v/>
      </c>
      <c r="M2695" s="206" t="str">
        <v/>
      </c>
    </row>
    <row r="2696" spans="1:13" ht="14.4">
      <c r="A2696" s="201"/>
      <c r="B2696" s="209"/>
      <c r="C2696" s="201"/>
      <c r="D2696" s="201"/>
      <c r="E2696" s="202"/>
      <c r="F2696" s="210"/>
      <c r="G2696" s="210"/>
      <c r="H2696" s="206" t="s">
        <v>121</v>
      </c>
      <c r="I2696" s="206" t="s">
        <v>121</v>
      </c>
      <c r="J2696" s="206" t="s">
        <v>121</v>
      </c>
      <c r="K2696" s="206" t="s">
        <v>121</v>
      </c>
      <c r="L2696" s="206" t="str">
        <v/>
      </c>
      <c r="M2696" s="206" t="str">
        <v/>
      </c>
    </row>
    <row r="2697" spans="1:13" ht="14.4">
      <c r="A2697" s="201"/>
      <c r="B2697" s="209"/>
      <c r="C2697" s="201"/>
      <c r="D2697" s="201"/>
      <c r="E2697" s="202"/>
      <c r="F2697" s="210"/>
      <c r="G2697" s="210"/>
      <c r="H2697" s="206" t="s">
        <v>121</v>
      </c>
      <c r="I2697" s="206" t="s">
        <v>121</v>
      </c>
      <c r="J2697" s="206" t="s">
        <v>121</v>
      </c>
      <c r="K2697" s="206" t="s">
        <v>121</v>
      </c>
      <c r="L2697" s="206" t="str">
        <v/>
      </c>
      <c r="M2697" s="206" t="str">
        <v/>
      </c>
    </row>
    <row r="2698" spans="1:13" ht="14.4">
      <c r="A2698" s="201"/>
      <c r="B2698" s="209"/>
      <c r="C2698" s="201"/>
      <c r="D2698" s="201"/>
      <c r="E2698" s="202"/>
      <c r="F2698" s="210"/>
      <c r="G2698" s="210"/>
      <c r="H2698" s="206" t="s">
        <v>121</v>
      </c>
      <c r="I2698" s="206" t="s">
        <v>121</v>
      </c>
      <c r="J2698" s="206" t="s">
        <v>121</v>
      </c>
      <c r="K2698" s="206" t="s">
        <v>121</v>
      </c>
      <c r="L2698" s="206" t="str">
        <v/>
      </c>
      <c r="M2698" s="206" t="str">
        <v/>
      </c>
    </row>
    <row r="2699" spans="1:13" ht="14.4">
      <c r="A2699" s="201"/>
      <c r="B2699" s="209"/>
      <c r="C2699" s="201"/>
      <c r="D2699" s="201"/>
      <c r="E2699" s="202"/>
      <c r="F2699" s="210"/>
      <c r="G2699" s="210"/>
      <c r="H2699" s="206" t="s">
        <v>121</v>
      </c>
      <c r="I2699" s="206" t="s">
        <v>121</v>
      </c>
      <c r="J2699" s="206" t="s">
        <v>121</v>
      </c>
      <c r="K2699" s="206" t="s">
        <v>121</v>
      </c>
      <c r="L2699" s="206" t="str">
        <v/>
      </c>
      <c r="M2699" s="206" t="str">
        <v/>
      </c>
    </row>
    <row r="2700" spans="1:13" ht="14.4">
      <c r="A2700" s="201"/>
      <c r="B2700" s="209"/>
      <c r="C2700" s="201"/>
      <c r="D2700" s="201"/>
      <c r="E2700" s="202"/>
      <c r="F2700" s="210"/>
      <c r="G2700" s="210"/>
      <c r="H2700" s="206" t="s">
        <v>121</v>
      </c>
      <c r="I2700" s="206" t="s">
        <v>121</v>
      </c>
      <c r="J2700" s="206" t="s">
        <v>121</v>
      </c>
      <c r="K2700" s="206" t="s">
        <v>121</v>
      </c>
      <c r="L2700" s="206" t="str">
        <v/>
      </c>
      <c r="M2700" s="206" t="str">
        <v/>
      </c>
    </row>
    <row r="2701" spans="1:13" ht="14.4">
      <c r="A2701" s="201"/>
      <c r="B2701" s="209"/>
      <c r="C2701" s="201"/>
      <c r="D2701" s="201"/>
      <c r="E2701" s="202"/>
      <c r="F2701" s="210"/>
      <c r="G2701" s="210"/>
      <c r="H2701" s="206" t="s">
        <v>121</v>
      </c>
      <c r="I2701" s="206" t="s">
        <v>121</v>
      </c>
      <c r="J2701" s="206" t="s">
        <v>121</v>
      </c>
      <c r="K2701" s="206" t="s">
        <v>121</v>
      </c>
      <c r="L2701" s="206" t="str">
        <v/>
      </c>
      <c r="M2701" s="206" t="str">
        <v/>
      </c>
    </row>
    <row r="2702" spans="1:13" ht="14.4">
      <c r="A2702" s="201"/>
      <c r="B2702" s="209"/>
      <c r="C2702" s="201"/>
      <c r="D2702" s="201"/>
      <c r="E2702" s="202"/>
      <c r="F2702" s="210"/>
      <c r="G2702" s="210"/>
      <c r="H2702" s="206" t="s">
        <v>121</v>
      </c>
      <c r="I2702" s="206" t="s">
        <v>121</v>
      </c>
      <c r="J2702" s="206" t="s">
        <v>121</v>
      </c>
      <c r="K2702" s="206" t="s">
        <v>121</v>
      </c>
      <c r="L2702" s="206" t="str">
        <v/>
      </c>
      <c r="M2702" s="206" t="str">
        <v/>
      </c>
    </row>
    <row r="2703" spans="1:13" ht="14.4">
      <c r="A2703" s="201"/>
      <c r="B2703" s="209"/>
      <c r="C2703" s="201"/>
      <c r="D2703" s="201"/>
      <c r="E2703" s="202"/>
      <c r="F2703" s="210"/>
      <c r="G2703" s="210"/>
      <c r="H2703" s="206" t="s">
        <v>121</v>
      </c>
      <c r="I2703" s="206" t="s">
        <v>121</v>
      </c>
      <c r="J2703" s="206" t="s">
        <v>121</v>
      </c>
      <c r="K2703" s="206" t="s">
        <v>121</v>
      </c>
      <c r="L2703" s="206" t="str">
        <v/>
      </c>
      <c r="M2703" s="206" t="str">
        <v/>
      </c>
    </row>
    <row r="2704" spans="1:13" ht="14.4">
      <c r="A2704" s="201"/>
      <c r="B2704" s="209"/>
      <c r="C2704" s="201"/>
      <c r="D2704" s="201"/>
      <c r="E2704" s="202"/>
      <c r="F2704" s="210"/>
      <c r="G2704" s="210"/>
      <c r="H2704" s="206" t="s">
        <v>121</v>
      </c>
      <c r="I2704" s="206" t="s">
        <v>121</v>
      </c>
      <c r="J2704" s="206" t="s">
        <v>121</v>
      </c>
      <c r="K2704" s="206" t="s">
        <v>121</v>
      </c>
      <c r="L2704" s="206" t="str">
        <v/>
      </c>
      <c r="M2704" s="206" t="str">
        <v/>
      </c>
    </row>
    <row r="2705" spans="1:13" ht="14.4">
      <c r="A2705" s="201"/>
      <c r="B2705" s="209"/>
      <c r="C2705" s="201"/>
      <c r="D2705" s="201"/>
      <c r="E2705" s="202"/>
      <c r="F2705" s="210"/>
      <c r="G2705" s="210"/>
      <c r="H2705" s="206" t="s">
        <v>121</v>
      </c>
      <c r="I2705" s="206" t="s">
        <v>121</v>
      </c>
      <c r="J2705" s="206" t="s">
        <v>121</v>
      </c>
      <c r="K2705" s="206" t="s">
        <v>121</v>
      </c>
      <c r="L2705" s="206" t="str">
        <v/>
      </c>
      <c r="M2705" s="206" t="str">
        <v/>
      </c>
    </row>
    <row r="2706" spans="1:13" ht="14.4">
      <c r="A2706" s="201"/>
      <c r="B2706" s="209"/>
      <c r="C2706" s="201"/>
      <c r="D2706" s="201"/>
      <c r="E2706" s="202"/>
      <c r="F2706" s="210"/>
      <c r="G2706" s="210"/>
      <c r="H2706" s="206" t="s">
        <v>121</v>
      </c>
      <c r="I2706" s="206" t="s">
        <v>121</v>
      </c>
      <c r="J2706" s="206" t="s">
        <v>121</v>
      </c>
      <c r="K2706" s="206" t="s">
        <v>121</v>
      </c>
      <c r="L2706" s="206" t="str">
        <v/>
      </c>
      <c r="M2706" s="206" t="str">
        <v/>
      </c>
    </row>
    <row r="2707" spans="1:13" ht="14.4">
      <c r="A2707" s="201"/>
      <c r="B2707" s="209"/>
      <c r="C2707" s="201"/>
      <c r="D2707" s="201"/>
      <c r="E2707" s="202"/>
      <c r="F2707" s="210"/>
      <c r="G2707" s="210"/>
      <c r="H2707" s="206" t="s">
        <v>121</v>
      </c>
      <c r="I2707" s="206" t="s">
        <v>121</v>
      </c>
      <c r="J2707" s="206" t="s">
        <v>121</v>
      </c>
      <c r="K2707" s="206" t="s">
        <v>121</v>
      </c>
      <c r="L2707" s="206" t="str">
        <v/>
      </c>
      <c r="M2707" s="206" t="str">
        <v/>
      </c>
    </row>
    <row r="2708" spans="1:13" ht="14.4">
      <c r="A2708" s="201"/>
      <c r="B2708" s="209"/>
      <c r="C2708" s="201"/>
      <c r="D2708" s="201"/>
      <c r="E2708" s="202"/>
      <c r="F2708" s="210"/>
      <c r="G2708" s="210"/>
      <c r="H2708" s="206" t="s">
        <v>121</v>
      </c>
      <c r="I2708" s="206" t="s">
        <v>121</v>
      </c>
      <c r="J2708" s="206" t="s">
        <v>121</v>
      </c>
      <c r="K2708" s="206" t="s">
        <v>121</v>
      </c>
      <c r="L2708" s="206" t="str">
        <v/>
      </c>
      <c r="M2708" s="206" t="str">
        <v/>
      </c>
    </row>
    <row r="2709" spans="1:13" ht="14.4">
      <c r="A2709" s="201"/>
      <c r="B2709" s="209"/>
      <c r="C2709" s="201"/>
      <c r="D2709" s="201"/>
      <c r="E2709" s="202"/>
      <c r="F2709" s="210"/>
      <c r="G2709" s="210"/>
      <c r="H2709" s="206" t="s">
        <v>121</v>
      </c>
      <c r="I2709" s="206" t="s">
        <v>121</v>
      </c>
      <c r="J2709" s="206" t="s">
        <v>121</v>
      </c>
      <c r="K2709" s="206" t="s">
        <v>121</v>
      </c>
      <c r="L2709" s="206" t="str">
        <v/>
      </c>
      <c r="M2709" s="206" t="str">
        <v/>
      </c>
    </row>
    <row r="2710" spans="1:13" ht="14.4">
      <c r="A2710" s="201"/>
      <c r="B2710" s="209"/>
      <c r="C2710" s="201"/>
      <c r="D2710" s="201"/>
      <c r="E2710" s="202"/>
      <c r="F2710" s="210"/>
      <c r="G2710" s="210"/>
      <c r="H2710" s="206" t="s">
        <v>121</v>
      </c>
      <c r="I2710" s="206" t="s">
        <v>121</v>
      </c>
      <c r="J2710" s="206" t="s">
        <v>121</v>
      </c>
      <c r="K2710" s="206" t="s">
        <v>121</v>
      </c>
      <c r="L2710" s="206" t="str">
        <v/>
      </c>
      <c r="M2710" s="206" t="str">
        <v/>
      </c>
    </row>
    <row r="2711" spans="1:13" ht="14.4">
      <c r="A2711" s="201"/>
      <c r="B2711" s="209"/>
      <c r="C2711" s="201"/>
      <c r="D2711" s="201"/>
      <c r="E2711" s="202"/>
      <c r="F2711" s="210"/>
      <c r="G2711" s="210"/>
      <c r="H2711" s="206" t="s">
        <v>121</v>
      </c>
      <c r="I2711" s="206" t="s">
        <v>121</v>
      </c>
      <c r="J2711" s="206" t="s">
        <v>121</v>
      </c>
      <c r="K2711" s="206" t="s">
        <v>121</v>
      </c>
      <c r="L2711" s="206" t="str">
        <v/>
      </c>
      <c r="M2711" s="206" t="str">
        <v/>
      </c>
    </row>
    <row r="2712" spans="1:13" ht="14.4">
      <c r="A2712" s="201"/>
      <c r="B2712" s="209"/>
      <c r="C2712" s="201"/>
      <c r="D2712" s="201"/>
      <c r="E2712" s="202"/>
      <c r="F2712" s="210"/>
      <c r="G2712" s="210"/>
      <c r="H2712" s="206" t="s">
        <v>121</v>
      </c>
      <c r="I2712" s="206" t="s">
        <v>121</v>
      </c>
      <c r="J2712" s="206" t="s">
        <v>121</v>
      </c>
      <c r="K2712" s="206" t="s">
        <v>121</v>
      </c>
      <c r="L2712" s="206" t="str">
        <v/>
      </c>
      <c r="M2712" s="206" t="str">
        <v/>
      </c>
    </row>
    <row r="2713" spans="1:13" ht="14.4">
      <c r="A2713" s="201"/>
      <c r="B2713" s="209"/>
      <c r="C2713" s="201"/>
      <c r="D2713" s="201"/>
      <c r="E2713" s="202"/>
      <c r="F2713" s="210"/>
      <c r="G2713" s="210"/>
      <c r="H2713" s="206" t="s">
        <v>121</v>
      </c>
      <c r="I2713" s="206" t="s">
        <v>121</v>
      </c>
      <c r="J2713" s="206" t="s">
        <v>121</v>
      </c>
      <c r="K2713" s="206" t="s">
        <v>121</v>
      </c>
      <c r="L2713" s="206" t="str">
        <v/>
      </c>
      <c r="M2713" s="206" t="str">
        <v/>
      </c>
    </row>
    <row r="2714" spans="1:13" ht="14.4">
      <c r="A2714" s="201"/>
      <c r="B2714" s="209"/>
      <c r="C2714" s="201"/>
      <c r="D2714" s="201"/>
      <c r="E2714" s="202"/>
      <c r="F2714" s="210"/>
      <c r="G2714" s="210"/>
      <c r="H2714" s="206" t="s">
        <v>121</v>
      </c>
      <c r="I2714" s="206" t="s">
        <v>121</v>
      </c>
      <c r="J2714" s="206" t="s">
        <v>121</v>
      </c>
      <c r="K2714" s="206" t="s">
        <v>121</v>
      </c>
      <c r="L2714" s="206" t="str">
        <v/>
      </c>
      <c r="M2714" s="206" t="str">
        <v/>
      </c>
    </row>
    <row r="2715" spans="1:13" ht="14.4">
      <c r="A2715" s="201"/>
      <c r="B2715" s="209"/>
      <c r="C2715" s="201"/>
      <c r="D2715" s="201"/>
      <c r="E2715" s="202"/>
      <c r="F2715" s="210"/>
      <c r="G2715" s="210"/>
      <c r="H2715" s="206" t="s">
        <v>121</v>
      </c>
      <c r="I2715" s="206" t="s">
        <v>121</v>
      </c>
      <c r="J2715" s="206" t="s">
        <v>121</v>
      </c>
      <c r="K2715" s="206" t="s">
        <v>121</v>
      </c>
      <c r="L2715" s="206" t="str">
        <v/>
      </c>
      <c r="M2715" s="206" t="str">
        <v/>
      </c>
    </row>
    <row r="2716" spans="1:13" ht="14.4">
      <c r="A2716" s="201"/>
      <c r="B2716" s="209"/>
      <c r="C2716" s="201"/>
      <c r="D2716" s="201"/>
      <c r="E2716" s="202"/>
      <c r="F2716" s="210"/>
      <c r="G2716" s="210"/>
      <c r="H2716" s="206" t="s">
        <v>121</v>
      </c>
      <c r="I2716" s="206" t="s">
        <v>121</v>
      </c>
      <c r="J2716" s="206" t="s">
        <v>121</v>
      </c>
      <c r="K2716" s="206" t="s">
        <v>121</v>
      </c>
      <c r="L2716" s="206" t="str">
        <v/>
      </c>
      <c r="M2716" s="206" t="str">
        <v/>
      </c>
    </row>
    <row r="2717" spans="1:13" ht="14.4">
      <c r="A2717" s="201"/>
      <c r="B2717" s="209"/>
      <c r="C2717" s="201"/>
      <c r="D2717" s="201"/>
      <c r="E2717" s="202"/>
      <c r="F2717" s="210"/>
      <c r="G2717" s="210"/>
      <c r="H2717" s="206" t="s">
        <v>121</v>
      </c>
      <c r="I2717" s="206" t="s">
        <v>121</v>
      </c>
      <c r="J2717" s="206" t="s">
        <v>121</v>
      </c>
      <c r="K2717" s="206" t="s">
        <v>121</v>
      </c>
      <c r="L2717" s="206" t="str">
        <v/>
      </c>
      <c r="M2717" s="206" t="str">
        <v/>
      </c>
    </row>
    <row r="2718" spans="1:13" ht="14.4">
      <c r="A2718" s="201"/>
      <c r="B2718" s="209"/>
      <c r="C2718" s="201"/>
      <c r="D2718" s="201"/>
      <c r="E2718" s="202"/>
      <c r="F2718" s="210"/>
      <c r="G2718" s="210"/>
      <c r="H2718" s="206" t="s">
        <v>121</v>
      </c>
      <c r="I2718" s="206" t="s">
        <v>121</v>
      </c>
      <c r="J2718" s="206" t="s">
        <v>121</v>
      </c>
      <c r="K2718" s="206" t="s">
        <v>121</v>
      </c>
      <c r="L2718" s="206" t="str">
        <v/>
      </c>
      <c r="M2718" s="206" t="str">
        <v/>
      </c>
    </row>
    <row r="2719" spans="1:13" ht="14.4">
      <c r="A2719" s="201"/>
      <c r="B2719" s="209"/>
      <c r="C2719" s="201"/>
      <c r="D2719" s="201"/>
      <c r="E2719" s="202"/>
      <c r="F2719" s="210"/>
      <c r="G2719" s="210"/>
      <c r="H2719" s="206" t="s">
        <v>121</v>
      </c>
      <c r="I2719" s="206" t="s">
        <v>121</v>
      </c>
      <c r="J2719" s="206" t="s">
        <v>121</v>
      </c>
      <c r="K2719" s="206" t="s">
        <v>121</v>
      </c>
      <c r="L2719" s="206" t="str">
        <v/>
      </c>
      <c r="M2719" s="206" t="str">
        <v/>
      </c>
    </row>
    <row r="2720" spans="1:13" ht="14.4">
      <c r="A2720" s="201"/>
      <c r="B2720" s="209"/>
      <c r="C2720" s="201"/>
      <c r="D2720" s="201"/>
      <c r="E2720" s="202"/>
      <c r="F2720" s="210"/>
      <c r="G2720" s="210"/>
      <c r="H2720" s="206" t="s">
        <v>121</v>
      </c>
      <c r="I2720" s="206" t="s">
        <v>121</v>
      </c>
      <c r="J2720" s="206" t="s">
        <v>121</v>
      </c>
      <c r="K2720" s="206" t="s">
        <v>121</v>
      </c>
      <c r="L2720" s="206" t="str">
        <v/>
      </c>
      <c r="M2720" s="206" t="str">
        <v/>
      </c>
    </row>
    <row r="2721" spans="1:13" ht="14.4">
      <c r="A2721" s="201"/>
      <c r="B2721" s="209"/>
      <c r="C2721" s="201"/>
      <c r="D2721" s="201"/>
      <c r="E2721" s="202"/>
      <c r="F2721" s="210"/>
      <c r="G2721" s="210"/>
      <c r="H2721" s="206" t="s">
        <v>121</v>
      </c>
      <c r="I2721" s="206" t="s">
        <v>121</v>
      </c>
      <c r="J2721" s="206" t="s">
        <v>121</v>
      </c>
      <c r="K2721" s="206" t="s">
        <v>121</v>
      </c>
      <c r="L2721" s="206" t="str">
        <v/>
      </c>
      <c r="M2721" s="206" t="str">
        <v/>
      </c>
    </row>
    <row r="2722" spans="1:13" ht="14.4">
      <c r="A2722" s="201"/>
      <c r="B2722" s="209"/>
      <c r="C2722" s="201"/>
      <c r="D2722" s="201"/>
      <c r="E2722" s="202"/>
      <c r="F2722" s="210"/>
      <c r="G2722" s="210"/>
      <c r="H2722" s="206" t="s">
        <v>121</v>
      </c>
      <c r="I2722" s="206" t="s">
        <v>121</v>
      </c>
      <c r="J2722" s="206" t="s">
        <v>121</v>
      </c>
      <c r="K2722" s="206" t="s">
        <v>121</v>
      </c>
      <c r="L2722" s="206" t="str">
        <v/>
      </c>
      <c r="M2722" s="206" t="str">
        <v/>
      </c>
    </row>
    <row r="2723" spans="1:13" ht="14.4">
      <c r="A2723" s="201"/>
      <c r="B2723" s="209"/>
      <c r="C2723" s="201"/>
      <c r="D2723" s="201"/>
      <c r="E2723" s="202"/>
      <c r="F2723" s="210"/>
      <c r="G2723" s="210"/>
      <c r="H2723" s="206" t="s">
        <v>121</v>
      </c>
      <c r="I2723" s="206" t="s">
        <v>121</v>
      </c>
      <c r="J2723" s="206" t="s">
        <v>121</v>
      </c>
      <c r="K2723" s="206" t="s">
        <v>121</v>
      </c>
      <c r="L2723" s="206" t="str">
        <v/>
      </c>
      <c r="M2723" s="206" t="str">
        <v/>
      </c>
    </row>
    <row r="2724" spans="1:13" ht="14.4">
      <c r="A2724" s="201"/>
      <c r="B2724" s="209"/>
      <c r="C2724" s="201"/>
      <c r="D2724" s="201"/>
      <c r="E2724" s="202"/>
      <c r="F2724" s="210"/>
      <c r="G2724" s="210"/>
      <c r="H2724" s="206" t="s">
        <v>121</v>
      </c>
      <c r="I2724" s="206" t="s">
        <v>121</v>
      </c>
      <c r="J2724" s="206" t="s">
        <v>121</v>
      </c>
      <c r="K2724" s="206" t="s">
        <v>121</v>
      </c>
      <c r="L2724" s="206" t="str">
        <v/>
      </c>
      <c r="M2724" s="206" t="str">
        <v/>
      </c>
    </row>
    <row r="2725" spans="1:13" ht="14.4">
      <c r="A2725" s="201"/>
      <c r="B2725" s="209"/>
      <c r="C2725" s="201"/>
      <c r="D2725" s="201"/>
      <c r="E2725" s="202"/>
      <c r="F2725" s="210"/>
      <c r="G2725" s="210"/>
      <c r="H2725" s="206" t="s">
        <v>121</v>
      </c>
      <c r="I2725" s="206" t="s">
        <v>121</v>
      </c>
      <c r="J2725" s="206" t="s">
        <v>121</v>
      </c>
      <c r="K2725" s="206" t="s">
        <v>121</v>
      </c>
      <c r="L2725" s="206" t="str">
        <v/>
      </c>
      <c r="M2725" s="206" t="str">
        <v/>
      </c>
    </row>
    <row r="2726" spans="1:13" ht="14.4">
      <c r="A2726" s="201"/>
      <c r="B2726" s="209"/>
      <c r="C2726" s="201"/>
      <c r="D2726" s="201"/>
      <c r="E2726" s="202"/>
      <c r="F2726" s="210"/>
      <c r="G2726" s="210"/>
      <c r="H2726" s="206" t="s">
        <v>121</v>
      </c>
      <c r="I2726" s="206" t="s">
        <v>121</v>
      </c>
      <c r="J2726" s="206" t="s">
        <v>121</v>
      </c>
      <c r="K2726" s="206" t="s">
        <v>121</v>
      </c>
      <c r="L2726" s="206" t="str">
        <v/>
      </c>
      <c r="M2726" s="206" t="str">
        <v/>
      </c>
    </row>
    <row r="2727" spans="1:13" ht="14.4">
      <c r="A2727" s="201"/>
      <c r="B2727" s="209"/>
      <c r="C2727" s="201"/>
      <c r="D2727" s="201"/>
      <c r="E2727" s="202"/>
      <c r="F2727" s="210"/>
      <c r="G2727" s="210"/>
      <c r="H2727" s="206" t="s">
        <v>121</v>
      </c>
      <c r="I2727" s="206" t="s">
        <v>121</v>
      </c>
      <c r="J2727" s="206" t="s">
        <v>121</v>
      </c>
      <c r="K2727" s="206" t="s">
        <v>121</v>
      </c>
      <c r="L2727" s="206" t="str">
        <v/>
      </c>
      <c r="M2727" s="206" t="str">
        <v/>
      </c>
    </row>
    <row r="2728" spans="1:13" ht="14.4">
      <c r="A2728" s="201"/>
      <c r="B2728" s="209"/>
      <c r="C2728" s="201"/>
      <c r="D2728" s="201"/>
      <c r="E2728" s="202"/>
      <c r="F2728" s="210"/>
      <c r="G2728" s="210"/>
      <c r="H2728" s="206" t="s">
        <v>121</v>
      </c>
      <c r="I2728" s="206" t="s">
        <v>121</v>
      </c>
      <c r="J2728" s="206" t="s">
        <v>121</v>
      </c>
      <c r="K2728" s="206" t="s">
        <v>121</v>
      </c>
      <c r="L2728" s="206" t="str">
        <v/>
      </c>
      <c r="M2728" s="206" t="str">
        <v/>
      </c>
    </row>
    <row r="2729" spans="1:13" ht="14.4">
      <c r="A2729" s="201"/>
      <c r="B2729" s="209"/>
      <c r="C2729" s="201"/>
      <c r="D2729" s="201"/>
      <c r="E2729" s="202"/>
      <c r="F2729" s="210"/>
      <c r="G2729" s="210"/>
      <c r="H2729" s="206" t="s">
        <v>121</v>
      </c>
      <c r="I2729" s="206" t="s">
        <v>121</v>
      </c>
      <c r="J2729" s="206" t="s">
        <v>121</v>
      </c>
      <c r="K2729" s="206" t="s">
        <v>121</v>
      </c>
      <c r="L2729" s="206" t="str">
        <v/>
      </c>
      <c r="M2729" s="206" t="str">
        <v/>
      </c>
    </row>
    <row r="2730" spans="1:13" ht="14.4">
      <c r="A2730" s="201"/>
      <c r="B2730" s="209"/>
      <c r="C2730" s="201"/>
      <c r="D2730" s="201"/>
      <c r="E2730" s="202"/>
      <c r="F2730" s="210"/>
      <c r="G2730" s="210"/>
      <c r="H2730" s="206" t="s">
        <v>121</v>
      </c>
      <c r="I2730" s="206" t="s">
        <v>121</v>
      </c>
      <c r="J2730" s="206" t="s">
        <v>121</v>
      </c>
      <c r="K2730" s="206" t="s">
        <v>121</v>
      </c>
      <c r="L2730" s="206" t="str">
        <v/>
      </c>
      <c r="M2730" s="206" t="str">
        <v/>
      </c>
    </row>
    <row r="2731" spans="1:13" ht="14.4">
      <c r="A2731" s="201"/>
      <c r="B2731" s="209"/>
      <c r="C2731" s="201"/>
      <c r="D2731" s="201"/>
      <c r="E2731" s="202"/>
      <c r="F2731" s="210"/>
      <c r="G2731" s="210"/>
      <c r="H2731" s="206" t="s">
        <v>121</v>
      </c>
      <c r="I2731" s="206" t="s">
        <v>121</v>
      </c>
      <c r="J2731" s="206" t="s">
        <v>121</v>
      </c>
      <c r="K2731" s="206" t="s">
        <v>121</v>
      </c>
      <c r="L2731" s="206" t="str">
        <v/>
      </c>
      <c r="M2731" s="206" t="str">
        <v/>
      </c>
    </row>
    <row r="2732" spans="1:13" ht="14.4">
      <c r="A2732" s="201"/>
      <c r="B2732" s="209"/>
      <c r="C2732" s="201"/>
      <c r="D2732" s="201"/>
      <c r="E2732" s="202"/>
      <c r="F2732" s="210"/>
      <c r="G2732" s="210"/>
      <c r="H2732" s="206" t="s">
        <v>121</v>
      </c>
      <c r="I2732" s="206" t="s">
        <v>121</v>
      </c>
      <c r="J2732" s="206" t="s">
        <v>121</v>
      </c>
      <c r="K2732" s="206" t="s">
        <v>121</v>
      </c>
      <c r="L2732" s="206" t="str">
        <v/>
      </c>
      <c r="M2732" s="206" t="str">
        <v/>
      </c>
    </row>
    <row r="2733" spans="1:13" ht="14.4">
      <c r="A2733" s="201"/>
      <c r="B2733" s="209"/>
      <c r="C2733" s="201"/>
      <c r="D2733" s="201"/>
      <c r="E2733" s="202"/>
      <c r="F2733" s="210"/>
      <c r="G2733" s="210"/>
      <c r="H2733" s="206" t="s">
        <v>121</v>
      </c>
      <c r="I2733" s="206" t="s">
        <v>121</v>
      </c>
      <c r="J2733" s="206" t="s">
        <v>121</v>
      </c>
      <c r="K2733" s="206" t="s">
        <v>121</v>
      </c>
      <c r="L2733" s="206" t="str">
        <v/>
      </c>
      <c r="M2733" s="206" t="str">
        <v/>
      </c>
    </row>
    <row r="2734" spans="1:13" ht="14.4">
      <c r="A2734" s="201"/>
      <c r="B2734" s="209"/>
      <c r="C2734" s="201"/>
      <c r="D2734" s="201"/>
      <c r="E2734" s="202"/>
      <c r="F2734" s="210"/>
      <c r="G2734" s="210"/>
      <c r="H2734" s="206" t="s">
        <v>121</v>
      </c>
      <c r="I2734" s="206" t="s">
        <v>121</v>
      </c>
      <c r="J2734" s="206" t="s">
        <v>121</v>
      </c>
      <c r="K2734" s="206" t="s">
        <v>121</v>
      </c>
      <c r="L2734" s="206" t="str">
        <v/>
      </c>
      <c r="M2734" s="206" t="str">
        <v/>
      </c>
    </row>
    <row r="2735" spans="1:13" ht="14.4">
      <c r="A2735" s="201"/>
      <c r="B2735" s="209"/>
      <c r="C2735" s="201"/>
      <c r="D2735" s="201"/>
      <c r="E2735" s="202"/>
      <c r="F2735" s="210"/>
      <c r="G2735" s="210"/>
      <c r="H2735" s="206" t="s">
        <v>121</v>
      </c>
      <c r="I2735" s="206" t="s">
        <v>121</v>
      </c>
      <c r="J2735" s="206" t="s">
        <v>121</v>
      </c>
      <c r="K2735" s="206" t="s">
        <v>121</v>
      </c>
      <c r="L2735" s="206" t="str">
        <v/>
      </c>
      <c r="M2735" s="206" t="str">
        <v/>
      </c>
    </row>
    <row r="2736" spans="1:13" ht="14.4">
      <c r="A2736" s="201"/>
      <c r="B2736" s="209"/>
      <c r="C2736" s="201"/>
      <c r="D2736" s="201"/>
      <c r="E2736" s="202"/>
      <c r="F2736" s="210"/>
      <c r="G2736" s="210"/>
      <c r="H2736" s="206" t="s">
        <v>121</v>
      </c>
      <c r="I2736" s="206" t="s">
        <v>121</v>
      </c>
      <c r="J2736" s="206" t="s">
        <v>121</v>
      </c>
      <c r="K2736" s="206" t="s">
        <v>121</v>
      </c>
      <c r="L2736" s="206" t="str">
        <v/>
      </c>
      <c r="M2736" s="206" t="str">
        <v/>
      </c>
    </row>
    <row r="2737" spans="1:13" ht="14.4">
      <c r="A2737" s="201"/>
      <c r="B2737" s="209"/>
      <c r="C2737" s="201"/>
      <c r="D2737" s="201"/>
      <c r="E2737" s="202"/>
      <c r="F2737" s="210"/>
      <c r="G2737" s="210"/>
      <c r="H2737" s="206" t="s">
        <v>121</v>
      </c>
      <c r="I2737" s="206" t="s">
        <v>121</v>
      </c>
      <c r="J2737" s="206" t="s">
        <v>121</v>
      </c>
      <c r="K2737" s="206" t="s">
        <v>121</v>
      </c>
      <c r="L2737" s="206" t="str">
        <v/>
      </c>
      <c r="M2737" s="206" t="str">
        <v/>
      </c>
    </row>
    <row r="2738" spans="1:13" ht="14.4">
      <c r="A2738" s="201"/>
      <c r="B2738" s="209"/>
      <c r="C2738" s="201"/>
      <c r="D2738" s="201"/>
      <c r="E2738" s="202"/>
      <c r="F2738" s="210"/>
      <c r="G2738" s="210"/>
      <c r="H2738" s="206" t="s">
        <v>121</v>
      </c>
      <c r="I2738" s="206" t="s">
        <v>121</v>
      </c>
      <c r="J2738" s="206" t="s">
        <v>121</v>
      </c>
      <c r="K2738" s="206" t="s">
        <v>121</v>
      </c>
      <c r="L2738" s="206" t="str">
        <v/>
      </c>
      <c r="M2738" s="206" t="str">
        <v/>
      </c>
    </row>
    <row r="2739" spans="1:13" ht="14.4">
      <c r="A2739" s="201"/>
      <c r="B2739" s="209"/>
      <c r="C2739" s="201"/>
      <c r="D2739" s="201"/>
      <c r="E2739" s="202"/>
      <c r="F2739" s="210"/>
      <c r="G2739" s="210"/>
      <c r="H2739" s="206" t="s">
        <v>121</v>
      </c>
      <c r="I2739" s="206" t="s">
        <v>121</v>
      </c>
      <c r="J2739" s="206" t="s">
        <v>121</v>
      </c>
      <c r="K2739" s="206" t="s">
        <v>121</v>
      </c>
      <c r="L2739" s="206" t="str">
        <v/>
      </c>
      <c r="M2739" s="206" t="str">
        <v/>
      </c>
    </row>
    <row r="2740" spans="1:13" ht="14.4">
      <c r="A2740" s="201"/>
      <c r="B2740" s="209"/>
      <c r="C2740" s="201"/>
      <c r="D2740" s="201"/>
      <c r="E2740" s="202"/>
      <c r="F2740" s="210"/>
      <c r="G2740" s="210"/>
      <c r="H2740" s="206" t="s">
        <v>121</v>
      </c>
      <c r="I2740" s="206" t="s">
        <v>121</v>
      </c>
      <c r="J2740" s="206" t="s">
        <v>121</v>
      </c>
      <c r="K2740" s="206" t="s">
        <v>121</v>
      </c>
      <c r="L2740" s="206" t="str">
        <v/>
      </c>
      <c r="M2740" s="206" t="str">
        <v/>
      </c>
    </row>
    <row r="2741" spans="1:13" ht="14.4">
      <c r="A2741" s="201"/>
      <c r="B2741" s="209"/>
      <c r="C2741" s="201"/>
      <c r="D2741" s="201"/>
      <c r="E2741" s="202"/>
      <c r="F2741" s="210"/>
      <c r="G2741" s="210"/>
      <c r="H2741" s="206" t="s">
        <v>121</v>
      </c>
      <c r="I2741" s="206" t="s">
        <v>121</v>
      </c>
      <c r="J2741" s="206" t="s">
        <v>121</v>
      </c>
      <c r="K2741" s="206" t="s">
        <v>121</v>
      </c>
      <c r="L2741" s="206" t="str">
        <v/>
      </c>
      <c r="M2741" s="206" t="str">
        <v/>
      </c>
    </row>
    <row r="2742" spans="1:13" ht="14.4">
      <c r="A2742" s="201"/>
      <c r="B2742" s="209"/>
      <c r="C2742" s="201"/>
      <c r="D2742" s="201"/>
      <c r="E2742" s="202"/>
      <c r="F2742" s="210"/>
      <c r="G2742" s="210"/>
      <c r="H2742" s="206" t="s">
        <v>121</v>
      </c>
      <c r="I2742" s="206" t="s">
        <v>121</v>
      </c>
      <c r="J2742" s="206" t="s">
        <v>121</v>
      </c>
      <c r="K2742" s="206" t="s">
        <v>121</v>
      </c>
      <c r="L2742" s="206" t="str">
        <v/>
      </c>
      <c r="M2742" s="206" t="str">
        <v/>
      </c>
    </row>
    <row r="2743" spans="1:13" ht="14.4">
      <c r="A2743" s="201"/>
      <c r="B2743" s="209"/>
      <c r="C2743" s="201"/>
      <c r="D2743" s="201"/>
      <c r="E2743" s="202"/>
      <c r="F2743" s="210"/>
      <c r="G2743" s="210"/>
      <c r="H2743" s="206" t="s">
        <v>121</v>
      </c>
      <c r="I2743" s="206" t="s">
        <v>121</v>
      </c>
      <c r="J2743" s="206" t="s">
        <v>121</v>
      </c>
      <c r="K2743" s="206" t="s">
        <v>121</v>
      </c>
      <c r="L2743" s="206" t="str">
        <v/>
      </c>
      <c r="M2743" s="206" t="str">
        <v/>
      </c>
    </row>
    <row r="2744" spans="1:13" ht="14.4">
      <c r="A2744" s="201"/>
      <c r="B2744" s="209"/>
      <c r="C2744" s="201"/>
      <c r="D2744" s="201"/>
      <c r="E2744" s="202"/>
      <c r="F2744" s="210"/>
      <c r="G2744" s="210"/>
      <c r="H2744" s="206" t="s">
        <v>121</v>
      </c>
      <c r="I2744" s="206" t="s">
        <v>121</v>
      </c>
      <c r="J2744" s="206" t="s">
        <v>121</v>
      </c>
      <c r="K2744" s="206" t="s">
        <v>121</v>
      </c>
      <c r="L2744" s="206" t="str">
        <v/>
      </c>
      <c r="M2744" s="206" t="str">
        <v/>
      </c>
    </row>
    <row r="2745" spans="1:13" ht="14.4">
      <c r="A2745" s="201"/>
      <c r="B2745" s="209"/>
      <c r="C2745" s="201"/>
      <c r="D2745" s="201"/>
      <c r="E2745" s="202"/>
      <c r="F2745" s="210"/>
      <c r="G2745" s="210"/>
      <c r="H2745" s="206" t="s">
        <v>121</v>
      </c>
      <c r="I2745" s="206" t="s">
        <v>121</v>
      </c>
      <c r="J2745" s="206" t="s">
        <v>121</v>
      </c>
      <c r="K2745" s="206" t="s">
        <v>121</v>
      </c>
      <c r="L2745" s="206" t="str">
        <v/>
      </c>
      <c r="M2745" s="206" t="str">
        <v/>
      </c>
    </row>
    <row r="2746" spans="1:13" ht="14.4">
      <c r="A2746" s="201"/>
      <c r="B2746" s="209"/>
      <c r="C2746" s="201"/>
      <c r="D2746" s="201"/>
      <c r="E2746" s="202"/>
      <c r="F2746" s="210"/>
      <c r="G2746" s="210"/>
      <c r="H2746" s="206" t="s">
        <v>121</v>
      </c>
      <c r="I2746" s="206" t="s">
        <v>121</v>
      </c>
      <c r="J2746" s="206" t="s">
        <v>121</v>
      </c>
      <c r="K2746" s="206" t="s">
        <v>121</v>
      </c>
      <c r="L2746" s="206" t="str">
        <v/>
      </c>
      <c r="M2746" s="206" t="str">
        <v/>
      </c>
    </row>
    <row r="2747" spans="1:13" ht="14.4">
      <c r="A2747" s="201"/>
      <c r="B2747" s="209"/>
      <c r="C2747" s="201"/>
      <c r="D2747" s="201"/>
      <c r="E2747" s="202"/>
      <c r="F2747" s="210"/>
      <c r="G2747" s="210"/>
      <c r="H2747" s="206" t="s">
        <v>121</v>
      </c>
      <c r="I2747" s="206" t="s">
        <v>121</v>
      </c>
      <c r="J2747" s="206" t="s">
        <v>121</v>
      </c>
      <c r="K2747" s="206" t="s">
        <v>121</v>
      </c>
      <c r="L2747" s="206" t="str">
        <v/>
      </c>
      <c r="M2747" s="206" t="str">
        <v/>
      </c>
    </row>
    <row r="2748" spans="1:13" ht="14.4">
      <c r="A2748" s="201"/>
      <c r="B2748" s="209"/>
      <c r="C2748" s="201"/>
      <c r="D2748" s="201"/>
      <c r="E2748" s="202"/>
      <c r="F2748" s="210"/>
      <c r="G2748" s="210"/>
      <c r="H2748" s="206" t="s">
        <v>121</v>
      </c>
      <c r="I2748" s="206" t="s">
        <v>121</v>
      </c>
      <c r="J2748" s="206" t="s">
        <v>121</v>
      </c>
      <c r="K2748" s="206" t="s">
        <v>121</v>
      </c>
      <c r="L2748" s="206" t="str">
        <v/>
      </c>
      <c r="M2748" s="206" t="str">
        <v/>
      </c>
    </row>
    <row r="2749" spans="1:13" ht="14.4">
      <c r="A2749" s="201"/>
      <c r="B2749" s="209"/>
      <c r="C2749" s="201"/>
      <c r="D2749" s="201"/>
      <c r="E2749" s="202"/>
      <c r="F2749" s="210"/>
      <c r="G2749" s="210"/>
      <c r="H2749" s="206" t="s">
        <v>121</v>
      </c>
      <c r="I2749" s="206" t="s">
        <v>121</v>
      </c>
      <c r="J2749" s="206" t="s">
        <v>121</v>
      </c>
      <c r="K2749" s="206" t="s">
        <v>121</v>
      </c>
      <c r="L2749" s="206" t="str">
        <v/>
      </c>
      <c r="M2749" s="206" t="str">
        <v/>
      </c>
    </row>
    <row r="2750" spans="1:13" ht="14.4">
      <c r="A2750" s="201"/>
      <c r="B2750" s="209"/>
      <c r="C2750" s="201"/>
      <c r="D2750" s="201"/>
      <c r="E2750" s="202"/>
      <c r="F2750" s="210"/>
      <c r="G2750" s="210"/>
      <c r="H2750" s="206" t="s">
        <v>121</v>
      </c>
      <c r="I2750" s="206" t="s">
        <v>121</v>
      </c>
      <c r="J2750" s="206" t="s">
        <v>121</v>
      </c>
      <c r="K2750" s="206" t="s">
        <v>121</v>
      </c>
      <c r="L2750" s="206" t="str">
        <v/>
      </c>
      <c r="M2750" s="206" t="str">
        <v/>
      </c>
    </row>
    <row r="2751" spans="1:13" ht="14.4">
      <c r="A2751" s="201"/>
      <c r="B2751" s="209"/>
      <c r="C2751" s="201"/>
      <c r="D2751" s="201"/>
      <c r="E2751" s="202"/>
      <c r="F2751" s="210"/>
      <c r="G2751" s="210"/>
      <c r="H2751" s="206" t="s">
        <v>121</v>
      </c>
      <c r="I2751" s="206" t="s">
        <v>121</v>
      </c>
      <c r="J2751" s="206" t="s">
        <v>121</v>
      </c>
      <c r="K2751" s="206" t="s">
        <v>121</v>
      </c>
      <c r="L2751" s="206" t="str">
        <v/>
      </c>
      <c r="M2751" s="206" t="str">
        <v/>
      </c>
    </row>
    <row r="2752" spans="1:13" ht="14.4">
      <c r="A2752" s="201"/>
      <c r="B2752" s="209"/>
      <c r="C2752" s="201"/>
      <c r="D2752" s="201"/>
      <c r="E2752" s="202"/>
      <c r="F2752" s="210"/>
      <c r="G2752" s="210"/>
      <c r="H2752" s="206" t="s">
        <v>121</v>
      </c>
      <c r="I2752" s="206" t="s">
        <v>121</v>
      </c>
      <c r="J2752" s="206" t="s">
        <v>121</v>
      </c>
      <c r="K2752" s="206" t="s">
        <v>121</v>
      </c>
      <c r="L2752" s="206" t="str">
        <v/>
      </c>
      <c r="M2752" s="206" t="str">
        <v/>
      </c>
    </row>
    <row r="2753" spans="1:13" ht="14.4">
      <c r="A2753" s="201"/>
      <c r="B2753" s="209"/>
      <c r="C2753" s="201"/>
      <c r="D2753" s="201"/>
      <c r="E2753" s="202"/>
      <c r="F2753" s="210"/>
      <c r="G2753" s="210"/>
      <c r="H2753" s="206" t="s">
        <v>121</v>
      </c>
      <c r="I2753" s="206" t="s">
        <v>121</v>
      </c>
      <c r="J2753" s="206" t="s">
        <v>121</v>
      </c>
      <c r="K2753" s="206" t="s">
        <v>121</v>
      </c>
      <c r="L2753" s="206" t="str">
        <v/>
      </c>
      <c r="M2753" s="206" t="str">
        <v/>
      </c>
    </row>
    <row r="2754" spans="1:13" ht="14.4">
      <c r="A2754" s="201"/>
      <c r="B2754" s="209"/>
      <c r="C2754" s="201"/>
      <c r="D2754" s="201"/>
      <c r="E2754" s="202"/>
      <c r="F2754" s="210"/>
      <c r="G2754" s="210"/>
      <c r="H2754" s="206" t="s">
        <v>121</v>
      </c>
      <c r="I2754" s="206" t="s">
        <v>121</v>
      </c>
      <c r="J2754" s="206" t="s">
        <v>121</v>
      </c>
      <c r="K2754" s="206" t="s">
        <v>121</v>
      </c>
      <c r="L2754" s="206" t="str">
        <v/>
      </c>
      <c r="M2754" s="206" t="str">
        <v/>
      </c>
    </row>
    <row r="2755" spans="1:13" ht="14.4">
      <c r="A2755" s="201"/>
      <c r="B2755" s="209"/>
      <c r="C2755" s="201"/>
      <c r="D2755" s="201"/>
      <c r="E2755" s="202"/>
      <c r="F2755" s="210"/>
      <c r="G2755" s="210"/>
      <c r="H2755" s="206" t="s">
        <v>121</v>
      </c>
      <c r="I2755" s="206" t="s">
        <v>121</v>
      </c>
      <c r="J2755" s="206" t="s">
        <v>121</v>
      </c>
      <c r="K2755" s="206" t="s">
        <v>121</v>
      </c>
      <c r="L2755" s="206" t="str">
        <v/>
      </c>
      <c r="M2755" s="206" t="str">
        <v/>
      </c>
    </row>
    <row r="2756" spans="1:13" ht="14.4">
      <c r="A2756" s="201"/>
      <c r="B2756" s="209"/>
      <c r="C2756" s="201"/>
      <c r="D2756" s="201"/>
      <c r="E2756" s="202"/>
      <c r="F2756" s="210"/>
      <c r="G2756" s="210"/>
      <c r="H2756" s="206" t="s">
        <v>121</v>
      </c>
      <c r="I2756" s="206" t="s">
        <v>121</v>
      </c>
      <c r="J2756" s="206" t="s">
        <v>121</v>
      </c>
      <c r="K2756" s="206" t="s">
        <v>121</v>
      </c>
      <c r="L2756" s="206" t="str">
        <v/>
      </c>
      <c r="M2756" s="206" t="str">
        <v/>
      </c>
    </row>
    <row r="2757" spans="1:13" ht="14.4">
      <c r="A2757" s="201"/>
      <c r="B2757" s="209"/>
      <c r="C2757" s="201"/>
      <c r="D2757" s="201"/>
      <c r="E2757" s="202"/>
      <c r="F2757" s="210"/>
      <c r="G2757" s="210"/>
      <c r="H2757" s="206" t="s">
        <v>121</v>
      </c>
      <c r="I2757" s="206" t="s">
        <v>121</v>
      </c>
      <c r="J2757" s="206" t="s">
        <v>121</v>
      </c>
      <c r="K2757" s="206" t="s">
        <v>121</v>
      </c>
      <c r="L2757" s="206" t="str">
        <v/>
      </c>
      <c r="M2757" s="206" t="str">
        <v/>
      </c>
    </row>
    <row r="2758" spans="1:13" ht="14.4">
      <c r="A2758" s="201"/>
      <c r="B2758" s="209"/>
      <c r="C2758" s="201"/>
      <c r="D2758" s="201"/>
      <c r="E2758" s="202"/>
      <c r="F2758" s="210"/>
      <c r="G2758" s="210"/>
      <c r="H2758" s="206" t="s">
        <v>121</v>
      </c>
      <c r="I2758" s="206" t="s">
        <v>121</v>
      </c>
      <c r="J2758" s="206" t="s">
        <v>121</v>
      </c>
      <c r="K2758" s="206" t="s">
        <v>121</v>
      </c>
      <c r="L2758" s="206" t="str">
        <v/>
      </c>
      <c r="M2758" s="206" t="str">
        <v/>
      </c>
    </row>
    <row r="2759" spans="1:13" ht="14.4">
      <c r="A2759" s="201"/>
      <c r="B2759" s="209"/>
      <c r="C2759" s="201"/>
      <c r="D2759" s="201"/>
      <c r="E2759" s="202"/>
      <c r="F2759" s="210"/>
      <c r="G2759" s="210"/>
      <c r="H2759" s="206" t="s">
        <v>121</v>
      </c>
      <c r="I2759" s="206" t="s">
        <v>121</v>
      </c>
      <c r="J2759" s="206" t="s">
        <v>121</v>
      </c>
      <c r="K2759" s="206" t="s">
        <v>121</v>
      </c>
      <c r="L2759" s="206" t="str">
        <v/>
      </c>
      <c r="M2759" s="206" t="str">
        <v/>
      </c>
    </row>
    <row r="2760" spans="1:13" ht="14.4">
      <c r="A2760" s="201"/>
      <c r="B2760" s="209"/>
      <c r="C2760" s="201"/>
      <c r="D2760" s="201"/>
      <c r="E2760" s="202"/>
      <c r="F2760" s="210"/>
      <c r="G2760" s="210"/>
      <c r="H2760" s="206" t="s">
        <v>121</v>
      </c>
      <c r="I2760" s="206" t="s">
        <v>121</v>
      </c>
      <c r="J2760" s="206" t="s">
        <v>121</v>
      </c>
      <c r="K2760" s="206" t="s">
        <v>121</v>
      </c>
      <c r="L2760" s="206" t="str">
        <v/>
      </c>
      <c r="M2760" s="206" t="str">
        <v/>
      </c>
    </row>
    <row r="2761" spans="1:13" ht="14.4">
      <c r="A2761" s="201"/>
      <c r="B2761" s="209"/>
      <c r="C2761" s="201"/>
      <c r="D2761" s="201"/>
      <c r="E2761" s="202"/>
      <c r="F2761" s="210"/>
      <c r="G2761" s="210"/>
      <c r="H2761" s="206" t="s">
        <v>121</v>
      </c>
      <c r="I2761" s="206" t="s">
        <v>121</v>
      </c>
      <c r="J2761" s="206" t="s">
        <v>121</v>
      </c>
      <c r="K2761" s="206" t="s">
        <v>121</v>
      </c>
      <c r="L2761" s="206" t="str">
        <v/>
      </c>
      <c r="M2761" s="206" t="str">
        <v/>
      </c>
    </row>
    <row r="2762" spans="1:13" ht="14.4">
      <c r="A2762" s="201"/>
      <c r="B2762" s="209"/>
      <c r="C2762" s="201"/>
      <c r="D2762" s="201"/>
      <c r="E2762" s="202"/>
      <c r="F2762" s="210"/>
      <c r="G2762" s="210"/>
      <c r="H2762" s="206" t="s">
        <v>121</v>
      </c>
      <c r="I2762" s="206" t="s">
        <v>121</v>
      </c>
      <c r="J2762" s="206" t="s">
        <v>121</v>
      </c>
      <c r="K2762" s="206" t="s">
        <v>121</v>
      </c>
      <c r="L2762" s="206" t="str">
        <v/>
      </c>
      <c r="M2762" s="206" t="str">
        <v/>
      </c>
    </row>
    <row r="2763" spans="1:13" ht="14.4">
      <c r="A2763" s="201"/>
      <c r="B2763" s="209"/>
      <c r="C2763" s="201"/>
      <c r="D2763" s="201"/>
      <c r="E2763" s="202"/>
      <c r="F2763" s="210"/>
      <c r="G2763" s="210"/>
      <c r="H2763" s="206" t="s">
        <v>121</v>
      </c>
      <c r="I2763" s="206" t="s">
        <v>121</v>
      </c>
      <c r="J2763" s="206" t="s">
        <v>121</v>
      </c>
      <c r="K2763" s="206" t="s">
        <v>121</v>
      </c>
      <c r="L2763" s="206" t="str">
        <v/>
      </c>
      <c r="M2763" s="206" t="str">
        <v/>
      </c>
    </row>
    <row r="2764" spans="1:13" ht="14.4">
      <c r="A2764" s="201"/>
      <c r="B2764" s="209"/>
      <c r="C2764" s="201"/>
      <c r="D2764" s="201"/>
      <c r="E2764" s="202"/>
      <c r="F2764" s="210"/>
      <c r="G2764" s="210"/>
      <c r="H2764" s="206" t="s">
        <v>121</v>
      </c>
      <c r="I2764" s="206" t="s">
        <v>121</v>
      </c>
      <c r="J2764" s="206" t="s">
        <v>121</v>
      </c>
      <c r="K2764" s="206" t="s">
        <v>121</v>
      </c>
      <c r="L2764" s="206" t="str">
        <v/>
      </c>
      <c r="M2764" s="206" t="str">
        <v/>
      </c>
    </row>
    <row r="2765" spans="1:13" ht="14.4">
      <c r="A2765" s="201"/>
      <c r="B2765" s="209"/>
      <c r="C2765" s="201"/>
      <c r="D2765" s="201"/>
      <c r="E2765" s="202"/>
      <c r="F2765" s="210"/>
      <c r="G2765" s="210"/>
      <c r="H2765" s="206" t="s">
        <v>121</v>
      </c>
      <c r="I2765" s="206" t="s">
        <v>121</v>
      </c>
      <c r="J2765" s="206" t="s">
        <v>121</v>
      </c>
      <c r="K2765" s="206" t="s">
        <v>121</v>
      </c>
      <c r="L2765" s="206" t="str">
        <v/>
      </c>
      <c r="M2765" s="206" t="str">
        <v/>
      </c>
    </row>
    <row r="2766" spans="1:13" ht="14.4">
      <c r="A2766" s="201"/>
      <c r="B2766" s="209"/>
      <c r="C2766" s="201"/>
      <c r="D2766" s="201"/>
      <c r="E2766" s="202"/>
      <c r="F2766" s="210"/>
      <c r="G2766" s="210"/>
      <c r="H2766" s="206" t="s">
        <v>121</v>
      </c>
      <c r="I2766" s="206" t="s">
        <v>121</v>
      </c>
      <c r="J2766" s="206" t="s">
        <v>121</v>
      </c>
      <c r="K2766" s="206" t="s">
        <v>121</v>
      </c>
      <c r="L2766" s="206" t="str">
        <v/>
      </c>
      <c r="M2766" s="206" t="str">
        <v/>
      </c>
    </row>
    <row r="2767" spans="1:13" ht="14.4">
      <c r="A2767" s="201"/>
      <c r="B2767" s="209"/>
      <c r="C2767" s="201"/>
      <c r="D2767" s="201"/>
      <c r="E2767" s="202"/>
      <c r="F2767" s="210"/>
      <c r="G2767" s="210"/>
      <c r="H2767" s="206" t="s">
        <v>121</v>
      </c>
      <c r="I2767" s="206" t="s">
        <v>121</v>
      </c>
      <c r="J2767" s="206" t="s">
        <v>121</v>
      </c>
      <c r="K2767" s="206" t="s">
        <v>121</v>
      </c>
      <c r="L2767" s="206" t="str">
        <v/>
      </c>
      <c r="M2767" s="206" t="str">
        <v/>
      </c>
    </row>
    <row r="2768" spans="1:13" ht="14.4">
      <c r="A2768" s="201"/>
      <c r="B2768" s="209"/>
      <c r="C2768" s="201"/>
      <c r="D2768" s="201"/>
      <c r="E2768" s="202"/>
      <c r="F2768" s="210"/>
      <c r="G2768" s="210"/>
      <c r="H2768" s="206" t="s">
        <v>121</v>
      </c>
      <c r="I2768" s="206" t="s">
        <v>121</v>
      </c>
      <c r="J2768" s="206" t="s">
        <v>121</v>
      </c>
      <c r="K2768" s="206" t="s">
        <v>121</v>
      </c>
      <c r="L2768" s="206" t="str">
        <v/>
      </c>
      <c r="M2768" s="206" t="str">
        <v/>
      </c>
    </row>
    <row r="2769" spans="1:13" ht="14.4">
      <c r="A2769" s="201"/>
      <c r="B2769" s="209"/>
      <c r="C2769" s="201"/>
      <c r="D2769" s="201"/>
      <c r="E2769" s="202"/>
      <c r="F2769" s="210"/>
      <c r="G2769" s="210"/>
      <c r="H2769" s="206" t="s">
        <v>121</v>
      </c>
      <c r="I2769" s="206" t="s">
        <v>121</v>
      </c>
      <c r="J2769" s="206" t="s">
        <v>121</v>
      </c>
      <c r="K2769" s="206" t="s">
        <v>121</v>
      </c>
      <c r="L2769" s="206" t="str">
        <v/>
      </c>
      <c r="M2769" s="206" t="str">
        <v/>
      </c>
    </row>
    <row r="2770" spans="1:13" ht="14.4">
      <c r="A2770" s="201"/>
      <c r="B2770" s="209"/>
      <c r="C2770" s="201"/>
      <c r="D2770" s="201"/>
      <c r="E2770" s="202"/>
      <c r="F2770" s="210"/>
      <c r="G2770" s="210"/>
      <c r="H2770" s="206" t="s">
        <v>121</v>
      </c>
      <c r="I2770" s="206" t="s">
        <v>121</v>
      </c>
      <c r="J2770" s="206" t="s">
        <v>121</v>
      </c>
      <c r="K2770" s="206" t="s">
        <v>121</v>
      </c>
      <c r="L2770" s="206" t="str">
        <v/>
      </c>
      <c r="M2770" s="206" t="str">
        <v/>
      </c>
    </row>
    <row r="2771" spans="1:13" ht="14.4">
      <c r="A2771" s="201"/>
      <c r="B2771" s="209"/>
      <c r="C2771" s="201"/>
      <c r="D2771" s="201"/>
      <c r="E2771" s="202"/>
      <c r="F2771" s="210"/>
      <c r="G2771" s="210"/>
      <c r="H2771" s="206" t="s">
        <v>121</v>
      </c>
      <c r="I2771" s="206" t="s">
        <v>121</v>
      </c>
      <c r="J2771" s="206" t="s">
        <v>121</v>
      </c>
      <c r="K2771" s="206" t="s">
        <v>121</v>
      </c>
      <c r="L2771" s="206" t="str">
        <v/>
      </c>
      <c r="M2771" s="206" t="str">
        <v/>
      </c>
    </row>
    <row r="2772" spans="1:13" ht="14.4">
      <c r="A2772" s="201"/>
      <c r="B2772" s="209"/>
      <c r="C2772" s="201"/>
      <c r="D2772" s="201"/>
      <c r="E2772" s="202"/>
      <c r="F2772" s="210"/>
      <c r="G2772" s="210"/>
      <c r="H2772" s="206" t="s">
        <v>121</v>
      </c>
      <c r="I2772" s="206" t="s">
        <v>121</v>
      </c>
      <c r="J2772" s="206" t="s">
        <v>121</v>
      </c>
      <c r="K2772" s="206" t="s">
        <v>121</v>
      </c>
      <c r="L2772" s="206" t="str">
        <v/>
      </c>
      <c r="M2772" s="206" t="str">
        <v/>
      </c>
    </row>
    <row r="2773" spans="1:13" ht="14.4">
      <c r="A2773" s="201"/>
      <c r="B2773" s="209"/>
      <c r="C2773" s="201"/>
      <c r="D2773" s="201"/>
      <c r="E2773" s="202"/>
      <c r="F2773" s="210"/>
      <c r="G2773" s="210"/>
      <c r="H2773" s="206" t="s">
        <v>121</v>
      </c>
      <c r="I2773" s="206" t="s">
        <v>121</v>
      </c>
      <c r="J2773" s="206" t="s">
        <v>121</v>
      </c>
      <c r="K2773" s="206" t="s">
        <v>121</v>
      </c>
      <c r="L2773" s="206" t="str">
        <v/>
      </c>
      <c r="M2773" s="206" t="str">
        <v/>
      </c>
    </row>
    <row r="2774" spans="1:13" ht="14.4">
      <c r="A2774" s="201"/>
      <c r="B2774" s="209"/>
      <c r="C2774" s="201"/>
      <c r="D2774" s="201"/>
      <c r="E2774" s="202"/>
      <c r="F2774" s="210"/>
      <c r="G2774" s="210"/>
      <c r="H2774" s="206" t="s">
        <v>121</v>
      </c>
      <c r="I2774" s="206" t="s">
        <v>121</v>
      </c>
      <c r="J2774" s="206" t="s">
        <v>121</v>
      </c>
      <c r="K2774" s="206" t="s">
        <v>121</v>
      </c>
      <c r="L2774" s="206" t="str">
        <v/>
      </c>
      <c r="M2774" s="206" t="str">
        <v/>
      </c>
    </row>
    <row r="2775" spans="1:13" ht="14.4">
      <c r="A2775" s="201"/>
      <c r="B2775" s="209"/>
      <c r="C2775" s="201"/>
      <c r="D2775" s="201"/>
      <c r="E2775" s="202"/>
      <c r="F2775" s="210"/>
      <c r="G2775" s="210"/>
      <c r="H2775" s="206" t="s">
        <v>121</v>
      </c>
      <c r="I2775" s="206" t="s">
        <v>121</v>
      </c>
      <c r="J2775" s="206" t="s">
        <v>121</v>
      </c>
      <c r="K2775" s="206" t="s">
        <v>121</v>
      </c>
      <c r="L2775" s="206" t="str">
        <v/>
      </c>
      <c r="M2775" s="206" t="str">
        <v/>
      </c>
    </row>
    <row r="2776" spans="1:13" ht="14.4">
      <c r="A2776" s="201"/>
      <c r="B2776" s="209"/>
      <c r="C2776" s="201"/>
      <c r="D2776" s="201"/>
      <c r="E2776" s="202"/>
      <c r="F2776" s="210"/>
      <c r="G2776" s="210"/>
      <c r="H2776" s="206" t="s">
        <v>121</v>
      </c>
      <c r="I2776" s="206" t="s">
        <v>121</v>
      </c>
      <c r="J2776" s="206" t="s">
        <v>121</v>
      </c>
      <c r="K2776" s="206" t="s">
        <v>121</v>
      </c>
      <c r="L2776" s="206" t="str">
        <v/>
      </c>
      <c r="M2776" s="206" t="str">
        <v/>
      </c>
    </row>
    <row r="2777" spans="1:13" ht="14.4">
      <c r="A2777" s="201"/>
      <c r="B2777" s="209"/>
      <c r="C2777" s="201"/>
      <c r="D2777" s="201"/>
      <c r="E2777" s="202"/>
      <c r="F2777" s="210"/>
      <c r="G2777" s="210"/>
      <c r="H2777" s="206" t="s">
        <v>121</v>
      </c>
      <c r="I2777" s="206" t="s">
        <v>121</v>
      </c>
      <c r="J2777" s="206" t="s">
        <v>121</v>
      </c>
      <c r="K2777" s="206" t="s">
        <v>121</v>
      </c>
      <c r="L2777" s="206" t="str">
        <v/>
      </c>
      <c r="M2777" s="206" t="str">
        <v/>
      </c>
    </row>
    <row r="2778" spans="1:13" ht="14.4">
      <c r="A2778" s="201"/>
      <c r="B2778" s="209"/>
      <c r="C2778" s="201"/>
      <c r="D2778" s="201"/>
      <c r="E2778" s="202"/>
      <c r="F2778" s="210"/>
      <c r="G2778" s="210"/>
      <c r="H2778" s="206" t="s">
        <v>121</v>
      </c>
      <c r="I2778" s="206" t="s">
        <v>121</v>
      </c>
      <c r="J2778" s="206" t="s">
        <v>121</v>
      </c>
      <c r="K2778" s="206" t="s">
        <v>121</v>
      </c>
      <c r="L2778" s="206" t="str">
        <v/>
      </c>
      <c r="M2778" s="206" t="str">
        <v/>
      </c>
    </row>
    <row r="2779" spans="1:13" ht="14.4">
      <c r="A2779" s="201"/>
      <c r="B2779" s="209"/>
      <c r="C2779" s="201"/>
      <c r="D2779" s="201"/>
      <c r="E2779" s="202"/>
      <c r="F2779" s="210"/>
      <c r="G2779" s="210"/>
      <c r="H2779" s="206" t="s">
        <v>121</v>
      </c>
      <c r="I2779" s="206" t="s">
        <v>121</v>
      </c>
      <c r="J2779" s="206" t="s">
        <v>121</v>
      </c>
      <c r="K2779" s="206" t="s">
        <v>121</v>
      </c>
      <c r="L2779" s="206" t="str">
        <v/>
      </c>
      <c r="M2779" s="206" t="str">
        <v/>
      </c>
    </row>
    <row r="2780" spans="1:13" ht="14.4">
      <c r="A2780" s="201"/>
      <c r="B2780" s="209"/>
      <c r="C2780" s="201"/>
      <c r="D2780" s="201"/>
      <c r="E2780" s="202"/>
      <c r="F2780" s="210"/>
      <c r="G2780" s="210"/>
      <c r="H2780" s="206" t="s">
        <v>121</v>
      </c>
      <c r="I2780" s="206" t="s">
        <v>121</v>
      </c>
      <c r="J2780" s="206" t="s">
        <v>121</v>
      </c>
      <c r="K2780" s="206" t="s">
        <v>121</v>
      </c>
      <c r="L2780" s="206" t="str">
        <v/>
      </c>
      <c r="M2780" s="206" t="str">
        <v/>
      </c>
    </row>
    <row r="2781" spans="1:13" ht="14.4">
      <c r="A2781" s="201"/>
      <c r="B2781" s="209"/>
      <c r="C2781" s="201"/>
      <c r="D2781" s="201"/>
      <c r="E2781" s="202"/>
      <c r="F2781" s="210"/>
      <c r="G2781" s="210"/>
      <c r="H2781" s="206" t="s">
        <v>121</v>
      </c>
      <c r="I2781" s="206" t="s">
        <v>121</v>
      </c>
      <c r="J2781" s="206" t="s">
        <v>121</v>
      </c>
      <c r="K2781" s="206" t="s">
        <v>121</v>
      </c>
      <c r="L2781" s="206" t="str">
        <v/>
      </c>
      <c r="M2781" s="206" t="str">
        <v/>
      </c>
    </row>
    <row r="2782" spans="1:13" ht="14.4">
      <c r="A2782" s="201"/>
      <c r="B2782" s="209"/>
      <c r="C2782" s="201"/>
      <c r="D2782" s="201"/>
      <c r="E2782" s="202"/>
      <c r="F2782" s="210"/>
      <c r="G2782" s="210"/>
      <c r="H2782" s="206" t="s">
        <v>121</v>
      </c>
      <c r="I2782" s="206" t="s">
        <v>121</v>
      </c>
      <c r="J2782" s="206" t="s">
        <v>121</v>
      </c>
      <c r="K2782" s="206" t="s">
        <v>121</v>
      </c>
      <c r="L2782" s="206" t="str">
        <v/>
      </c>
      <c r="M2782" s="206" t="str">
        <v/>
      </c>
    </row>
    <row r="2783" spans="1:13" ht="14.4">
      <c r="A2783" s="201"/>
      <c r="B2783" s="209"/>
      <c r="C2783" s="201"/>
      <c r="D2783" s="201"/>
      <c r="E2783" s="202"/>
      <c r="F2783" s="210"/>
      <c r="G2783" s="210"/>
      <c r="H2783" s="206" t="s">
        <v>121</v>
      </c>
      <c r="I2783" s="206" t="s">
        <v>121</v>
      </c>
      <c r="J2783" s="206" t="s">
        <v>121</v>
      </c>
      <c r="K2783" s="206" t="s">
        <v>121</v>
      </c>
      <c r="L2783" s="206" t="str">
        <v/>
      </c>
      <c r="M2783" s="206" t="str">
        <v/>
      </c>
    </row>
    <row r="2784" spans="1:13" ht="14.4">
      <c r="A2784" s="201"/>
      <c r="B2784" s="209"/>
      <c r="C2784" s="201"/>
      <c r="D2784" s="201"/>
      <c r="E2784" s="202"/>
      <c r="F2784" s="210"/>
      <c r="G2784" s="210"/>
      <c r="H2784" s="206" t="s">
        <v>121</v>
      </c>
      <c r="I2784" s="206" t="s">
        <v>121</v>
      </c>
      <c r="J2784" s="206" t="s">
        <v>121</v>
      </c>
      <c r="K2784" s="206" t="s">
        <v>121</v>
      </c>
      <c r="L2784" s="206" t="str">
        <v/>
      </c>
      <c r="M2784" s="206" t="str">
        <v/>
      </c>
    </row>
    <row r="2785" spans="1:13" ht="14.4">
      <c r="A2785" s="201"/>
      <c r="B2785" s="209"/>
      <c r="C2785" s="201"/>
      <c r="D2785" s="201"/>
      <c r="E2785" s="202"/>
      <c r="F2785" s="210"/>
      <c r="G2785" s="210"/>
      <c r="H2785" s="206" t="s">
        <v>121</v>
      </c>
      <c r="I2785" s="206" t="s">
        <v>121</v>
      </c>
      <c r="J2785" s="206" t="s">
        <v>121</v>
      </c>
      <c r="K2785" s="206" t="s">
        <v>121</v>
      </c>
      <c r="L2785" s="206" t="str">
        <v/>
      </c>
      <c r="M2785" s="206" t="str">
        <v/>
      </c>
    </row>
    <row r="2786" spans="1:13" ht="14.4">
      <c r="A2786" s="201"/>
      <c r="B2786" s="209"/>
      <c r="C2786" s="201"/>
      <c r="D2786" s="201"/>
      <c r="E2786" s="202"/>
      <c r="F2786" s="210"/>
      <c r="G2786" s="210"/>
      <c r="H2786" s="206" t="s">
        <v>121</v>
      </c>
      <c r="I2786" s="206" t="s">
        <v>121</v>
      </c>
      <c r="J2786" s="206" t="s">
        <v>121</v>
      </c>
      <c r="K2786" s="206" t="s">
        <v>121</v>
      </c>
      <c r="L2786" s="206" t="str">
        <v/>
      </c>
      <c r="M2786" s="206" t="str">
        <v/>
      </c>
    </row>
    <row r="2787" spans="1:13" ht="14.4">
      <c r="A2787" s="201"/>
      <c r="B2787" s="209"/>
      <c r="C2787" s="201"/>
      <c r="D2787" s="201"/>
      <c r="E2787" s="202"/>
      <c r="F2787" s="210"/>
      <c r="G2787" s="210"/>
      <c r="H2787" s="206" t="s">
        <v>121</v>
      </c>
      <c r="I2787" s="206" t="s">
        <v>121</v>
      </c>
      <c r="J2787" s="206" t="s">
        <v>121</v>
      </c>
      <c r="K2787" s="206" t="s">
        <v>121</v>
      </c>
      <c r="L2787" s="206" t="str">
        <v/>
      </c>
      <c r="M2787" s="206" t="str">
        <v/>
      </c>
    </row>
    <row r="2788" spans="1:13" ht="14.4">
      <c r="A2788" s="201"/>
      <c r="B2788" s="209"/>
      <c r="C2788" s="201"/>
      <c r="D2788" s="201"/>
      <c r="E2788" s="202"/>
      <c r="F2788" s="210"/>
      <c r="G2788" s="210"/>
      <c r="H2788" s="206" t="s">
        <v>121</v>
      </c>
      <c r="I2788" s="206" t="s">
        <v>121</v>
      </c>
      <c r="J2788" s="206" t="s">
        <v>121</v>
      </c>
      <c r="K2788" s="206" t="s">
        <v>121</v>
      </c>
      <c r="L2788" s="206" t="str">
        <v/>
      </c>
      <c r="M2788" s="206" t="str">
        <v/>
      </c>
    </row>
    <row r="2789" spans="1:13" ht="14.4">
      <c r="A2789" s="201"/>
      <c r="B2789" s="209"/>
      <c r="C2789" s="201"/>
      <c r="D2789" s="201"/>
      <c r="E2789" s="202"/>
      <c r="F2789" s="210"/>
      <c r="G2789" s="210"/>
      <c r="H2789" s="206" t="s">
        <v>121</v>
      </c>
      <c r="I2789" s="206" t="s">
        <v>121</v>
      </c>
      <c r="J2789" s="206" t="s">
        <v>121</v>
      </c>
      <c r="K2789" s="206" t="s">
        <v>121</v>
      </c>
      <c r="L2789" s="206" t="str">
        <v/>
      </c>
      <c r="M2789" s="206" t="str">
        <v/>
      </c>
    </row>
    <row r="2790" spans="1:13" ht="14.4">
      <c r="A2790" s="201"/>
      <c r="B2790" s="209"/>
      <c r="C2790" s="201"/>
      <c r="D2790" s="201"/>
      <c r="E2790" s="202"/>
      <c r="F2790" s="210"/>
      <c r="G2790" s="210"/>
      <c r="H2790" s="206" t="s">
        <v>121</v>
      </c>
      <c r="I2790" s="206" t="s">
        <v>121</v>
      </c>
      <c r="J2790" s="206" t="s">
        <v>121</v>
      </c>
      <c r="K2790" s="206" t="s">
        <v>121</v>
      </c>
      <c r="L2790" s="206" t="str">
        <v/>
      </c>
      <c r="M2790" s="206" t="str">
        <v/>
      </c>
    </row>
    <row r="2791" spans="1:13" ht="14.4">
      <c r="A2791" s="201"/>
      <c r="B2791" s="209"/>
      <c r="C2791" s="201"/>
      <c r="D2791" s="201"/>
      <c r="E2791" s="202"/>
      <c r="F2791" s="210"/>
      <c r="G2791" s="210"/>
      <c r="H2791" s="206" t="s">
        <v>121</v>
      </c>
      <c r="I2791" s="206" t="s">
        <v>121</v>
      </c>
      <c r="J2791" s="206" t="s">
        <v>121</v>
      </c>
      <c r="K2791" s="206" t="s">
        <v>121</v>
      </c>
      <c r="L2791" s="206" t="str">
        <v/>
      </c>
      <c r="M2791" s="206" t="str">
        <v/>
      </c>
    </row>
    <row r="2792" spans="1:13" ht="14.4">
      <c r="A2792" s="201"/>
      <c r="B2792" s="209"/>
      <c r="C2792" s="201"/>
      <c r="D2792" s="201"/>
      <c r="E2792" s="202"/>
      <c r="F2792" s="210"/>
      <c r="G2792" s="210"/>
      <c r="H2792" s="206" t="s">
        <v>121</v>
      </c>
      <c r="I2792" s="206" t="s">
        <v>121</v>
      </c>
      <c r="J2792" s="206" t="s">
        <v>121</v>
      </c>
      <c r="K2792" s="206" t="s">
        <v>121</v>
      </c>
      <c r="L2792" s="206" t="str">
        <v/>
      </c>
      <c r="M2792" s="206" t="str">
        <v/>
      </c>
    </row>
    <row r="2793" spans="1:13" ht="14.4">
      <c r="A2793" s="201"/>
      <c r="B2793" s="209"/>
      <c r="C2793" s="201"/>
      <c r="D2793" s="201"/>
      <c r="E2793" s="202"/>
      <c r="F2793" s="210"/>
      <c r="G2793" s="210"/>
      <c r="H2793" s="206" t="s">
        <v>121</v>
      </c>
      <c r="I2793" s="206" t="s">
        <v>121</v>
      </c>
      <c r="J2793" s="206" t="s">
        <v>121</v>
      </c>
      <c r="K2793" s="206" t="s">
        <v>121</v>
      </c>
      <c r="L2793" s="206" t="str">
        <v/>
      </c>
      <c r="M2793" s="206" t="str">
        <v/>
      </c>
    </row>
    <row r="2794" spans="1:13" ht="14.4">
      <c r="A2794" s="201"/>
      <c r="B2794" s="209"/>
      <c r="C2794" s="201"/>
      <c r="D2794" s="201"/>
      <c r="E2794" s="202"/>
      <c r="F2794" s="210"/>
      <c r="G2794" s="210"/>
      <c r="H2794" s="206" t="s">
        <v>121</v>
      </c>
      <c r="I2794" s="206" t="s">
        <v>121</v>
      </c>
      <c r="J2794" s="206" t="s">
        <v>121</v>
      </c>
      <c r="K2794" s="206" t="s">
        <v>121</v>
      </c>
      <c r="L2794" s="206" t="str">
        <v/>
      </c>
      <c r="M2794" s="206" t="str">
        <v/>
      </c>
    </row>
    <row r="2795" spans="1:13" ht="14.4">
      <c r="A2795" s="201"/>
      <c r="B2795" s="209"/>
      <c r="C2795" s="201"/>
      <c r="D2795" s="201"/>
      <c r="E2795" s="202"/>
      <c r="F2795" s="210"/>
      <c r="G2795" s="210"/>
      <c r="H2795" s="206" t="s">
        <v>121</v>
      </c>
      <c r="I2795" s="206" t="s">
        <v>121</v>
      </c>
      <c r="J2795" s="206" t="s">
        <v>121</v>
      </c>
      <c r="K2795" s="206" t="s">
        <v>121</v>
      </c>
      <c r="L2795" s="206" t="str">
        <v/>
      </c>
      <c r="M2795" s="206" t="str">
        <v/>
      </c>
    </row>
    <row r="2796" spans="1:13" ht="14.4">
      <c r="A2796" s="201"/>
      <c r="B2796" s="209"/>
      <c r="C2796" s="201"/>
      <c r="D2796" s="201"/>
      <c r="E2796" s="202"/>
      <c r="F2796" s="210"/>
      <c r="G2796" s="210"/>
      <c r="H2796" s="206" t="s">
        <v>121</v>
      </c>
      <c r="I2796" s="206" t="s">
        <v>121</v>
      </c>
      <c r="J2796" s="206" t="s">
        <v>121</v>
      </c>
      <c r="K2796" s="206" t="s">
        <v>121</v>
      </c>
      <c r="L2796" s="206" t="str">
        <v/>
      </c>
      <c r="M2796" s="206" t="str">
        <v/>
      </c>
    </row>
    <row r="2797" spans="1:13" ht="14.4">
      <c r="A2797" s="201"/>
      <c r="B2797" s="209"/>
      <c r="C2797" s="201"/>
      <c r="D2797" s="201"/>
      <c r="E2797" s="202"/>
      <c r="F2797" s="210"/>
      <c r="G2797" s="210"/>
      <c r="H2797" s="206" t="s">
        <v>121</v>
      </c>
      <c r="I2797" s="206" t="s">
        <v>121</v>
      </c>
      <c r="J2797" s="206" t="s">
        <v>121</v>
      </c>
      <c r="K2797" s="206" t="s">
        <v>121</v>
      </c>
      <c r="L2797" s="206" t="str">
        <v/>
      </c>
      <c r="M2797" s="206" t="str">
        <v/>
      </c>
    </row>
    <row r="2798" spans="1:13" ht="14.4">
      <c r="A2798" s="201"/>
      <c r="B2798" s="209"/>
      <c r="C2798" s="201"/>
      <c r="D2798" s="201"/>
      <c r="E2798" s="202"/>
      <c r="F2798" s="210"/>
      <c r="G2798" s="210"/>
      <c r="H2798" s="206" t="s">
        <v>121</v>
      </c>
      <c r="I2798" s="206" t="s">
        <v>121</v>
      </c>
      <c r="J2798" s="206" t="s">
        <v>121</v>
      </c>
      <c r="K2798" s="206" t="s">
        <v>121</v>
      </c>
      <c r="L2798" s="206" t="str">
        <v/>
      </c>
      <c r="M2798" s="206" t="str">
        <v/>
      </c>
    </row>
    <row r="2799" spans="1:13" ht="14.4">
      <c r="A2799" s="201"/>
      <c r="B2799" s="209"/>
      <c r="C2799" s="201"/>
      <c r="D2799" s="201"/>
      <c r="E2799" s="202"/>
      <c r="F2799" s="210"/>
      <c r="G2799" s="210"/>
      <c r="H2799" s="206" t="s">
        <v>121</v>
      </c>
      <c r="I2799" s="206" t="s">
        <v>121</v>
      </c>
      <c r="J2799" s="206" t="s">
        <v>121</v>
      </c>
      <c r="K2799" s="206" t="s">
        <v>121</v>
      </c>
      <c r="L2799" s="206" t="str">
        <v/>
      </c>
      <c r="M2799" s="206" t="str">
        <v/>
      </c>
    </row>
    <row r="2800" spans="1:13" ht="14.4">
      <c r="A2800" s="201"/>
      <c r="B2800" s="209"/>
      <c r="C2800" s="201"/>
      <c r="D2800" s="201"/>
      <c r="E2800" s="202"/>
      <c r="F2800" s="210"/>
      <c r="G2800" s="210"/>
      <c r="H2800" s="206" t="s">
        <v>121</v>
      </c>
      <c r="I2800" s="206" t="s">
        <v>121</v>
      </c>
      <c r="J2800" s="206" t="s">
        <v>121</v>
      </c>
      <c r="K2800" s="206" t="s">
        <v>121</v>
      </c>
      <c r="L2800" s="206" t="str">
        <v/>
      </c>
      <c r="M2800" s="206" t="str">
        <v/>
      </c>
    </row>
    <row r="2801" spans="1:13" ht="14.4">
      <c r="A2801" s="201"/>
      <c r="B2801" s="209"/>
      <c r="C2801" s="201"/>
      <c r="D2801" s="201"/>
      <c r="E2801" s="202"/>
      <c r="F2801" s="210"/>
      <c r="G2801" s="210"/>
      <c r="H2801" s="206" t="s">
        <v>121</v>
      </c>
      <c r="I2801" s="206" t="s">
        <v>121</v>
      </c>
      <c r="J2801" s="206" t="s">
        <v>121</v>
      </c>
      <c r="K2801" s="206" t="s">
        <v>121</v>
      </c>
      <c r="L2801" s="206" t="str">
        <v/>
      </c>
      <c r="M2801" s="206" t="str">
        <v/>
      </c>
    </row>
    <row r="2802" spans="1:13" ht="14.4">
      <c r="A2802" s="201"/>
      <c r="B2802" s="209"/>
      <c r="C2802" s="201"/>
      <c r="D2802" s="201"/>
      <c r="E2802" s="202"/>
      <c r="F2802" s="210"/>
      <c r="G2802" s="210"/>
      <c r="H2802" s="206" t="s">
        <v>121</v>
      </c>
      <c r="I2802" s="206" t="s">
        <v>121</v>
      </c>
      <c r="J2802" s="206" t="s">
        <v>121</v>
      </c>
      <c r="K2802" s="206" t="s">
        <v>121</v>
      </c>
      <c r="L2802" s="206" t="str">
        <v/>
      </c>
      <c r="M2802" s="206" t="str">
        <v/>
      </c>
    </row>
    <row r="2803" spans="1:13" ht="14.4">
      <c r="A2803" s="201"/>
      <c r="B2803" s="209"/>
      <c r="C2803" s="201"/>
      <c r="D2803" s="201"/>
      <c r="E2803" s="202"/>
      <c r="F2803" s="210"/>
      <c r="G2803" s="210"/>
      <c r="H2803" s="206" t="s">
        <v>121</v>
      </c>
      <c r="I2803" s="206" t="s">
        <v>121</v>
      </c>
      <c r="J2803" s="206" t="s">
        <v>121</v>
      </c>
      <c r="K2803" s="206" t="s">
        <v>121</v>
      </c>
      <c r="L2803" s="206" t="str">
        <v/>
      </c>
      <c r="M2803" s="206" t="str">
        <v/>
      </c>
    </row>
    <row r="2804" spans="1:13" ht="14.4">
      <c r="A2804" s="201"/>
      <c r="B2804" s="209"/>
      <c r="C2804" s="201"/>
      <c r="D2804" s="201"/>
      <c r="E2804" s="202"/>
      <c r="F2804" s="210"/>
      <c r="G2804" s="210"/>
      <c r="H2804" s="206" t="s">
        <v>121</v>
      </c>
      <c r="I2804" s="206" t="s">
        <v>121</v>
      </c>
      <c r="J2804" s="206" t="s">
        <v>121</v>
      </c>
      <c r="K2804" s="206" t="s">
        <v>121</v>
      </c>
      <c r="L2804" s="206" t="str">
        <v/>
      </c>
      <c r="M2804" s="206" t="str">
        <v/>
      </c>
    </row>
    <row r="2805" spans="1:13" ht="14.4">
      <c r="A2805" s="201"/>
      <c r="B2805" s="209"/>
      <c r="C2805" s="201"/>
      <c r="D2805" s="201"/>
      <c r="E2805" s="202"/>
      <c r="F2805" s="210"/>
      <c r="G2805" s="210"/>
      <c r="H2805" s="206" t="s">
        <v>121</v>
      </c>
      <c r="I2805" s="206" t="s">
        <v>121</v>
      </c>
      <c r="J2805" s="206" t="s">
        <v>121</v>
      </c>
      <c r="K2805" s="206" t="s">
        <v>121</v>
      </c>
      <c r="L2805" s="206" t="str">
        <v/>
      </c>
      <c r="M2805" s="206" t="str">
        <v/>
      </c>
    </row>
    <row r="2806" spans="1:13" ht="14.4">
      <c r="A2806" s="201"/>
      <c r="B2806" s="209"/>
      <c r="C2806" s="201"/>
      <c r="D2806" s="201"/>
      <c r="E2806" s="202"/>
      <c r="F2806" s="210"/>
      <c r="G2806" s="210"/>
      <c r="H2806" s="206" t="s">
        <v>121</v>
      </c>
      <c r="I2806" s="206" t="s">
        <v>121</v>
      </c>
      <c r="J2806" s="206" t="s">
        <v>121</v>
      </c>
      <c r="K2806" s="206" t="s">
        <v>121</v>
      </c>
      <c r="L2806" s="206" t="str">
        <v/>
      </c>
      <c r="M2806" s="206" t="str">
        <v/>
      </c>
    </row>
    <row r="2807" spans="1:13" ht="14.4">
      <c r="A2807" s="201"/>
      <c r="B2807" s="209"/>
      <c r="C2807" s="201"/>
      <c r="D2807" s="201"/>
      <c r="E2807" s="202"/>
      <c r="F2807" s="210"/>
      <c r="G2807" s="210"/>
      <c r="H2807" s="206" t="s">
        <v>121</v>
      </c>
      <c r="I2807" s="206" t="s">
        <v>121</v>
      </c>
      <c r="J2807" s="206" t="s">
        <v>121</v>
      </c>
      <c r="K2807" s="206" t="s">
        <v>121</v>
      </c>
      <c r="L2807" s="206" t="str">
        <v/>
      </c>
      <c r="M2807" s="206" t="str">
        <v/>
      </c>
    </row>
    <row r="2808" spans="1:13" ht="14.4">
      <c r="A2808" s="201"/>
      <c r="B2808" s="209"/>
      <c r="C2808" s="201"/>
      <c r="D2808" s="201"/>
      <c r="E2808" s="202"/>
      <c r="F2808" s="210"/>
      <c r="G2808" s="210"/>
      <c r="H2808" s="206" t="s">
        <v>121</v>
      </c>
      <c r="I2808" s="206" t="s">
        <v>121</v>
      </c>
      <c r="J2808" s="206" t="s">
        <v>121</v>
      </c>
      <c r="K2808" s="206" t="s">
        <v>121</v>
      </c>
      <c r="L2808" s="206" t="str">
        <v/>
      </c>
      <c r="M2808" s="206" t="str">
        <v/>
      </c>
    </row>
    <row r="2809" spans="1:13" ht="14.4">
      <c r="A2809" s="201"/>
      <c r="B2809" s="209"/>
      <c r="C2809" s="201"/>
      <c r="D2809" s="201"/>
      <c r="E2809" s="202"/>
      <c r="F2809" s="210"/>
      <c r="G2809" s="210"/>
      <c r="H2809" s="206" t="s">
        <v>121</v>
      </c>
      <c r="I2809" s="206" t="s">
        <v>121</v>
      </c>
      <c r="J2809" s="206" t="s">
        <v>121</v>
      </c>
      <c r="K2809" s="206" t="s">
        <v>121</v>
      </c>
      <c r="L2809" s="206" t="str">
        <v/>
      </c>
      <c r="M2809" s="206" t="str">
        <v/>
      </c>
    </row>
    <row r="2810" spans="1:13" ht="14.4">
      <c r="A2810" s="201"/>
      <c r="B2810" s="209"/>
      <c r="C2810" s="201"/>
      <c r="D2810" s="201"/>
      <c r="E2810" s="202"/>
      <c r="F2810" s="210"/>
      <c r="G2810" s="210"/>
      <c r="H2810" s="206" t="s">
        <v>121</v>
      </c>
      <c r="I2810" s="206" t="s">
        <v>121</v>
      </c>
      <c r="J2810" s="206" t="s">
        <v>121</v>
      </c>
      <c r="K2810" s="206" t="s">
        <v>121</v>
      </c>
      <c r="L2810" s="206" t="str">
        <v/>
      </c>
      <c r="M2810" s="206" t="str">
        <v/>
      </c>
    </row>
    <row r="2811" spans="1:13" ht="14.4">
      <c r="A2811" s="201"/>
      <c r="B2811" s="209"/>
      <c r="C2811" s="201"/>
      <c r="D2811" s="201"/>
      <c r="E2811" s="202"/>
      <c r="F2811" s="210"/>
      <c r="G2811" s="210"/>
      <c r="H2811" s="206" t="s">
        <v>121</v>
      </c>
      <c r="I2811" s="206" t="s">
        <v>121</v>
      </c>
      <c r="J2811" s="206" t="s">
        <v>121</v>
      </c>
      <c r="K2811" s="206" t="s">
        <v>121</v>
      </c>
      <c r="L2811" s="206" t="str">
        <v/>
      </c>
      <c r="M2811" s="206" t="str">
        <v/>
      </c>
    </row>
    <row r="2812" spans="1:13" ht="14.4">
      <c r="A2812" s="201"/>
      <c r="B2812" s="209"/>
      <c r="C2812" s="201"/>
      <c r="D2812" s="201"/>
      <c r="E2812" s="202"/>
      <c r="F2812" s="210"/>
      <c r="G2812" s="210"/>
      <c r="H2812" s="206" t="s">
        <v>121</v>
      </c>
      <c r="I2812" s="206" t="s">
        <v>121</v>
      </c>
      <c r="J2812" s="206" t="s">
        <v>121</v>
      </c>
      <c r="K2812" s="206" t="s">
        <v>121</v>
      </c>
      <c r="L2812" s="206" t="str">
        <v/>
      </c>
      <c r="M2812" s="206" t="str">
        <v/>
      </c>
    </row>
    <row r="2813" spans="1:13" ht="14.4">
      <c r="A2813" s="201"/>
      <c r="B2813" s="209"/>
      <c r="C2813" s="201"/>
      <c r="D2813" s="201"/>
      <c r="E2813" s="202"/>
      <c r="F2813" s="210"/>
      <c r="G2813" s="210"/>
      <c r="H2813" s="206" t="s">
        <v>121</v>
      </c>
      <c r="I2813" s="206" t="s">
        <v>121</v>
      </c>
      <c r="J2813" s="206" t="s">
        <v>121</v>
      </c>
      <c r="K2813" s="206" t="s">
        <v>121</v>
      </c>
      <c r="L2813" s="206" t="str">
        <v/>
      </c>
      <c r="M2813" s="206" t="str">
        <v/>
      </c>
    </row>
    <row r="2814" spans="1:13" ht="14.4">
      <c r="A2814" s="201"/>
      <c r="B2814" s="209"/>
      <c r="C2814" s="201"/>
      <c r="D2814" s="201"/>
      <c r="E2814" s="202"/>
      <c r="F2814" s="210"/>
      <c r="G2814" s="210"/>
      <c r="H2814" s="206" t="s">
        <v>121</v>
      </c>
      <c r="I2814" s="206" t="s">
        <v>121</v>
      </c>
      <c r="J2814" s="206" t="s">
        <v>121</v>
      </c>
      <c r="K2814" s="206" t="s">
        <v>121</v>
      </c>
      <c r="L2814" s="206" t="str">
        <v/>
      </c>
      <c r="M2814" s="206" t="str">
        <v/>
      </c>
    </row>
    <row r="2815" spans="1:13" ht="14.4">
      <c r="A2815" s="201"/>
      <c r="B2815" s="209"/>
      <c r="C2815" s="201"/>
      <c r="D2815" s="201"/>
      <c r="E2815" s="202"/>
      <c r="F2815" s="210"/>
      <c r="G2815" s="210"/>
      <c r="H2815" s="206" t="s">
        <v>121</v>
      </c>
      <c r="I2815" s="206" t="s">
        <v>121</v>
      </c>
      <c r="J2815" s="206" t="s">
        <v>121</v>
      </c>
      <c r="K2815" s="206" t="s">
        <v>121</v>
      </c>
      <c r="L2815" s="206" t="str">
        <v/>
      </c>
      <c r="M2815" s="206" t="str">
        <v/>
      </c>
    </row>
    <row r="2816" spans="1:13" ht="14.4">
      <c r="A2816" s="201"/>
      <c r="B2816" s="209"/>
      <c r="C2816" s="201"/>
      <c r="D2816" s="201"/>
      <c r="E2816" s="202"/>
      <c r="F2816" s="210"/>
      <c r="G2816" s="210"/>
      <c r="H2816" s="206" t="s">
        <v>121</v>
      </c>
      <c r="I2816" s="206" t="s">
        <v>121</v>
      </c>
      <c r="J2816" s="206" t="s">
        <v>121</v>
      </c>
      <c r="K2816" s="206" t="s">
        <v>121</v>
      </c>
      <c r="L2816" s="206" t="str">
        <v/>
      </c>
      <c r="M2816" s="206" t="str">
        <v/>
      </c>
    </row>
    <row r="2817" spans="1:13" ht="14.4">
      <c r="A2817" s="201"/>
      <c r="B2817" s="209"/>
      <c r="C2817" s="201"/>
      <c r="D2817" s="201"/>
      <c r="E2817" s="202"/>
      <c r="F2817" s="210"/>
      <c r="G2817" s="210"/>
      <c r="H2817" s="206" t="s">
        <v>121</v>
      </c>
      <c r="I2817" s="206" t="s">
        <v>121</v>
      </c>
      <c r="J2817" s="206" t="s">
        <v>121</v>
      </c>
      <c r="K2817" s="206" t="s">
        <v>121</v>
      </c>
      <c r="L2817" s="206" t="str">
        <v/>
      </c>
      <c r="M2817" s="206" t="str">
        <v/>
      </c>
    </row>
    <row r="2818" spans="1:13" ht="14.4">
      <c r="A2818" s="201"/>
      <c r="B2818" s="209"/>
      <c r="C2818" s="201"/>
      <c r="D2818" s="201"/>
      <c r="E2818" s="202"/>
      <c r="F2818" s="210"/>
      <c r="G2818" s="210"/>
      <c r="H2818" s="206" t="s">
        <v>121</v>
      </c>
      <c r="I2818" s="206" t="s">
        <v>121</v>
      </c>
      <c r="J2818" s="206" t="s">
        <v>121</v>
      </c>
      <c r="K2818" s="206" t="s">
        <v>121</v>
      </c>
      <c r="L2818" s="206" t="str">
        <v/>
      </c>
      <c r="M2818" s="206" t="str">
        <v/>
      </c>
    </row>
    <row r="2819" spans="1:13" ht="14.4">
      <c r="A2819" s="201"/>
      <c r="B2819" s="209"/>
      <c r="C2819" s="201"/>
      <c r="D2819" s="201"/>
      <c r="E2819" s="202"/>
      <c r="F2819" s="210"/>
      <c r="G2819" s="210"/>
      <c r="H2819" s="206" t="s">
        <v>121</v>
      </c>
      <c r="I2819" s="206" t="s">
        <v>121</v>
      </c>
      <c r="J2819" s="206" t="s">
        <v>121</v>
      </c>
      <c r="K2819" s="206" t="s">
        <v>121</v>
      </c>
      <c r="L2819" s="206" t="str">
        <v/>
      </c>
      <c r="M2819" s="206" t="str">
        <v/>
      </c>
    </row>
    <row r="2820" spans="1:13" ht="14.4">
      <c r="A2820" s="201"/>
      <c r="B2820" s="209"/>
      <c r="C2820" s="201"/>
      <c r="D2820" s="201"/>
      <c r="E2820" s="202"/>
      <c r="F2820" s="210"/>
      <c r="G2820" s="210"/>
      <c r="H2820" s="206" t="s">
        <v>121</v>
      </c>
      <c r="I2820" s="206" t="s">
        <v>121</v>
      </c>
      <c r="J2820" s="206" t="s">
        <v>121</v>
      </c>
      <c r="K2820" s="206" t="s">
        <v>121</v>
      </c>
      <c r="L2820" s="206" t="str">
        <v/>
      </c>
      <c r="M2820" s="206" t="str">
        <v/>
      </c>
    </row>
    <row r="2821" spans="1:13" ht="14.4">
      <c r="A2821" s="201"/>
      <c r="B2821" s="209"/>
      <c r="C2821" s="201"/>
      <c r="D2821" s="201"/>
      <c r="E2821" s="202"/>
      <c r="F2821" s="210"/>
      <c r="G2821" s="210"/>
      <c r="H2821" s="206" t="s">
        <v>121</v>
      </c>
      <c r="I2821" s="206" t="s">
        <v>121</v>
      </c>
      <c r="J2821" s="206" t="s">
        <v>121</v>
      </c>
      <c r="K2821" s="206" t="s">
        <v>121</v>
      </c>
      <c r="L2821" s="206" t="str">
        <v/>
      </c>
      <c r="M2821" s="206" t="str">
        <v/>
      </c>
    </row>
    <row r="2822" spans="1:13" ht="14.4">
      <c r="A2822" s="201"/>
      <c r="B2822" s="209"/>
      <c r="C2822" s="201"/>
      <c r="D2822" s="201"/>
      <c r="E2822" s="202"/>
      <c r="F2822" s="210"/>
      <c r="G2822" s="210"/>
      <c r="H2822" s="206" t="s">
        <v>121</v>
      </c>
      <c r="I2822" s="206" t="s">
        <v>121</v>
      </c>
      <c r="J2822" s="206" t="s">
        <v>121</v>
      </c>
      <c r="K2822" s="206" t="s">
        <v>121</v>
      </c>
      <c r="L2822" s="206" t="str">
        <v/>
      </c>
      <c r="M2822" s="206" t="str">
        <v/>
      </c>
    </row>
    <row r="2823" spans="1:13" ht="14.4">
      <c r="A2823" s="201"/>
      <c r="B2823" s="209"/>
      <c r="C2823" s="201"/>
      <c r="D2823" s="201"/>
      <c r="E2823" s="202"/>
      <c r="F2823" s="210"/>
      <c r="G2823" s="210"/>
      <c r="H2823" s="206" t="s">
        <v>121</v>
      </c>
      <c r="I2823" s="206" t="s">
        <v>121</v>
      </c>
      <c r="J2823" s="206" t="s">
        <v>121</v>
      </c>
      <c r="K2823" s="206" t="s">
        <v>121</v>
      </c>
      <c r="L2823" s="206" t="str">
        <v/>
      </c>
      <c r="M2823" s="206" t="str">
        <v/>
      </c>
    </row>
    <row r="2824" spans="1:13" ht="14.4">
      <c r="A2824" s="201"/>
      <c r="B2824" s="209"/>
      <c r="C2824" s="201"/>
      <c r="D2824" s="201"/>
      <c r="E2824" s="202"/>
      <c r="F2824" s="210"/>
      <c r="G2824" s="210"/>
      <c r="H2824" s="206" t="s">
        <v>121</v>
      </c>
      <c r="I2824" s="206" t="s">
        <v>121</v>
      </c>
      <c r="J2824" s="206" t="s">
        <v>121</v>
      </c>
      <c r="K2824" s="206" t="s">
        <v>121</v>
      </c>
      <c r="L2824" s="206" t="str">
        <v/>
      </c>
      <c r="M2824" s="206" t="str">
        <v/>
      </c>
    </row>
    <row r="2825" spans="1:13" ht="14.4">
      <c r="A2825" s="201"/>
      <c r="B2825" s="209"/>
      <c r="C2825" s="201"/>
      <c r="D2825" s="201"/>
      <c r="E2825" s="202"/>
      <c r="F2825" s="210"/>
      <c r="G2825" s="210"/>
      <c r="H2825" s="206" t="s">
        <v>121</v>
      </c>
      <c r="I2825" s="206" t="s">
        <v>121</v>
      </c>
      <c r="J2825" s="206" t="s">
        <v>121</v>
      </c>
      <c r="K2825" s="206" t="s">
        <v>121</v>
      </c>
      <c r="L2825" s="206" t="str">
        <v/>
      </c>
      <c r="M2825" s="206" t="str">
        <v/>
      </c>
    </row>
    <row r="2826" spans="1:13" ht="14.4">
      <c r="A2826" s="201"/>
      <c r="B2826" s="209"/>
      <c r="C2826" s="201"/>
      <c r="D2826" s="201"/>
      <c r="E2826" s="202"/>
      <c r="F2826" s="210"/>
      <c r="G2826" s="210"/>
      <c r="H2826" s="206" t="s">
        <v>121</v>
      </c>
      <c r="I2826" s="206" t="s">
        <v>121</v>
      </c>
      <c r="J2826" s="206" t="s">
        <v>121</v>
      </c>
      <c r="K2826" s="206" t="s">
        <v>121</v>
      </c>
      <c r="L2826" s="206" t="str">
        <v/>
      </c>
      <c r="M2826" s="206" t="str">
        <v/>
      </c>
    </row>
    <row r="2827" spans="1:13" ht="14.4">
      <c r="A2827" s="201"/>
      <c r="B2827" s="209"/>
      <c r="C2827" s="201"/>
      <c r="D2827" s="201"/>
      <c r="E2827" s="202"/>
      <c r="F2827" s="210"/>
      <c r="G2827" s="210"/>
      <c r="H2827" s="206" t="s">
        <v>121</v>
      </c>
      <c r="I2827" s="206" t="s">
        <v>121</v>
      </c>
      <c r="J2827" s="206" t="s">
        <v>121</v>
      </c>
      <c r="K2827" s="206" t="s">
        <v>121</v>
      </c>
      <c r="L2827" s="206" t="str">
        <v/>
      </c>
      <c r="M2827" s="206" t="str">
        <v/>
      </c>
    </row>
    <row r="2828" spans="1:13" ht="14.4">
      <c r="A2828" s="201"/>
      <c r="B2828" s="209"/>
      <c r="C2828" s="201"/>
      <c r="D2828" s="201"/>
      <c r="E2828" s="202"/>
      <c r="F2828" s="210"/>
      <c r="G2828" s="210"/>
      <c r="H2828" s="206" t="s">
        <v>121</v>
      </c>
      <c r="I2828" s="206" t="s">
        <v>121</v>
      </c>
      <c r="J2828" s="206" t="s">
        <v>121</v>
      </c>
      <c r="K2828" s="206" t="s">
        <v>121</v>
      </c>
      <c r="L2828" s="206" t="str">
        <v/>
      </c>
      <c r="M2828" s="206" t="str">
        <v/>
      </c>
    </row>
    <row r="2829" spans="1:13" ht="14.4">
      <c r="A2829" s="201"/>
      <c r="B2829" s="209"/>
      <c r="C2829" s="201"/>
      <c r="D2829" s="201"/>
      <c r="E2829" s="202"/>
      <c r="F2829" s="210"/>
      <c r="G2829" s="210"/>
      <c r="H2829" s="206" t="s">
        <v>121</v>
      </c>
      <c r="I2829" s="206" t="s">
        <v>121</v>
      </c>
      <c r="J2829" s="206" t="s">
        <v>121</v>
      </c>
      <c r="K2829" s="206" t="s">
        <v>121</v>
      </c>
      <c r="L2829" s="206" t="str">
        <v/>
      </c>
      <c r="M2829" s="206" t="str">
        <v/>
      </c>
    </row>
    <row r="2830" spans="1:13" ht="14.4">
      <c r="A2830" s="201"/>
      <c r="B2830" s="209"/>
      <c r="C2830" s="201"/>
      <c r="D2830" s="201"/>
      <c r="E2830" s="202"/>
      <c r="F2830" s="210"/>
      <c r="G2830" s="210"/>
      <c r="H2830" s="206" t="s">
        <v>121</v>
      </c>
      <c r="I2830" s="206" t="s">
        <v>121</v>
      </c>
      <c r="J2830" s="206" t="s">
        <v>121</v>
      </c>
      <c r="K2830" s="206" t="s">
        <v>121</v>
      </c>
      <c r="L2830" s="206" t="str">
        <v/>
      </c>
      <c r="M2830" s="206" t="str">
        <v/>
      </c>
    </row>
    <row r="2831" spans="1:13" ht="14.4">
      <c r="A2831" s="201"/>
      <c r="B2831" s="209"/>
      <c r="C2831" s="201"/>
      <c r="D2831" s="201"/>
      <c r="E2831" s="202"/>
      <c r="F2831" s="210"/>
      <c r="G2831" s="210"/>
      <c r="H2831" s="206" t="s">
        <v>121</v>
      </c>
      <c r="I2831" s="206" t="s">
        <v>121</v>
      </c>
      <c r="J2831" s="206" t="s">
        <v>121</v>
      </c>
      <c r="K2831" s="206" t="s">
        <v>121</v>
      </c>
      <c r="L2831" s="206" t="str">
        <v/>
      </c>
      <c r="M2831" s="206" t="str">
        <v/>
      </c>
    </row>
    <row r="2832" spans="1:13" ht="14.4">
      <c r="A2832" s="201"/>
      <c r="B2832" s="209"/>
      <c r="C2832" s="201"/>
      <c r="D2832" s="201"/>
      <c r="E2832" s="202"/>
      <c r="F2832" s="210"/>
      <c r="G2832" s="210"/>
      <c r="H2832" s="206" t="s">
        <v>121</v>
      </c>
      <c r="I2832" s="206" t="s">
        <v>121</v>
      </c>
      <c r="J2832" s="206" t="s">
        <v>121</v>
      </c>
      <c r="K2832" s="206" t="s">
        <v>121</v>
      </c>
      <c r="L2832" s="206" t="str">
        <v/>
      </c>
      <c r="M2832" s="206" t="str">
        <v/>
      </c>
    </row>
    <row r="2833" spans="1:13" ht="14.4">
      <c r="A2833" s="201"/>
      <c r="B2833" s="209"/>
      <c r="C2833" s="201"/>
      <c r="D2833" s="201"/>
      <c r="E2833" s="202"/>
      <c r="F2833" s="210"/>
      <c r="G2833" s="210"/>
      <c r="H2833" s="206" t="s">
        <v>121</v>
      </c>
      <c r="I2833" s="206" t="s">
        <v>121</v>
      </c>
      <c r="J2833" s="206" t="s">
        <v>121</v>
      </c>
      <c r="K2833" s="206" t="s">
        <v>121</v>
      </c>
      <c r="L2833" s="206" t="str">
        <v/>
      </c>
      <c r="M2833" s="206" t="str">
        <v/>
      </c>
    </row>
    <row r="2834" spans="1:13" ht="14.4">
      <c r="A2834" s="201"/>
      <c r="B2834" s="209"/>
      <c r="C2834" s="201"/>
      <c r="D2834" s="201"/>
      <c r="E2834" s="202"/>
      <c r="F2834" s="210"/>
      <c r="G2834" s="210"/>
      <c r="H2834" s="206" t="s">
        <v>121</v>
      </c>
      <c r="I2834" s="206" t="s">
        <v>121</v>
      </c>
      <c r="J2834" s="206" t="s">
        <v>121</v>
      </c>
      <c r="K2834" s="206" t="s">
        <v>121</v>
      </c>
      <c r="L2834" s="206" t="str">
        <v/>
      </c>
      <c r="M2834" s="206" t="str">
        <v/>
      </c>
    </row>
    <row r="2835" spans="1:13" ht="14.4">
      <c r="A2835" s="201"/>
      <c r="B2835" s="209"/>
      <c r="C2835" s="201"/>
      <c r="D2835" s="201"/>
      <c r="E2835" s="202"/>
      <c r="F2835" s="210"/>
      <c r="G2835" s="210"/>
      <c r="H2835" s="206" t="s">
        <v>121</v>
      </c>
      <c r="I2835" s="206" t="s">
        <v>121</v>
      </c>
      <c r="J2835" s="206" t="s">
        <v>121</v>
      </c>
      <c r="K2835" s="206" t="s">
        <v>121</v>
      </c>
      <c r="L2835" s="206" t="str">
        <v/>
      </c>
      <c r="M2835" s="206" t="str">
        <v/>
      </c>
    </row>
    <row r="2836" spans="1:13" ht="14.4">
      <c r="A2836" s="201"/>
      <c r="B2836" s="209"/>
      <c r="C2836" s="201"/>
      <c r="D2836" s="201"/>
      <c r="E2836" s="202"/>
      <c r="F2836" s="210"/>
      <c r="G2836" s="210"/>
      <c r="H2836" s="206" t="s">
        <v>121</v>
      </c>
      <c r="I2836" s="206" t="s">
        <v>121</v>
      </c>
      <c r="J2836" s="206" t="s">
        <v>121</v>
      </c>
      <c r="K2836" s="206" t="s">
        <v>121</v>
      </c>
      <c r="L2836" s="206" t="str">
        <v/>
      </c>
      <c r="M2836" s="206" t="str">
        <v/>
      </c>
    </row>
    <row r="2837" spans="1:13" ht="14.4">
      <c r="A2837" s="201"/>
      <c r="B2837" s="209"/>
      <c r="C2837" s="201"/>
      <c r="D2837" s="201"/>
      <c r="E2837" s="202"/>
      <c r="F2837" s="210"/>
      <c r="G2837" s="210"/>
      <c r="H2837" s="206" t="s">
        <v>121</v>
      </c>
      <c r="I2837" s="206" t="s">
        <v>121</v>
      </c>
      <c r="J2837" s="206" t="s">
        <v>121</v>
      </c>
      <c r="K2837" s="206" t="s">
        <v>121</v>
      </c>
      <c r="L2837" s="206" t="str">
        <v/>
      </c>
      <c r="M2837" s="206" t="str">
        <v/>
      </c>
    </row>
    <row r="2838" spans="1:13" ht="14.4">
      <c r="A2838" s="201"/>
      <c r="B2838" s="209"/>
      <c r="C2838" s="201"/>
      <c r="D2838" s="201"/>
      <c r="E2838" s="202"/>
      <c r="F2838" s="210"/>
      <c r="G2838" s="210"/>
      <c r="H2838" s="206" t="s">
        <v>121</v>
      </c>
      <c r="I2838" s="206" t="s">
        <v>121</v>
      </c>
      <c r="J2838" s="206" t="s">
        <v>121</v>
      </c>
      <c r="K2838" s="206" t="s">
        <v>121</v>
      </c>
      <c r="L2838" s="206" t="str">
        <v/>
      </c>
      <c r="M2838" s="206" t="str">
        <v/>
      </c>
    </row>
    <row r="2839" spans="1:13" ht="14.4">
      <c r="A2839" s="201"/>
      <c r="B2839" s="209"/>
      <c r="C2839" s="201"/>
      <c r="D2839" s="201"/>
      <c r="E2839" s="202"/>
      <c r="F2839" s="210"/>
      <c r="G2839" s="210"/>
      <c r="H2839" s="206" t="s">
        <v>121</v>
      </c>
      <c r="I2839" s="206" t="s">
        <v>121</v>
      </c>
      <c r="J2839" s="206" t="s">
        <v>121</v>
      </c>
      <c r="K2839" s="206" t="s">
        <v>121</v>
      </c>
      <c r="L2839" s="206" t="str">
        <v/>
      </c>
      <c r="M2839" s="206" t="str">
        <v/>
      </c>
    </row>
    <row r="2840" spans="1:13" ht="14.4">
      <c r="A2840" s="201"/>
      <c r="B2840" s="209"/>
      <c r="C2840" s="201"/>
      <c r="D2840" s="201"/>
      <c r="E2840" s="202"/>
      <c r="F2840" s="210"/>
      <c r="G2840" s="210"/>
      <c r="H2840" s="206" t="s">
        <v>121</v>
      </c>
      <c r="I2840" s="206" t="s">
        <v>121</v>
      </c>
      <c r="J2840" s="206" t="s">
        <v>121</v>
      </c>
      <c r="K2840" s="206" t="s">
        <v>121</v>
      </c>
      <c r="L2840" s="206" t="str">
        <v/>
      </c>
      <c r="M2840" s="206" t="str">
        <v/>
      </c>
    </row>
    <row r="2841" spans="1:13" ht="14.4">
      <c r="A2841" s="201"/>
      <c r="B2841" s="209"/>
      <c r="C2841" s="201"/>
      <c r="D2841" s="201"/>
      <c r="E2841" s="202"/>
      <c r="F2841" s="210"/>
      <c r="G2841" s="210"/>
      <c r="H2841" s="206" t="s">
        <v>121</v>
      </c>
      <c r="I2841" s="206" t="s">
        <v>121</v>
      </c>
      <c r="J2841" s="206" t="s">
        <v>121</v>
      </c>
      <c r="K2841" s="206" t="s">
        <v>121</v>
      </c>
      <c r="L2841" s="206" t="str">
        <v/>
      </c>
      <c r="M2841" s="206" t="str">
        <v/>
      </c>
    </row>
    <row r="2842" spans="1:13" ht="14.4">
      <c r="A2842" s="201"/>
      <c r="B2842" s="209"/>
      <c r="C2842" s="201"/>
      <c r="D2842" s="201"/>
      <c r="E2842" s="202"/>
      <c r="F2842" s="210"/>
      <c r="G2842" s="210"/>
      <c r="H2842" s="206" t="s">
        <v>121</v>
      </c>
      <c r="I2842" s="206" t="s">
        <v>121</v>
      </c>
      <c r="J2842" s="206" t="s">
        <v>121</v>
      </c>
      <c r="K2842" s="206" t="s">
        <v>121</v>
      </c>
      <c r="L2842" s="206" t="str">
        <v/>
      </c>
      <c r="M2842" s="206" t="str">
        <v/>
      </c>
    </row>
    <row r="2843" spans="1:13" ht="14.4">
      <c r="A2843" s="201"/>
      <c r="B2843" s="209"/>
      <c r="C2843" s="201"/>
      <c r="D2843" s="201"/>
      <c r="E2843" s="202"/>
      <c r="F2843" s="210"/>
      <c r="G2843" s="210"/>
      <c r="H2843" s="206" t="s">
        <v>121</v>
      </c>
      <c r="I2843" s="206" t="s">
        <v>121</v>
      </c>
      <c r="J2843" s="206" t="s">
        <v>121</v>
      </c>
      <c r="K2843" s="206" t="s">
        <v>121</v>
      </c>
      <c r="L2843" s="206" t="str">
        <v/>
      </c>
      <c r="M2843" s="206" t="str">
        <v/>
      </c>
    </row>
    <row r="2844" spans="1:13" ht="14.4">
      <c r="A2844" s="201"/>
      <c r="B2844" s="209"/>
      <c r="C2844" s="201"/>
      <c r="D2844" s="201"/>
      <c r="E2844" s="202"/>
      <c r="F2844" s="210"/>
      <c r="G2844" s="210"/>
      <c r="H2844" s="206" t="s">
        <v>121</v>
      </c>
      <c r="I2844" s="206" t="s">
        <v>121</v>
      </c>
      <c r="J2844" s="206" t="s">
        <v>121</v>
      </c>
      <c r="K2844" s="206" t="s">
        <v>121</v>
      </c>
      <c r="L2844" s="206" t="str">
        <v/>
      </c>
      <c r="M2844" s="206" t="str">
        <v/>
      </c>
    </row>
    <row r="2845" spans="1:13" ht="14.4">
      <c r="A2845" s="201"/>
      <c r="B2845" s="209"/>
      <c r="C2845" s="201"/>
      <c r="D2845" s="201"/>
      <c r="E2845" s="202"/>
      <c r="F2845" s="210"/>
      <c r="G2845" s="210"/>
      <c r="H2845" s="206" t="s">
        <v>121</v>
      </c>
      <c r="I2845" s="206" t="s">
        <v>121</v>
      </c>
      <c r="J2845" s="206" t="s">
        <v>121</v>
      </c>
      <c r="K2845" s="206" t="s">
        <v>121</v>
      </c>
      <c r="L2845" s="206" t="str">
        <v/>
      </c>
      <c r="M2845" s="206" t="str">
        <v/>
      </c>
    </row>
    <row r="2846" spans="1:13" ht="14.4">
      <c r="A2846" s="201"/>
      <c r="B2846" s="209"/>
      <c r="C2846" s="201"/>
      <c r="D2846" s="201"/>
      <c r="E2846" s="202"/>
      <c r="F2846" s="210"/>
      <c r="G2846" s="210"/>
      <c r="H2846" s="206" t="s">
        <v>121</v>
      </c>
      <c r="I2846" s="206" t="s">
        <v>121</v>
      </c>
      <c r="J2846" s="206" t="s">
        <v>121</v>
      </c>
      <c r="K2846" s="206" t="s">
        <v>121</v>
      </c>
      <c r="L2846" s="206" t="str">
        <v/>
      </c>
      <c r="M2846" s="206" t="str">
        <v/>
      </c>
    </row>
    <row r="2847" spans="1:13" ht="14.4">
      <c r="A2847" s="201"/>
      <c r="B2847" s="209"/>
      <c r="C2847" s="201"/>
      <c r="D2847" s="201"/>
      <c r="E2847" s="202"/>
      <c r="F2847" s="210"/>
      <c r="G2847" s="210"/>
      <c r="H2847" s="206" t="s">
        <v>121</v>
      </c>
      <c r="I2847" s="206" t="s">
        <v>121</v>
      </c>
      <c r="J2847" s="206" t="s">
        <v>121</v>
      </c>
      <c r="K2847" s="206" t="s">
        <v>121</v>
      </c>
      <c r="L2847" s="206" t="str">
        <v/>
      </c>
      <c r="M2847" s="206" t="str">
        <v/>
      </c>
    </row>
    <row r="2848" spans="1:13" ht="14.4">
      <c r="A2848" s="201"/>
      <c r="B2848" s="209"/>
      <c r="C2848" s="201"/>
      <c r="D2848" s="201"/>
      <c r="E2848" s="202"/>
      <c r="F2848" s="210"/>
      <c r="G2848" s="210"/>
      <c r="H2848" s="206" t="s">
        <v>121</v>
      </c>
      <c r="I2848" s="206" t="s">
        <v>121</v>
      </c>
      <c r="J2848" s="206" t="s">
        <v>121</v>
      </c>
      <c r="K2848" s="206" t="s">
        <v>121</v>
      </c>
      <c r="L2848" s="206" t="str">
        <v/>
      </c>
      <c r="M2848" s="206" t="str">
        <v/>
      </c>
    </row>
    <row r="2849" spans="1:13" ht="14.4">
      <c r="A2849" s="201"/>
      <c r="B2849" s="209"/>
      <c r="C2849" s="201"/>
      <c r="D2849" s="201"/>
      <c r="E2849" s="202"/>
      <c r="F2849" s="210"/>
      <c r="G2849" s="210"/>
      <c r="H2849" s="206" t="s">
        <v>121</v>
      </c>
      <c r="I2849" s="206" t="s">
        <v>121</v>
      </c>
      <c r="J2849" s="206" t="s">
        <v>121</v>
      </c>
      <c r="K2849" s="206" t="s">
        <v>121</v>
      </c>
      <c r="L2849" s="206" t="str">
        <v/>
      </c>
      <c r="M2849" s="206" t="str">
        <v/>
      </c>
    </row>
    <row r="2850" spans="1:13" ht="14.4">
      <c r="A2850" s="201"/>
      <c r="B2850" s="209"/>
      <c r="C2850" s="201"/>
      <c r="D2850" s="201"/>
      <c r="E2850" s="202"/>
      <c r="F2850" s="210"/>
      <c r="G2850" s="210"/>
      <c r="H2850" s="206" t="s">
        <v>121</v>
      </c>
      <c r="I2850" s="206" t="s">
        <v>121</v>
      </c>
      <c r="J2850" s="206" t="s">
        <v>121</v>
      </c>
      <c r="K2850" s="206" t="s">
        <v>121</v>
      </c>
      <c r="L2850" s="206" t="str">
        <v/>
      </c>
      <c r="M2850" s="206" t="str">
        <v/>
      </c>
    </row>
    <row r="2851" spans="1:13" ht="14.4">
      <c r="A2851" s="201"/>
      <c r="B2851" s="209"/>
      <c r="C2851" s="201"/>
      <c r="D2851" s="201"/>
      <c r="E2851" s="202"/>
      <c r="F2851" s="210"/>
      <c r="G2851" s="210"/>
      <c r="H2851" s="206" t="s">
        <v>121</v>
      </c>
      <c r="I2851" s="206" t="s">
        <v>121</v>
      </c>
      <c r="J2851" s="206" t="s">
        <v>121</v>
      </c>
      <c r="K2851" s="206" t="s">
        <v>121</v>
      </c>
      <c r="L2851" s="206" t="str">
        <v/>
      </c>
      <c r="M2851" s="206" t="str">
        <v/>
      </c>
    </row>
    <row r="2852" spans="1:13" ht="14.4">
      <c r="A2852" s="201"/>
      <c r="B2852" s="209"/>
      <c r="C2852" s="201"/>
      <c r="D2852" s="201"/>
      <c r="E2852" s="202"/>
      <c r="F2852" s="210"/>
      <c r="G2852" s="210"/>
      <c r="H2852" s="206" t="s">
        <v>121</v>
      </c>
      <c r="I2852" s="206" t="s">
        <v>121</v>
      </c>
      <c r="J2852" s="206" t="s">
        <v>121</v>
      </c>
      <c r="K2852" s="206" t="s">
        <v>121</v>
      </c>
      <c r="L2852" s="206" t="str">
        <v/>
      </c>
      <c r="M2852" s="206" t="str">
        <v/>
      </c>
    </row>
    <row r="2853" spans="1:13" ht="14.4">
      <c r="A2853" s="201"/>
      <c r="B2853" s="209"/>
      <c r="C2853" s="201"/>
      <c r="D2853" s="201"/>
      <c r="E2853" s="202"/>
      <c r="F2853" s="210"/>
      <c r="G2853" s="210"/>
      <c r="H2853" s="206" t="s">
        <v>121</v>
      </c>
      <c r="I2853" s="206" t="s">
        <v>121</v>
      </c>
      <c r="J2853" s="206" t="s">
        <v>121</v>
      </c>
      <c r="K2853" s="206" t="s">
        <v>121</v>
      </c>
      <c r="L2853" s="206" t="str">
        <v/>
      </c>
      <c r="M2853" s="206" t="str">
        <v/>
      </c>
    </row>
    <row r="2854" spans="1:13" ht="14.4">
      <c r="A2854" s="201"/>
      <c r="B2854" s="209"/>
      <c r="C2854" s="201"/>
      <c r="D2854" s="201"/>
      <c r="E2854" s="202"/>
      <c r="F2854" s="210"/>
      <c r="G2854" s="210"/>
      <c r="H2854" s="206" t="s">
        <v>121</v>
      </c>
      <c r="I2854" s="206" t="s">
        <v>121</v>
      </c>
      <c r="J2854" s="206" t="s">
        <v>121</v>
      </c>
      <c r="K2854" s="206" t="s">
        <v>121</v>
      </c>
      <c r="L2854" s="206" t="str">
        <v/>
      </c>
      <c r="M2854" s="206" t="str">
        <v/>
      </c>
    </row>
    <row r="2855" spans="1:13" ht="14.4">
      <c r="A2855" s="201"/>
      <c r="B2855" s="209"/>
      <c r="C2855" s="201"/>
      <c r="D2855" s="201"/>
      <c r="E2855" s="202"/>
      <c r="F2855" s="210"/>
      <c r="G2855" s="210"/>
      <c r="H2855" s="206" t="s">
        <v>121</v>
      </c>
      <c r="I2855" s="206" t="s">
        <v>121</v>
      </c>
      <c r="J2855" s="206" t="s">
        <v>121</v>
      </c>
      <c r="K2855" s="206" t="s">
        <v>121</v>
      </c>
      <c r="L2855" s="206" t="str">
        <v/>
      </c>
      <c r="M2855" s="206" t="str">
        <v/>
      </c>
    </row>
    <row r="2856" spans="1:13" ht="14.4">
      <c r="A2856" s="201"/>
      <c r="B2856" s="209"/>
      <c r="C2856" s="201"/>
      <c r="D2856" s="201"/>
      <c r="E2856" s="202"/>
      <c r="F2856" s="210"/>
      <c r="G2856" s="210"/>
      <c r="H2856" s="206" t="s">
        <v>121</v>
      </c>
      <c r="I2856" s="206" t="s">
        <v>121</v>
      </c>
      <c r="J2856" s="206" t="s">
        <v>121</v>
      </c>
      <c r="K2856" s="206" t="s">
        <v>121</v>
      </c>
      <c r="L2856" s="206" t="str">
        <v/>
      </c>
      <c r="M2856" s="206" t="str">
        <v/>
      </c>
    </row>
    <row r="2857" spans="1:13" ht="14.4">
      <c r="A2857" s="201"/>
      <c r="B2857" s="209"/>
      <c r="C2857" s="201"/>
      <c r="D2857" s="201"/>
      <c r="E2857" s="202"/>
      <c r="F2857" s="210"/>
      <c r="G2857" s="210"/>
      <c r="H2857" s="206" t="s">
        <v>121</v>
      </c>
      <c r="I2857" s="206" t="s">
        <v>121</v>
      </c>
      <c r="J2857" s="206" t="s">
        <v>121</v>
      </c>
      <c r="K2857" s="206" t="s">
        <v>121</v>
      </c>
      <c r="L2857" s="206" t="str">
        <v/>
      </c>
      <c r="M2857" s="206" t="str">
        <v/>
      </c>
    </row>
    <row r="2858" spans="1:13" ht="14.4">
      <c r="A2858" s="201"/>
      <c r="B2858" s="209"/>
      <c r="C2858" s="201"/>
      <c r="D2858" s="201"/>
      <c r="E2858" s="202"/>
      <c r="F2858" s="210"/>
      <c r="G2858" s="210"/>
      <c r="H2858" s="206" t="s">
        <v>121</v>
      </c>
      <c r="I2858" s="206" t="s">
        <v>121</v>
      </c>
      <c r="J2858" s="206" t="s">
        <v>121</v>
      </c>
      <c r="K2858" s="206" t="s">
        <v>121</v>
      </c>
      <c r="L2858" s="206" t="str">
        <v/>
      </c>
      <c r="M2858" s="206" t="str">
        <v/>
      </c>
    </row>
    <row r="2859" spans="1:13" ht="14.4">
      <c r="A2859" s="201"/>
      <c r="B2859" s="209"/>
      <c r="C2859" s="201"/>
      <c r="D2859" s="201"/>
      <c r="E2859" s="202"/>
      <c r="F2859" s="210"/>
      <c r="G2859" s="210"/>
      <c r="H2859" s="206" t="s">
        <v>121</v>
      </c>
      <c r="I2859" s="206" t="s">
        <v>121</v>
      </c>
      <c r="J2859" s="206" t="s">
        <v>121</v>
      </c>
      <c r="K2859" s="206" t="s">
        <v>121</v>
      </c>
      <c r="L2859" s="206" t="str">
        <v/>
      </c>
      <c r="M2859" s="206" t="str">
        <v/>
      </c>
    </row>
    <row r="2860" spans="1:13" ht="14.4">
      <c r="A2860" s="201"/>
      <c r="B2860" s="209"/>
      <c r="C2860" s="201"/>
      <c r="D2860" s="201"/>
      <c r="E2860" s="202"/>
      <c r="F2860" s="210"/>
      <c r="G2860" s="210"/>
      <c r="H2860" s="206" t="s">
        <v>121</v>
      </c>
      <c r="I2860" s="206" t="s">
        <v>121</v>
      </c>
      <c r="J2860" s="206" t="s">
        <v>121</v>
      </c>
      <c r="K2860" s="206" t="s">
        <v>121</v>
      </c>
      <c r="L2860" s="206" t="str">
        <v/>
      </c>
      <c r="M2860" s="206" t="str">
        <v/>
      </c>
    </row>
    <row r="2861" spans="1:13" ht="14.4">
      <c r="A2861" s="201"/>
      <c r="B2861" s="209"/>
      <c r="C2861" s="201"/>
      <c r="D2861" s="201"/>
      <c r="E2861" s="202"/>
      <c r="F2861" s="210"/>
      <c r="G2861" s="210"/>
      <c r="H2861" s="206" t="s">
        <v>121</v>
      </c>
      <c r="I2861" s="206" t="s">
        <v>121</v>
      </c>
      <c r="J2861" s="206" t="s">
        <v>121</v>
      </c>
      <c r="K2861" s="206" t="s">
        <v>121</v>
      </c>
      <c r="L2861" s="206" t="str">
        <v/>
      </c>
      <c r="M2861" s="206" t="str">
        <v/>
      </c>
    </row>
    <row r="2862" spans="1:13" ht="14.4">
      <c r="A2862" s="201"/>
      <c r="B2862" s="209"/>
      <c r="C2862" s="201"/>
      <c r="D2862" s="201"/>
      <c r="E2862" s="202"/>
      <c r="F2862" s="210"/>
      <c r="G2862" s="210"/>
      <c r="H2862" s="206" t="s">
        <v>121</v>
      </c>
      <c r="I2862" s="206" t="s">
        <v>121</v>
      </c>
      <c r="J2862" s="206" t="s">
        <v>121</v>
      </c>
      <c r="K2862" s="206" t="s">
        <v>121</v>
      </c>
      <c r="L2862" s="206" t="str">
        <v/>
      </c>
      <c r="M2862" s="206" t="str">
        <v/>
      </c>
    </row>
    <row r="2863" spans="1:13" ht="14.4">
      <c r="A2863" s="201"/>
      <c r="B2863" s="209"/>
      <c r="C2863" s="201"/>
      <c r="D2863" s="201"/>
      <c r="E2863" s="202"/>
      <c r="F2863" s="210"/>
      <c r="G2863" s="210"/>
      <c r="H2863" s="206" t="s">
        <v>121</v>
      </c>
      <c r="I2863" s="206" t="s">
        <v>121</v>
      </c>
      <c r="J2863" s="206" t="s">
        <v>121</v>
      </c>
      <c r="K2863" s="206" t="s">
        <v>121</v>
      </c>
      <c r="L2863" s="206" t="str">
        <v/>
      </c>
      <c r="M2863" s="206" t="str">
        <v/>
      </c>
    </row>
    <row r="2864" spans="1:13" ht="14.4">
      <c r="A2864" s="201"/>
      <c r="B2864" s="209"/>
      <c r="C2864" s="201"/>
      <c r="D2864" s="201"/>
      <c r="E2864" s="202"/>
      <c r="F2864" s="210"/>
      <c r="G2864" s="210"/>
      <c r="H2864" s="206" t="s">
        <v>121</v>
      </c>
      <c r="I2864" s="206" t="s">
        <v>121</v>
      </c>
      <c r="J2864" s="206" t="s">
        <v>121</v>
      </c>
      <c r="K2864" s="206" t="s">
        <v>121</v>
      </c>
      <c r="L2864" s="206" t="str">
        <v/>
      </c>
      <c r="M2864" s="206" t="str">
        <v/>
      </c>
    </row>
    <row r="2865" spans="1:13" ht="14.4">
      <c r="A2865" s="201"/>
      <c r="B2865" s="209"/>
      <c r="C2865" s="201"/>
      <c r="D2865" s="201"/>
      <c r="E2865" s="202"/>
      <c r="F2865" s="210"/>
      <c r="G2865" s="210"/>
      <c r="H2865" s="206" t="s">
        <v>121</v>
      </c>
      <c r="I2865" s="206" t="s">
        <v>121</v>
      </c>
      <c r="J2865" s="206" t="s">
        <v>121</v>
      </c>
      <c r="K2865" s="206" t="s">
        <v>121</v>
      </c>
      <c r="L2865" s="206" t="str">
        <v/>
      </c>
      <c r="M2865" s="206" t="str">
        <v/>
      </c>
    </row>
    <row r="2866" spans="1:13" ht="14.4">
      <c r="A2866" s="201"/>
      <c r="B2866" s="209"/>
      <c r="C2866" s="201"/>
      <c r="D2866" s="201"/>
      <c r="E2866" s="202"/>
      <c r="F2866" s="210"/>
      <c r="G2866" s="210"/>
      <c r="H2866" s="206" t="s">
        <v>121</v>
      </c>
      <c r="I2866" s="206" t="s">
        <v>121</v>
      </c>
      <c r="J2866" s="206" t="s">
        <v>121</v>
      </c>
      <c r="K2866" s="206" t="s">
        <v>121</v>
      </c>
      <c r="L2866" s="206" t="str">
        <v/>
      </c>
      <c r="M2866" s="206" t="str">
        <v/>
      </c>
    </row>
    <row r="2867" spans="1:13" ht="14.4">
      <c r="A2867" s="201"/>
      <c r="B2867" s="209"/>
      <c r="C2867" s="201"/>
      <c r="D2867" s="201"/>
      <c r="E2867" s="202"/>
      <c r="F2867" s="210"/>
      <c r="G2867" s="210"/>
      <c r="H2867" s="206" t="s">
        <v>121</v>
      </c>
      <c r="I2867" s="206" t="s">
        <v>121</v>
      </c>
      <c r="J2867" s="206" t="s">
        <v>121</v>
      </c>
      <c r="K2867" s="206" t="s">
        <v>121</v>
      </c>
      <c r="L2867" s="206" t="str">
        <v/>
      </c>
      <c r="M2867" s="206" t="str">
        <v/>
      </c>
    </row>
    <row r="2868" spans="1:13" ht="14.4">
      <c r="A2868" s="201"/>
      <c r="B2868" s="209"/>
      <c r="C2868" s="201"/>
      <c r="D2868" s="201"/>
      <c r="E2868" s="202"/>
      <c r="F2868" s="210"/>
      <c r="G2868" s="210"/>
      <c r="H2868" s="206" t="s">
        <v>121</v>
      </c>
      <c r="I2868" s="206" t="s">
        <v>121</v>
      </c>
      <c r="J2868" s="206" t="s">
        <v>121</v>
      </c>
      <c r="K2868" s="206" t="s">
        <v>121</v>
      </c>
      <c r="L2868" s="206" t="str">
        <v/>
      </c>
      <c r="M2868" s="206" t="str">
        <v/>
      </c>
    </row>
    <row r="2869" spans="1:13" ht="14.4">
      <c r="A2869" s="201"/>
      <c r="B2869" s="209"/>
      <c r="C2869" s="201"/>
      <c r="D2869" s="201"/>
      <c r="E2869" s="202"/>
      <c r="F2869" s="210"/>
      <c r="G2869" s="210"/>
      <c r="H2869" s="206" t="s">
        <v>121</v>
      </c>
      <c r="I2869" s="206" t="s">
        <v>121</v>
      </c>
      <c r="J2869" s="206" t="s">
        <v>121</v>
      </c>
      <c r="K2869" s="206" t="s">
        <v>121</v>
      </c>
      <c r="L2869" s="206" t="str">
        <v/>
      </c>
      <c r="M2869" s="206" t="str">
        <v/>
      </c>
    </row>
    <row r="2870" spans="1:13" ht="14.4">
      <c r="A2870" s="201"/>
      <c r="B2870" s="209"/>
      <c r="C2870" s="201"/>
      <c r="D2870" s="201"/>
      <c r="E2870" s="202"/>
      <c r="F2870" s="210"/>
      <c r="G2870" s="210"/>
      <c r="H2870" s="206" t="s">
        <v>121</v>
      </c>
      <c r="I2870" s="206" t="s">
        <v>121</v>
      </c>
      <c r="J2870" s="206" t="s">
        <v>121</v>
      </c>
      <c r="K2870" s="206" t="s">
        <v>121</v>
      </c>
      <c r="L2870" s="206" t="str">
        <v/>
      </c>
      <c r="M2870" s="206" t="str">
        <v/>
      </c>
    </row>
    <row r="2871" spans="1:13" ht="14.4">
      <c r="A2871" s="201"/>
      <c r="B2871" s="209"/>
      <c r="C2871" s="201"/>
      <c r="D2871" s="201"/>
      <c r="E2871" s="202"/>
      <c r="F2871" s="210"/>
      <c r="G2871" s="210"/>
      <c r="H2871" s="206" t="s">
        <v>121</v>
      </c>
      <c r="I2871" s="206" t="s">
        <v>121</v>
      </c>
      <c r="J2871" s="206" t="s">
        <v>121</v>
      </c>
      <c r="K2871" s="206" t="s">
        <v>121</v>
      </c>
      <c r="L2871" s="206" t="str">
        <v/>
      </c>
      <c r="M2871" s="206" t="str">
        <v/>
      </c>
    </row>
    <row r="2872" spans="1:13" ht="14.4">
      <c r="A2872" s="201"/>
      <c r="B2872" s="209"/>
      <c r="C2872" s="201"/>
      <c r="D2872" s="201"/>
      <c r="E2872" s="202"/>
      <c r="F2872" s="210"/>
      <c r="G2872" s="210"/>
      <c r="H2872" s="206" t="s">
        <v>121</v>
      </c>
      <c r="I2872" s="206" t="s">
        <v>121</v>
      </c>
      <c r="J2872" s="206" t="s">
        <v>121</v>
      </c>
      <c r="K2872" s="206" t="s">
        <v>121</v>
      </c>
      <c r="L2872" s="206" t="str">
        <v/>
      </c>
      <c r="M2872" s="206" t="str">
        <v/>
      </c>
    </row>
    <row r="2873" spans="1:13" ht="14.4">
      <c r="A2873" s="201"/>
      <c r="B2873" s="209"/>
      <c r="C2873" s="201"/>
      <c r="D2873" s="201"/>
      <c r="E2873" s="202"/>
      <c r="F2873" s="210"/>
      <c r="G2873" s="210"/>
      <c r="H2873" s="206" t="s">
        <v>121</v>
      </c>
      <c r="I2873" s="206" t="s">
        <v>121</v>
      </c>
      <c r="J2873" s="206" t="s">
        <v>121</v>
      </c>
      <c r="K2873" s="206" t="s">
        <v>121</v>
      </c>
      <c r="L2873" s="206" t="str">
        <v/>
      </c>
      <c r="M2873" s="206" t="str">
        <v/>
      </c>
    </row>
    <row r="2874" spans="1:13" ht="14.4">
      <c r="A2874" s="201"/>
      <c r="B2874" s="209"/>
      <c r="C2874" s="201"/>
      <c r="D2874" s="201"/>
      <c r="E2874" s="202"/>
      <c r="F2874" s="210"/>
      <c r="G2874" s="210"/>
      <c r="H2874" s="206" t="s">
        <v>121</v>
      </c>
      <c r="I2874" s="206" t="s">
        <v>121</v>
      </c>
      <c r="J2874" s="206" t="s">
        <v>121</v>
      </c>
      <c r="K2874" s="206" t="s">
        <v>121</v>
      </c>
      <c r="L2874" s="206" t="str">
        <v/>
      </c>
      <c r="M2874" s="206" t="str">
        <v/>
      </c>
    </row>
    <row r="2875" spans="1:13" ht="14.4">
      <c r="A2875" s="201"/>
      <c r="B2875" s="209"/>
      <c r="C2875" s="201"/>
      <c r="D2875" s="201"/>
      <c r="E2875" s="202"/>
      <c r="F2875" s="210"/>
      <c r="G2875" s="210"/>
      <c r="H2875" s="206" t="s">
        <v>121</v>
      </c>
      <c r="I2875" s="206" t="s">
        <v>121</v>
      </c>
      <c r="J2875" s="206" t="s">
        <v>121</v>
      </c>
      <c r="K2875" s="206" t="s">
        <v>121</v>
      </c>
      <c r="L2875" s="206" t="str">
        <v/>
      </c>
      <c r="M2875" s="206" t="str">
        <v/>
      </c>
    </row>
    <row r="2876" spans="1:13" ht="14.4">
      <c r="A2876" s="201"/>
      <c r="B2876" s="209"/>
      <c r="C2876" s="201"/>
      <c r="D2876" s="201"/>
      <c r="E2876" s="202"/>
      <c r="F2876" s="210"/>
      <c r="G2876" s="210"/>
      <c r="H2876" s="206" t="s">
        <v>121</v>
      </c>
      <c r="I2876" s="206" t="s">
        <v>121</v>
      </c>
      <c r="J2876" s="206" t="s">
        <v>121</v>
      </c>
      <c r="K2876" s="206" t="s">
        <v>121</v>
      </c>
      <c r="L2876" s="206" t="str">
        <v/>
      </c>
      <c r="M2876" s="206" t="str">
        <v/>
      </c>
    </row>
    <row r="2877" spans="1:13" ht="14.4">
      <c r="A2877" s="201"/>
      <c r="B2877" s="209"/>
      <c r="C2877" s="201"/>
      <c r="D2877" s="201"/>
      <c r="E2877" s="202"/>
      <c r="F2877" s="210"/>
      <c r="G2877" s="210"/>
      <c r="H2877" s="206" t="s">
        <v>121</v>
      </c>
      <c r="I2877" s="206" t="s">
        <v>121</v>
      </c>
      <c r="J2877" s="206" t="s">
        <v>121</v>
      </c>
      <c r="K2877" s="206" t="s">
        <v>121</v>
      </c>
      <c r="L2877" s="206" t="str">
        <v/>
      </c>
      <c r="M2877" s="206" t="str">
        <v/>
      </c>
    </row>
    <row r="2878" spans="1:13" ht="14.4">
      <c r="A2878" s="201"/>
      <c r="B2878" s="209"/>
      <c r="C2878" s="201"/>
      <c r="D2878" s="201"/>
      <c r="E2878" s="202"/>
      <c r="F2878" s="210"/>
      <c r="G2878" s="210"/>
      <c r="H2878" s="206" t="s">
        <v>121</v>
      </c>
      <c r="I2878" s="206" t="s">
        <v>121</v>
      </c>
      <c r="J2878" s="206" t="s">
        <v>121</v>
      </c>
      <c r="K2878" s="206" t="s">
        <v>121</v>
      </c>
      <c r="L2878" s="206" t="str">
        <v/>
      </c>
      <c r="M2878" s="206" t="str">
        <v/>
      </c>
    </row>
    <row r="2879" spans="1:13" ht="14.4">
      <c r="A2879" s="201"/>
      <c r="B2879" s="209"/>
      <c r="C2879" s="201"/>
      <c r="D2879" s="201"/>
      <c r="E2879" s="202"/>
      <c r="F2879" s="210"/>
      <c r="G2879" s="210"/>
      <c r="H2879" s="206" t="s">
        <v>121</v>
      </c>
      <c r="I2879" s="206" t="s">
        <v>121</v>
      </c>
      <c r="J2879" s="206" t="s">
        <v>121</v>
      </c>
      <c r="K2879" s="206" t="s">
        <v>121</v>
      </c>
      <c r="L2879" s="206" t="str">
        <v/>
      </c>
      <c r="M2879" s="206" t="str">
        <v/>
      </c>
    </row>
    <row r="2880" spans="1:13" ht="14.4">
      <c r="A2880" s="201"/>
      <c r="B2880" s="209"/>
      <c r="C2880" s="201"/>
      <c r="D2880" s="201"/>
      <c r="E2880" s="202"/>
      <c r="F2880" s="210"/>
      <c r="G2880" s="210"/>
      <c r="H2880" s="206" t="s">
        <v>121</v>
      </c>
      <c r="I2880" s="206" t="s">
        <v>121</v>
      </c>
      <c r="J2880" s="206" t="s">
        <v>121</v>
      </c>
      <c r="K2880" s="206" t="s">
        <v>121</v>
      </c>
      <c r="L2880" s="206" t="str">
        <v/>
      </c>
      <c r="M2880" s="206" t="str">
        <v/>
      </c>
    </row>
    <row r="2881" spans="1:13" ht="14.4">
      <c r="A2881" s="201"/>
      <c r="B2881" s="209"/>
      <c r="C2881" s="201"/>
      <c r="D2881" s="201"/>
      <c r="E2881" s="202"/>
      <c r="F2881" s="210"/>
      <c r="G2881" s="210"/>
      <c r="H2881" s="206" t="s">
        <v>121</v>
      </c>
      <c r="I2881" s="206" t="s">
        <v>121</v>
      </c>
      <c r="J2881" s="206" t="s">
        <v>121</v>
      </c>
      <c r="K2881" s="206" t="s">
        <v>121</v>
      </c>
      <c r="L2881" s="206" t="str">
        <v/>
      </c>
      <c r="M2881" s="206" t="str">
        <v/>
      </c>
    </row>
    <row r="2882" spans="1:13" ht="14.4">
      <c r="A2882" s="201"/>
      <c r="B2882" s="209"/>
      <c r="C2882" s="201"/>
      <c r="D2882" s="201"/>
      <c r="E2882" s="202"/>
      <c r="F2882" s="210"/>
      <c r="G2882" s="210"/>
      <c r="H2882" s="206" t="s">
        <v>121</v>
      </c>
      <c r="I2882" s="206" t="s">
        <v>121</v>
      </c>
      <c r="J2882" s="206" t="s">
        <v>121</v>
      </c>
      <c r="K2882" s="206" t="s">
        <v>121</v>
      </c>
      <c r="L2882" s="206" t="str">
        <v/>
      </c>
      <c r="M2882" s="206" t="str">
        <v/>
      </c>
    </row>
    <row r="2883" spans="1:13" ht="14.4">
      <c r="A2883" s="201"/>
      <c r="B2883" s="209"/>
      <c r="C2883" s="201"/>
      <c r="D2883" s="201"/>
      <c r="E2883" s="202"/>
      <c r="F2883" s="210"/>
      <c r="G2883" s="210"/>
      <c r="H2883" s="206" t="s">
        <v>121</v>
      </c>
      <c r="I2883" s="206" t="s">
        <v>121</v>
      </c>
      <c r="J2883" s="206" t="s">
        <v>121</v>
      </c>
      <c r="K2883" s="206" t="s">
        <v>121</v>
      </c>
      <c r="L2883" s="206" t="str">
        <v/>
      </c>
      <c r="M2883" s="206" t="str">
        <v/>
      </c>
    </row>
    <row r="2884" spans="1:13" ht="14.4">
      <c r="A2884" s="201"/>
      <c r="B2884" s="209"/>
      <c r="C2884" s="201"/>
      <c r="D2884" s="201"/>
      <c r="E2884" s="202"/>
      <c r="F2884" s="210"/>
      <c r="G2884" s="210"/>
      <c r="H2884" s="206" t="s">
        <v>121</v>
      </c>
      <c r="I2884" s="206" t="s">
        <v>121</v>
      </c>
      <c r="J2884" s="206" t="s">
        <v>121</v>
      </c>
      <c r="K2884" s="206" t="s">
        <v>121</v>
      </c>
      <c r="L2884" s="206" t="str">
        <v/>
      </c>
      <c r="M2884" s="206" t="str">
        <v/>
      </c>
    </row>
    <row r="2885" spans="1:13" ht="14.4">
      <c r="A2885" s="201"/>
      <c r="B2885" s="209"/>
      <c r="C2885" s="201"/>
      <c r="D2885" s="201"/>
      <c r="E2885" s="202"/>
      <c r="F2885" s="210"/>
      <c r="G2885" s="210"/>
      <c r="H2885" s="206" t="s">
        <v>121</v>
      </c>
      <c r="I2885" s="206" t="s">
        <v>121</v>
      </c>
      <c r="J2885" s="206" t="s">
        <v>121</v>
      </c>
      <c r="K2885" s="206" t="s">
        <v>121</v>
      </c>
      <c r="L2885" s="206" t="str">
        <v/>
      </c>
      <c r="M2885" s="206" t="str">
        <v/>
      </c>
    </row>
    <row r="2886" spans="1:13" ht="14.4">
      <c r="A2886" s="201"/>
      <c r="B2886" s="209"/>
      <c r="C2886" s="201"/>
      <c r="D2886" s="201"/>
      <c r="E2886" s="202"/>
      <c r="F2886" s="210"/>
      <c r="G2886" s="210"/>
      <c r="H2886" s="206" t="s">
        <v>121</v>
      </c>
      <c r="I2886" s="206" t="s">
        <v>121</v>
      </c>
      <c r="J2886" s="206" t="s">
        <v>121</v>
      </c>
      <c r="K2886" s="206" t="s">
        <v>121</v>
      </c>
      <c r="L2886" s="206" t="str">
        <v/>
      </c>
      <c r="M2886" s="206" t="str">
        <v/>
      </c>
    </row>
    <row r="2887" spans="1:13" ht="14.4">
      <c r="A2887" s="201"/>
      <c r="B2887" s="209"/>
      <c r="C2887" s="201"/>
      <c r="D2887" s="201"/>
      <c r="E2887" s="202"/>
      <c r="F2887" s="210"/>
      <c r="G2887" s="210"/>
      <c r="H2887" s="206" t="s">
        <v>121</v>
      </c>
      <c r="I2887" s="206" t="s">
        <v>121</v>
      </c>
      <c r="J2887" s="206" t="s">
        <v>121</v>
      </c>
      <c r="K2887" s="206" t="s">
        <v>121</v>
      </c>
      <c r="L2887" s="206" t="str">
        <v/>
      </c>
      <c r="M2887" s="206" t="str">
        <v/>
      </c>
    </row>
    <row r="2888" spans="1:13" ht="14.4">
      <c r="A2888" s="201"/>
      <c r="B2888" s="209"/>
      <c r="C2888" s="201"/>
      <c r="D2888" s="201"/>
      <c r="E2888" s="202"/>
      <c r="F2888" s="210"/>
      <c r="G2888" s="210"/>
      <c r="H2888" s="206" t="s">
        <v>121</v>
      </c>
      <c r="I2888" s="206" t="s">
        <v>121</v>
      </c>
      <c r="J2888" s="206" t="s">
        <v>121</v>
      </c>
      <c r="K2888" s="206" t="s">
        <v>121</v>
      </c>
      <c r="L2888" s="206" t="str">
        <v/>
      </c>
      <c r="M2888" s="206" t="str">
        <v/>
      </c>
    </row>
    <row r="2889" spans="1:13" ht="14.4">
      <c r="A2889" s="201"/>
      <c r="B2889" s="209"/>
      <c r="C2889" s="201"/>
      <c r="D2889" s="201"/>
      <c r="E2889" s="202"/>
      <c r="F2889" s="210"/>
      <c r="G2889" s="210"/>
      <c r="H2889" s="206" t="s">
        <v>121</v>
      </c>
      <c r="I2889" s="206" t="s">
        <v>121</v>
      </c>
      <c r="J2889" s="206" t="s">
        <v>121</v>
      </c>
      <c r="K2889" s="206" t="s">
        <v>121</v>
      </c>
      <c r="L2889" s="206" t="str">
        <v/>
      </c>
      <c r="M2889" s="206" t="str">
        <v/>
      </c>
    </row>
    <row r="2890" spans="1:13" ht="14.4">
      <c r="A2890" s="201"/>
      <c r="B2890" s="209"/>
      <c r="C2890" s="201"/>
      <c r="D2890" s="201"/>
      <c r="E2890" s="202"/>
      <c r="F2890" s="210"/>
      <c r="G2890" s="210"/>
      <c r="H2890" s="206" t="s">
        <v>121</v>
      </c>
      <c r="I2890" s="206" t="s">
        <v>121</v>
      </c>
      <c r="J2890" s="206" t="s">
        <v>121</v>
      </c>
      <c r="K2890" s="206" t="s">
        <v>121</v>
      </c>
      <c r="L2890" s="206" t="str">
        <v/>
      </c>
      <c r="M2890" s="206" t="str">
        <v/>
      </c>
    </row>
    <row r="2891" spans="1:13" ht="14.4">
      <c r="A2891" s="201"/>
      <c r="B2891" s="209"/>
      <c r="C2891" s="201"/>
      <c r="D2891" s="201"/>
      <c r="E2891" s="202"/>
      <c r="F2891" s="210"/>
      <c r="G2891" s="210"/>
      <c r="H2891" s="206" t="s">
        <v>121</v>
      </c>
      <c r="I2891" s="206" t="s">
        <v>121</v>
      </c>
      <c r="J2891" s="206" t="s">
        <v>121</v>
      </c>
      <c r="K2891" s="206" t="s">
        <v>121</v>
      </c>
      <c r="L2891" s="206" t="str">
        <v/>
      </c>
      <c r="M2891" s="206" t="str">
        <v/>
      </c>
    </row>
    <row r="2892" spans="1:13" ht="14.4">
      <c r="A2892" s="201"/>
      <c r="B2892" s="209"/>
      <c r="C2892" s="201"/>
      <c r="D2892" s="201"/>
      <c r="E2892" s="202"/>
      <c r="F2892" s="210"/>
      <c r="G2892" s="210"/>
      <c r="H2892" s="206" t="s">
        <v>121</v>
      </c>
      <c r="I2892" s="206" t="s">
        <v>121</v>
      </c>
      <c r="J2892" s="206" t="s">
        <v>121</v>
      </c>
      <c r="K2892" s="206" t="s">
        <v>121</v>
      </c>
      <c r="L2892" s="206" t="str">
        <v/>
      </c>
      <c r="M2892" s="206" t="str">
        <v/>
      </c>
    </row>
    <row r="2893" spans="1:13" ht="14.4">
      <c r="A2893" s="201"/>
      <c r="B2893" s="209"/>
      <c r="C2893" s="201"/>
      <c r="D2893" s="201"/>
      <c r="E2893" s="202"/>
      <c r="F2893" s="210"/>
      <c r="G2893" s="210"/>
      <c r="H2893" s="206" t="s">
        <v>121</v>
      </c>
      <c r="I2893" s="206" t="s">
        <v>121</v>
      </c>
      <c r="J2893" s="206" t="s">
        <v>121</v>
      </c>
      <c r="K2893" s="206" t="s">
        <v>121</v>
      </c>
      <c r="L2893" s="206" t="str">
        <v/>
      </c>
      <c r="M2893" s="206" t="str">
        <v/>
      </c>
    </row>
    <row r="2894" spans="1:13" ht="14.4">
      <c r="A2894" s="201"/>
      <c r="B2894" s="209"/>
      <c r="C2894" s="201"/>
      <c r="D2894" s="201"/>
      <c r="E2894" s="202"/>
      <c r="F2894" s="210"/>
      <c r="G2894" s="210"/>
      <c r="H2894" s="206" t="s">
        <v>121</v>
      </c>
      <c r="I2894" s="206" t="s">
        <v>121</v>
      </c>
      <c r="J2894" s="206" t="s">
        <v>121</v>
      </c>
      <c r="K2894" s="206" t="s">
        <v>121</v>
      </c>
      <c r="L2894" s="206" t="str">
        <v/>
      </c>
      <c r="M2894" s="206" t="str">
        <v/>
      </c>
    </row>
    <row r="2895" spans="1:13" ht="14.4">
      <c r="A2895" s="201"/>
      <c r="B2895" s="209"/>
      <c r="C2895" s="201"/>
      <c r="D2895" s="201"/>
      <c r="E2895" s="202"/>
      <c r="F2895" s="210"/>
      <c r="G2895" s="210"/>
      <c r="H2895" s="206" t="s">
        <v>121</v>
      </c>
      <c r="I2895" s="206" t="s">
        <v>121</v>
      </c>
      <c r="J2895" s="206" t="s">
        <v>121</v>
      </c>
      <c r="K2895" s="206" t="s">
        <v>121</v>
      </c>
      <c r="L2895" s="206" t="str">
        <v/>
      </c>
      <c r="M2895" s="206" t="str">
        <v/>
      </c>
    </row>
    <row r="2896" spans="1:13" ht="14.4">
      <c r="A2896" s="201"/>
      <c r="B2896" s="209"/>
      <c r="C2896" s="201"/>
      <c r="D2896" s="201"/>
      <c r="E2896" s="202"/>
      <c r="F2896" s="210"/>
      <c r="G2896" s="210"/>
      <c r="H2896" s="206" t="s">
        <v>121</v>
      </c>
      <c r="I2896" s="206" t="s">
        <v>121</v>
      </c>
      <c r="J2896" s="206" t="s">
        <v>121</v>
      </c>
      <c r="K2896" s="206" t="s">
        <v>121</v>
      </c>
      <c r="L2896" s="206" t="str">
        <v/>
      </c>
      <c r="M2896" s="206" t="str">
        <v/>
      </c>
    </row>
    <row r="2897" spans="1:13" ht="14.4">
      <c r="A2897" s="201"/>
      <c r="B2897" s="209"/>
      <c r="C2897" s="201"/>
      <c r="D2897" s="201"/>
      <c r="E2897" s="202"/>
      <c r="F2897" s="210"/>
      <c r="G2897" s="210"/>
      <c r="H2897" s="206" t="s">
        <v>121</v>
      </c>
      <c r="I2897" s="206" t="s">
        <v>121</v>
      </c>
      <c r="J2897" s="206" t="s">
        <v>121</v>
      </c>
      <c r="K2897" s="206" t="s">
        <v>121</v>
      </c>
      <c r="L2897" s="206" t="str">
        <v/>
      </c>
      <c r="M2897" s="206" t="str">
        <v/>
      </c>
    </row>
    <row r="2898" spans="1:13" ht="14.4">
      <c r="A2898" s="201"/>
      <c r="B2898" s="209"/>
      <c r="C2898" s="201"/>
      <c r="D2898" s="201"/>
      <c r="E2898" s="202"/>
      <c r="F2898" s="210"/>
      <c r="G2898" s="210"/>
      <c r="H2898" s="206" t="s">
        <v>121</v>
      </c>
      <c r="I2898" s="206" t="s">
        <v>121</v>
      </c>
      <c r="J2898" s="206" t="s">
        <v>121</v>
      </c>
      <c r="K2898" s="206" t="s">
        <v>121</v>
      </c>
      <c r="L2898" s="206" t="str">
        <v/>
      </c>
      <c r="M2898" s="206" t="str">
        <v/>
      </c>
    </row>
    <row r="2899" spans="1:13" ht="14.4">
      <c r="A2899" s="201"/>
      <c r="B2899" s="209"/>
      <c r="C2899" s="201"/>
      <c r="D2899" s="201"/>
      <c r="E2899" s="202"/>
      <c r="F2899" s="210"/>
      <c r="G2899" s="210"/>
      <c r="H2899" s="206" t="s">
        <v>121</v>
      </c>
      <c r="I2899" s="206" t="s">
        <v>121</v>
      </c>
      <c r="J2899" s="206" t="s">
        <v>121</v>
      </c>
      <c r="K2899" s="206" t="s">
        <v>121</v>
      </c>
      <c r="L2899" s="206" t="str">
        <v/>
      </c>
      <c r="M2899" s="206" t="str">
        <v/>
      </c>
    </row>
    <row r="2900" spans="1:13" ht="14.4">
      <c r="A2900" s="201"/>
      <c r="B2900" s="209"/>
      <c r="C2900" s="201"/>
      <c r="D2900" s="201"/>
      <c r="E2900" s="202"/>
      <c r="F2900" s="210"/>
      <c r="G2900" s="210"/>
      <c r="H2900" s="206" t="s">
        <v>121</v>
      </c>
      <c r="I2900" s="206" t="s">
        <v>121</v>
      </c>
      <c r="J2900" s="206" t="s">
        <v>121</v>
      </c>
      <c r="K2900" s="206" t="s">
        <v>121</v>
      </c>
      <c r="L2900" s="206" t="str">
        <v/>
      </c>
      <c r="M2900" s="206" t="str">
        <v/>
      </c>
    </row>
    <row r="2901" spans="1:13" ht="14.4">
      <c r="A2901" s="201"/>
      <c r="B2901" s="209"/>
      <c r="C2901" s="201"/>
      <c r="D2901" s="201"/>
      <c r="E2901" s="202"/>
      <c r="F2901" s="210"/>
      <c r="G2901" s="210"/>
      <c r="H2901" s="206" t="s">
        <v>121</v>
      </c>
      <c r="I2901" s="206" t="s">
        <v>121</v>
      </c>
      <c r="J2901" s="206" t="s">
        <v>121</v>
      </c>
      <c r="K2901" s="206" t="s">
        <v>121</v>
      </c>
      <c r="L2901" s="206" t="str">
        <v/>
      </c>
      <c r="M2901" s="206" t="str">
        <v/>
      </c>
    </row>
    <row r="2902" spans="1:13" ht="14.4">
      <c r="A2902" s="201"/>
      <c r="B2902" s="209"/>
      <c r="C2902" s="201"/>
      <c r="D2902" s="201"/>
      <c r="E2902" s="202"/>
      <c r="F2902" s="210"/>
      <c r="G2902" s="210"/>
      <c r="H2902" s="206" t="s">
        <v>121</v>
      </c>
      <c r="I2902" s="206" t="s">
        <v>121</v>
      </c>
      <c r="J2902" s="206" t="s">
        <v>121</v>
      </c>
      <c r="K2902" s="206" t="s">
        <v>121</v>
      </c>
      <c r="L2902" s="206" t="str">
        <v/>
      </c>
      <c r="M2902" s="206" t="str">
        <v/>
      </c>
    </row>
    <row r="2903" spans="1:13" ht="14.4">
      <c r="A2903" s="201"/>
      <c r="B2903" s="209"/>
      <c r="C2903" s="201"/>
      <c r="D2903" s="201"/>
      <c r="E2903" s="202"/>
      <c r="F2903" s="210"/>
      <c r="G2903" s="210"/>
      <c r="H2903" s="206" t="s">
        <v>121</v>
      </c>
      <c r="I2903" s="206" t="s">
        <v>121</v>
      </c>
      <c r="J2903" s="206" t="s">
        <v>121</v>
      </c>
      <c r="K2903" s="206" t="s">
        <v>121</v>
      </c>
      <c r="L2903" s="206" t="str">
        <v/>
      </c>
      <c r="M2903" s="206" t="str">
        <v/>
      </c>
    </row>
    <row r="2904" spans="1:13" ht="14.4">
      <c r="A2904" s="201"/>
      <c r="B2904" s="209"/>
      <c r="C2904" s="201"/>
      <c r="D2904" s="201"/>
      <c r="E2904" s="202"/>
      <c r="F2904" s="210"/>
      <c r="G2904" s="210"/>
      <c r="H2904" s="206" t="s">
        <v>121</v>
      </c>
      <c r="I2904" s="206" t="s">
        <v>121</v>
      </c>
      <c r="J2904" s="206" t="s">
        <v>121</v>
      </c>
      <c r="K2904" s="206" t="s">
        <v>121</v>
      </c>
      <c r="L2904" s="206" t="str">
        <v/>
      </c>
      <c r="M2904" s="206" t="str">
        <v/>
      </c>
    </row>
    <row r="2905" spans="1:13" ht="14.4">
      <c r="A2905" s="201"/>
      <c r="B2905" s="209"/>
      <c r="C2905" s="201"/>
      <c r="D2905" s="201"/>
      <c r="E2905" s="202"/>
      <c r="F2905" s="210"/>
      <c r="G2905" s="210"/>
      <c r="H2905" s="206" t="s">
        <v>121</v>
      </c>
      <c r="I2905" s="206" t="s">
        <v>121</v>
      </c>
      <c r="J2905" s="206" t="s">
        <v>121</v>
      </c>
      <c r="K2905" s="206" t="s">
        <v>121</v>
      </c>
      <c r="L2905" s="206" t="str">
        <v/>
      </c>
      <c r="M2905" s="206" t="str">
        <v/>
      </c>
    </row>
    <row r="2906" spans="1:13" ht="14.4">
      <c r="A2906" s="201"/>
      <c r="B2906" s="209"/>
      <c r="C2906" s="201"/>
      <c r="D2906" s="201"/>
      <c r="E2906" s="202"/>
      <c r="F2906" s="210"/>
      <c r="G2906" s="210"/>
      <c r="H2906" s="206" t="s">
        <v>121</v>
      </c>
      <c r="I2906" s="206" t="s">
        <v>121</v>
      </c>
      <c r="J2906" s="206" t="s">
        <v>121</v>
      </c>
      <c r="K2906" s="206" t="s">
        <v>121</v>
      </c>
      <c r="L2906" s="206" t="str">
        <v/>
      </c>
      <c r="M2906" s="206" t="str">
        <v/>
      </c>
    </row>
    <row r="2907" spans="1:13" ht="14.4">
      <c r="A2907" s="201"/>
      <c r="B2907" s="209"/>
      <c r="C2907" s="201"/>
      <c r="D2907" s="201"/>
      <c r="E2907" s="202"/>
      <c r="F2907" s="210"/>
      <c r="G2907" s="210"/>
      <c r="H2907" s="206" t="s">
        <v>121</v>
      </c>
      <c r="I2907" s="206" t="s">
        <v>121</v>
      </c>
      <c r="J2907" s="206" t="s">
        <v>121</v>
      </c>
      <c r="K2907" s="206" t="s">
        <v>121</v>
      </c>
      <c r="L2907" s="206" t="str">
        <v/>
      </c>
      <c r="M2907" s="206" t="str">
        <v/>
      </c>
    </row>
    <row r="2908" spans="1:13" ht="14.4">
      <c r="A2908" s="201"/>
      <c r="B2908" s="209"/>
      <c r="C2908" s="201"/>
      <c r="D2908" s="201"/>
      <c r="E2908" s="202"/>
      <c r="F2908" s="210"/>
      <c r="G2908" s="210"/>
      <c r="H2908" s="206" t="s">
        <v>121</v>
      </c>
      <c r="I2908" s="206" t="s">
        <v>121</v>
      </c>
      <c r="J2908" s="206" t="s">
        <v>121</v>
      </c>
      <c r="K2908" s="206" t="s">
        <v>121</v>
      </c>
      <c r="L2908" s="206" t="str">
        <v/>
      </c>
      <c r="M2908" s="206" t="str">
        <v/>
      </c>
    </row>
    <row r="2909" spans="1:13" ht="14.4">
      <c r="A2909" s="201"/>
      <c r="B2909" s="209"/>
      <c r="C2909" s="201"/>
      <c r="D2909" s="201"/>
      <c r="E2909" s="202"/>
      <c r="F2909" s="210"/>
      <c r="G2909" s="210"/>
      <c r="H2909" s="206" t="s">
        <v>121</v>
      </c>
      <c r="I2909" s="206" t="s">
        <v>121</v>
      </c>
      <c r="J2909" s="206" t="s">
        <v>121</v>
      </c>
      <c r="K2909" s="206" t="s">
        <v>121</v>
      </c>
      <c r="L2909" s="206" t="str">
        <v/>
      </c>
      <c r="M2909" s="206" t="str">
        <v/>
      </c>
    </row>
    <row r="2910" spans="1:13" ht="14.4">
      <c r="A2910" s="201"/>
      <c r="B2910" s="209"/>
      <c r="C2910" s="201"/>
      <c r="D2910" s="201"/>
      <c r="E2910" s="202"/>
      <c r="F2910" s="210"/>
      <c r="G2910" s="210"/>
      <c r="H2910" s="206" t="s">
        <v>121</v>
      </c>
      <c r="I2910" s="206" t="s">
        <v>121</v>
      </c>
      <c r="J2910" s="206" t="s">
        <v>121</v>
      </c>
      <c r="K2910" s="206" t="s">
        <v>121</v>
      </c>
      <c r="L2910" s="206" t="str">
        <v/>
      </c>
      <c r="M2910" s="206" t="str">
        <v/>
      </c>
    </row>
    <row r="2911" spans="1:13" ht="14.4">
      <c r="A2911" s="201"/>
      <c r="B2911" s="209"/>
      <c r="C2911" s="201"/>
      <c r="D2911" s="201"/>
      <c r="E2911" s="202"/>
      <c r="F2911" s="210"/>
      <c r="G2911" s="210"/>
      <c r="H2911" s="206" t="s">
        <v>121</v>
      </c>
      <c r="I2911" s="206" t="s">
        <v>121</v>
      </c>
      <c r="J2911" s="206" t="s">
        <v>121</v>
      </c>
      <c r="K2911" s="206" t="s">
        <v>121</v>
      </c>
      <c r="L2911" s="206" t="str">
        <v/>
      </c>
      <c r="M2911" s="206" t="str">
        <v/>
      </c>
    </row>
    <row r="2912" spans="1:13" ht="14.4">
      <c r="A2912" s="201"/>
      <c r="B2912" s="209"/>
      <c r="C2912" s="201"/>
      <c r="D2912" s="201"/>
      <c r="E2912" s="202"/>
      <c r="F2912" s="210"/>
      <c r="G2912" s="210"/>
      <c r="H2912" s="206" t="s">
        <v>121</v>
      </c>
      <c r="I2912" s="206" t="s">
        <v>121</v>
      </c>
      <c r="J2912" s="206" t="s">
        <v>121</v>
      </c>
      <c r="K2912" s="206" t="s">
        <v>121</v>
      </c>
      <c r="L2912" s="206" t="str">
        <v/>
      </c>
      <c r="M2912" s="206" t="str">
        <v/>
      </c>
    </row>
    <row r="2913" spans="1:13" ht="14.4">
      <c r="A2913" s="201"/>
      <c r="B2913" s="209"/>
      <c r="C2913" s="201"/>
      <c r="D2913" s="201"/>
      <c r="E2913" s="202"/>
      <c r="F2913" s="210"/>
      <c r="G2913" s="210"/>
      <c r="H2913" s="206" t="s">
        <v>121</v>
      </c>
      <c r="I2913" s="206" t="s">
        <v>121</v>
      </c>
      <c r="J2913" s="206" t="s">
        <v>121</v>
      </c>
      <c r="K2913" s="206" t="s">
        <v>121</v>
      </c>
      <c r="L2913" s="206" t="str">
        <v/>
      </c>
      <c r="M2913" s="206" t="str">
        <v/>
      </c>
    </row>
    <row r="2914" spans="1:13" ht="14.4">
      <c r="A2914" s="201"/>
      <c r="B2914" s="209"/>
      <c r="C2914" s="201"/>
      <c r="D2914" s="201"/>
      <c r="E2914" s="202"/>
      <c r="F2914" s="210"/>
      <c r="G2914" s="210"/>
      <c r="H2914" s="206" t="s">
        <v>121</v>
      </c>
      <c r="I2914" s="206" t="s">
        <v>121</v>
      </c>
      <c r="J2914" s="206" t="s">
        <v>121</v>
      </c>
      <c r="K2914" s="206" t="s">
        <v>121</v>
      </c>
      <c r="L2914" s="206" t="str">
        <v/>
      </c>
      <c r="M2914" s="206" t="str">
        <v/>
      </c>
    </row>
    <row r="2915" spans="1:13" ht="14.4">
      <c r="A2915" s="201"/>
      <c r="B2915" s="209"/>
      <c r="C2915" s="201"/>
      <c r="D2915" s="201"/>
      <c r="E2915" s="202"/>
      <c r="F2915" s="210"/>
      <c r="G2915" s="210"/>
      <c r="H2915" s="206" t="s">
        <v>121</v>
      </c>
      <c r="I2915" s="206" t="s">
        <v>121</v>
      </c>
      <c r="J2915" s="206" t="s">
        <v>121</v>
      </c>
      <c r="K2915" s="206" t="s">
        <v>121</v>
      </c>
      <c r="L2915" s="206" t="str">
        <v/>
      </c>
      <c r="M2915" s="206" t="str">
        <v/>
      </c>
    </row>
    <row r="2916" spans="1:13" ht="14.4">
      <c r="A2916" s="201"/>
      <c r="B2916" s="209"/>
      <c r="C2916" s="201"/>
      <c r="D2916" s="201"/>
      <c r="E2916" s="202"/>
      <c r="F2916" s="210"/>
      <c r="G2916" s="210"/>
      <c r="H2916" s="206" t="s">
        <v>121</v>
      </c>
      <c r="I2916" s="206" t="s">
        <v>121</v>
      </c>
      <c r="J2916" s="206" t="s">
        <v>121</v>
      </c>
      <c r="K2916" s="206" t="s">
        <v>121</v>
      </c>
      <c r="L2916" s="206" t="str">
        <v/>
      </c>
      <c r="M2916" s="206" t="str">
        <v/>
      </c>
    </row>
    <row r="2917" spans="1:13" ht="14.4">
      <c r="A2917" s="201"/>
      <c r="B2917" s="209"/>
      <c r="C2917" s="201"/>
      <c r="D2917" s="201"/>
      <c r="E2917" s="202"/>
      <c r="F2917" s="210"/>
      <c r="G2917" s="210"/>
      <c r="H2917" s="206" t="s">
        <v>121</v>
      </c>
      <c r="I2917" s="206" t="s">
        <v>121</v>
      </c>
      <c r="J2917" s="206" t="s">
        <v>121</v>
      </c>
      <c r="K2917" s="206" t="s">
        <v>121</v>
      </c>
      <c r="L2917" s="206" t="str">
        <v/>
      </c>
      <c r="M2917" s="206" t="str">
        <v/>
      </c>
    </row>
    <row r="2918" spans="1:13" ht="14.4">
      <c r="A2918" s="201"/>
      <c r="B2918" s="209"/>
      <c r="C2918" s="201"/>
      <c r="D2918" s="201"/>
      <c r="E2918" s="202"/>
      <c r="F2918" s="210"/>
      <c r="G2918" s="210"/>
      <c r="H2918" s="206" t="s">
        <v>121</v>
      </c>
      <c r="I2918" s="206" t="s">
        <v>121</v>
      </c>
      <c r="J2918" s="206" t="s">
        <v>121</v>
      </c>
      <c r="K2918" s="206" t="s">
        <v>121</v>
      </c>
      <c r="L2918" s="206" t="str">
        <v/>
      </c>
      <c r="M2918" s="206" t="str">
        <v/>
      </c>
    </row>
    <row r="2919" spans="1:13" ht="14.4">
      <c r="A2919" s="201"/>
      <c r="B2919" s="209"/>
      <c r="C2919" s="201"/>
      <c r="D2919" s="201"/>
      <c r="E2919" s="202"/>
      <c r="F2919" s="210"/>
      <c r="G2919" s="210"/>
      <c r="H2919" s="206" t="s">
        <v>121</v>
      </c>
      <c r="I2919" s="206" t="s">
        <v>121</v>
      </c>
      <c r="J2919" s="206" t="s">
        <v>121</v>
      </c>
      <c r="K2919" s="206" t="s">
        <v>121</v>
      </c>
      <c r="L2919" s="206" t="str">
        <v/>
      </c>
      <c r="M2919" s="206" t="str">
        <v/>
      </c>
    </row>
    <row r="2920" spans="1:13" ht="14.4">
      <c r="A2920" s="201"/>
      <c r="B2920" s="209"/>
      <c r="C2920" s="201"/>
      <c r="D2920" s="201"/>
      <c r="E2920" s="202"/>
      <c r="F2920" s="210"/>
      <c r="G2920" s="210"/>
      <c r="H2920" s="206" t="s">
        <v>121</v>
      </c>
      <c r="I2920" s="206" t="s">
        <v>121</v>
      </c>
      <c r="J2920" s="206" t="s">
        <v>121</v>
      </c>
      <c r="K2920" s="206" t="s">
        <v>121</v>
      </c>
      <c r="L2920" s="206" t="str">
        <v/>
      </c>
      <c r="M2920" s="206" t="str">
        <v/>
      </c>
    </row>
    <row r="2921" spans="1:13" ht="14.4">
      <c r="A2921" s="201"/>
      <c r="B2921" s="209"/>
      <c r="C2921" s="201"/>
      <c r="D2921" s="201"/>
      <c r="E2921" s="202"/>
      <c r="F2921" s="210"/>
      <c r="G2921" s="210"/>
      <c r="H2921" s="206" t="s">
        <v>121</v>
      </c>
      <c r="I2921" s="206" t="s">
        <v>121</v>
      </c>
      <c r="J2921" s="206" t="s">
        <v>121</v>
      </c>
      <c r="K2921" s="206" t="s">
        <v>121</v>
      </c>
      <c r="L2921" s="206" t="str">
        <v/>
      </c>
      <c r="M2921" s="206" t="str">
        <v/>
      </c>
    </row>
    <row r="2922" spans="1:13" ht="14.4">
      <c r="A2922" s="201"/>
      <c r="B2922" s="209"/>
      <c r="C2922" s="201"/>
      <c r="D2922" s="201"/>
      <c r="E2922" s="202"/>
      <c r="F2922" s="210"/>
      <c r="G2922" s="210"/>
      <c r="H2922" s="206" t="s">
        <v>121</v>
      </c>
      <c r="I2922" s="206" t="s">
        <v>121</v>
      </c>
      <c r="J2922" s="206" t="s">
        <v>121</v>
      </c>
      <c r="K2922" s="206" t="s">
        <v>121</v>
      </c>
      <c r="L2922" s="206" t="str">
        <v/>
      </c>
      <c r="M2922" s="206" t="str">
        <v/>
      </c>
    </row>
    <row r="2923" spans="1:13" ht="14.4">
      <c r="A2923" s="201"/>
      <c r="B2923" s="209"/>
      <c r="C2923" s="201"/>
      <c r="D2923" s="201"/>
      <c r="E2923" s="202"/>
      <c r="F2923" s="210"/>
      <c r="G2923" s="210"/>
      <c r="H2923" s="206" t="s">
        <v>121</v>
      </c>
      <c r="I2923" s="206" t="s">
        <v>121</v>
      </c>
      <c r="J2923" s="206" t="s">
        <v>121</v>
      </c>
      <c r="K2923" s="206" t="s">
        <v>121</v>
      </c>
      <c r="L2923" s="206" t="str">
        <v/>
      </c>
      <c r="M2923" s="206" t="str">
        <v/>
      </c>
    </row>
    <row r="2924" spans="1:13" ht="14.4">
      <c r="A2924" s="201"/>
      <c r="B2924" s="209"/>
      <c r="C2924" s="201"/>
      <c r="D2924" s="201"/>
      <c r="E2924" s="202"/>
      <c r="F2924" s="210"/>
      <c r="G2924" s="210"/>
      <c r="H2924" s="206" t="s">
        <v>121</v>
      </c>
      <c r="I2924" s="206" t="s">
        <v>121</v>
      </c>
      <c r="J2924" s="206" t="s">
        <v>121</v>
      </c>
      <c r="K2924" s="206" t="s">
        <v>121</v>
      </c>
      <c r="L2924" s="206" t="str">
        <v/>
      </c>
      <c r="M2924" s="206" t="str">
        <v/>
      </c>
    </row>
    <row r="2925" spans="1:13" ht="14.4">
      <c r="A2925" s="201"/>
      <c r="B2925" s="209"/>
      <c r="C2925" s="201"/>
      <c r="D2925" s="201"/>
      <c r="E2925" s="202"/>
      <c r="F2925" s="210"/>
      <c r="G2925" s="210"/>
      <c r="H2925" s="206" t="s">
        <v>121</v>
      </c>
      <c r="I2925" s="206" t="s">
        <v>121</v>
      </c>
      <c r="J2925" s="206" t="s">
        <v>121</v>
      </c>
      <c r="K2925" s="206" t="s">
        <v>121</v>
      </c>
      <c r="L2925" s="206" t="str">
        <v/>
      </c>
      <c r="M2925" s="206" t="str">
        <v/>
      </c>
    </row>
    <row r="2926" spans="1:13" ht="14.4">
      <c r="A2926" s="201"/>
      <c r="B2926" s="209"/>
      <c r="C2926" s="201"/>
      <c r="D2926" s="201"/>
      <c r="E2926" s="202"/>
      <c r="F2926" s="210"/>
      <c r="G2926" s="210"/>
      <c r="H2926" s="206" t="s">
        <v>121</v>
      </c>
      <c r="I2926" s="206" t="s">
        <v>121</v>
      </c>
      <c r="J2926" s="206" t="s">
        <v>121</v>
      </c>
      <c r="K2926" s="206" t="s">
        <v>121</v>
      </c>
      <c r="L2926" s="206" t="str">
        <v/>
      </c>
      <c r="M2926" s="206" t="str">
        <v/>
      </c>
    </row>
    <row r="2927" spans="1:13" ht="14.4">
      <c r="A2927" s="201"/>
      <c r="B2927" s="209"/>
      <c r="C2927" s="201"/>
      <c r="D2927" s="201"/>
      <c r="E2927" s="202"/>
      <c r="F2927" s="210"/>
      <c r="G2927" s="210"/>
      <c r="H2927" s="206" t="s">
        <v>121</v>
      </c>
      <c r="I2927" s="206" t="s">
        <v>121</v>
      </c>
      <c r="J2927" s="206" t="s">
        <v>121</v>
      </c>
      <c r="K2927" s="206" t="s">
        <v>121</v>
      </c>
      <c r="L2927" s="206" t="str">
        <v/>
      </c>
      <c r="M2927" s="206" t="str">
        <v/>
      </c>
    </row>
    <row r="2928" spans="1:13" ht="14.4">
      <c r="A2928" s="201"/>
      <c r="B2928" s="209"/>
      <c r="C2928" s="201"/>
      <c r="D2928" s="201"/>
      <c r="E2928" s="202"/>
      <c r="F2928" s="210"/>
      <c r="G2928" s="210"/>
      <c r="H2928" s="206" t="s">
        <v>121</v>
      </c>
      <c r="I2928" s="206" t="s">
        <v>121</v>
      </c>
      <c r="J2928" s="206" t="s">
        <v>121</v>
      </c>
      <c r="K2928" s="206" t="s">
        <v>121</v>
      </c>
      <c r="L2928" s="206" t="str">
        <v/>
      </c>
      <c r="M2928" s="206" t="str">
        <v/>
      </c>
    </row>
    <row r="2929" spans="1:13" ht="14.4">
      <c r="A2929" s="201"/>
      <c r="B2929" s="209"/>
      <c r="C2929" s="201"/>
      <c r="D2929" s="201"/>
      <c r="E2929" s="202"/>
      <c r="F2929" s="210"/>
      <c r="G2929" s="210"/>
      <c r="H2929" s="206" t="s">
        <v>121</v>
      </c>
      <c r="I2929" s="206" t="s">
        <v>121</v>
      </c>
      <c r="J2929" s="206" t="s">
        <v>121</v>
      </c>
      <c r="K2929" s="206" t="s">
        <v>121</v>
      </c>
      <c r="L2929" s="206" t="str">
        <v/>
      </c>
      <c r="M2929" s="206" t="str">
        <v/>
      </c>
    </row>
    <row r="2930" spans="1:13" ht="14.4">
      <c r="A2930" s="201"/>
      <c r="B2930" s="209"/>
      <c r="C2930" s="201"/>
      <c r="D2930" s="201"/>
      <c r="E2930" s="202"/>
      <c r="F2930" s="210"/>
      <c r="G2930" s="210"/>
      <c r="H2930" s="206" t="s">
        <v>121</v>
      </c>
      <c r="I2930" s="206" t="s">
        <v>121</v>
      </c>
      <c r="J2930" s="206" t="s">
        <v>121</v>
      </c>
      <c r="K2930" s="206" t="s">
        <v>121</v>
      </c>
      <c r="L2930" s="206" t="str">
        <v/>
      </c>
      <c r="M2930" s="206" t="str">
        <v/>
      </c>
    </row>
    <row r="2931" spans="1:13" ht="14.4">
      <c r="A2931" s="201"/>
      <c r="B2931" s="209"/>
      <c r="C2931" s="201"/>
      <c r="D2931" s="201"/>
      <c r="E2931" s="202"/>
      <c r="F2931" s="210"/>
      <c r="G2931" s="210"/>
      <c r="H2931" s="206" t="s">
        <v>121</v>
      </c>
      <c r="I2931" s="206" t="s">
        <v>121</v>
      </c>
      <c r="J2931" s="206" t="s">
        <v>121</v>
      </c>
      <c r="K2931" s="206" t="s">
        <v>121</v>
      </c>
      <c r="L2931" s="206" t="str">
        <v/>
      </c>
      <c r="M2931" s="206" t="str">
        <v/>
      </c>
    </row>
    <row r="2932" spans="1:13" ht="14.4">
      <c r="A2932" s="201"/>
      <c r="B2932" s="209"/>
      <c r="C2932" s="201"/>
      <c r="D2932" s="201"/>
      <c r="E2932" s="202"/>
      <c r="F2932" s="210"/>
      <c r="G2932" s="210"/>
      <c r="H2932" s="206" t="s">
        <v>121</v>
      </c>
      <c r="I2932" s="206" t="s">
        <v>121</v>
      </c>
      <c r="J2932" s="206" t="s">
        <v>121</v>
      </c>
      <c r="K2932" s="206" t="s">
        <v>121</v>
      </c>
      <c r="L2932" s="206" t="str">
        <v/>
      </c>
      <c r="M2932" s="206" t="str">
        <v/>
      </c>
    </row>
    <row r="2933" spans="1:13" ht="14.4">
      <c r="A2933" s="201"/>
      <c r="B2933" s="209"/>
      <c r="C2933" s="201"/>
      <c r="D2933" s="201"/>
      <c r="E2933" s="202"/>
      <c r="F2933" s="210"/>
      <c r="G2933" s="210"/>
      <c r="H2933" s="206" t="s">
        <v>121</v>
      </c>
      <c r="I2933" s="206" t="s">
        <v>121</v>
      </c>
      <c r="J2933" s="206" t="s">
        <v>121</v>
      </c>
      <c r="K2933" s="206" t="s">
        <v>121</v>
      </c>
      <c r="L2933" s="206" t="str">
        <v/>
      </c>
      <c r="M2933" s="206" t="str">
        <v/>
      </c>
    </row>
    <row r="2934" spans="1:13" ht="14.4">
      <c r="A2934" s="201"/>
      <c r="B2934" s="209"/>
      <c r="C2934" s="201"/>
      <c r="D2934" s="201"/>
      <c r="E2934" s="202"/>
      <c r="F2934" s="210"/>
      <c r="G2934" s="210"/>
      <c r="H2934" s="206" t="s">
        <v>121</v>
      </c>
      <c r="I2934" s="206" t="s">
        <v>121</v>
      </c>
      <c r="J2934" s="206" t="s">
        <v>121</v>
      </c>
      <c r="K2934" s="206" t="s">
        <v>121</v>
      </c>
      <c r="L2934" s="206" t="str">
        <v/>
      </c>
      <c r="M2934" s="206" t="str">
        <v/>
      </c>
    </row>
    <row r="2935" spans="1:13" ht="14.4">
      <c r="A2935" s="201"/>
      <c r="B2935" s="209"/>
      <c r="C2935" s="201"/>
      <c r="D2935" s="201"/>
      <c r="E2935" s="202"/>
      <c r="F2935" s="210"/>
      <c r="G2935" s="210"/>
      <c r="H2935" s="206" t="s">
        <v>121</v>
      </c>
      <c r="I2935" s="206" t="s">
        <v>121</v>
      </c>
      <c r="J2935" s="206" t="s">
        <v>121</v>
      </c>
      <c r="K2935" s="206" t="s">
        <v>121</v>
      </c>
      <c r="L2935" s="206" t="str">
        <v/>
      </c>
      <c r="M2935" s="206" t="str">
        <v/>
      </c>
    </row>
    <row r="2936" spans="1:13" ht="14.4">
      <c r="A2936" s="201"/>
      <c r="B2936" s="209"/>
      <c r="C2936" s="201"/>
      <c r="D2936" s="201"/>
      <c r="E2936" s="202"/>
      <c r="F2936" s="210"/>
      <c r="G2936" s="210"/>
      <c r="H2936" s="206" t="s">
        <v>121</v>
      </c>
      <c r="I2936" s="206" t="s">
        <v>121</v>
      </c>
      <c r="J2936" s="206" t="s">
        <v>121</v>
      </c>
      <c r="K2936" s="206" t="s">
        <v>121</v>
      </c>
      <c r="L2936" s="206" t="str">
        <v/>
      </c>
      <c r="M2936" s="206" t="str">
        <v/>
      </c>
    </row>
    <row r="2937" spans="1:13" ht="14.4">
      <c r="A2937" s="201"/>
      <c r="B2937" s="209"/>
      <c r="C2937" s="201"/>
      <c r="D2937" s="201"/>
      <c r="E2937" s="202"/>
      <c r="F2937" s="210"/>
      <c r="G2937" s="210"/>
      <c r="H2937" s="206" t="s">
        <v>121</v>
      </c>
      <c r="I2937" s="206" t="s">
        <v>121</v>
      </c>
      <c r="J2937" s="206" t="s">
        <v>121</v>
      </c>
      <c r="K2937" s="206" t="s">
        <v>121</v>
      </c>
      <c r="L2937" s="206" t="str">
        <v/>
      </c>
      <c r="M2937" s="206" t="str">
        <v/>
      </c>
    </row>
    <row r="2938" spans="1:13" ht="14.4">
      <c r="A2938" s="201"/>
      <c r="B2938" s="209"/>
      <c r="C2938" s="201"/>
      <c r="D2938" s="201"/>
      <c r="E2938" s="202"/>
      <c r="F2938" s="210"/>
      <c r="G2938" s="210"/>
      <c r="H2938" s="206" t="s">
        <v>121</v>
      </c>
      <c r="I2938" s="206" t="s">
        <v>121</v>
      </c>
      <c r="J2938" s="206" t="s">
        <v>121</v>
      </c>
      <c r="K2938" s="206" t="s">
        <v>121</v>
      </c>
      <c r="L2938" s="206" t="str">
        <v/>
      </c>
      <c r="M2938" s="206" t="str">
        <v/>
      </c>
    </row>
    <row r="2939" spans="1:13" ht="14.4">
      <c r="A2939" s="201"/>
      <c r="B2939" s="209"/>
      <c r="C2939" s="201"/>
      <c r="D2939" s="201"/>
      <c r="E2939" s="202"/>
      <c r="F2939" s="210"/>
      <c r="G2939" s="210"/>
      <c r="H2939" s="206" t="s">
        <v>121</v>
      </c>
      <c r="I2939" s="206" t="s">
        <v>121</v>
      </c>
      <c r="J2939" s="206" t="s">
        <v>121</v>
      </c>
      <c r="K2939" s="206" t="s">
        <v>121</v>
      </c>
      <c r="L2939" s="206" t="str">
        <v/>
      </c>
      <c r="M2939" s="206" t="str">
        <v/>
      </c>
    </row>
    <row r="2940" spans="1:13" ht="14.4">
      <c r="A2940" s="201"/>
      <c r="B2940" s="209"/>
      <c r="C2940" s="201"/>
      <c r="D2940" s="201"/>
      <c r="E2940" s="202"/>
      <c r="F2940" s="210"/>
      <c r="G2940" s="210"/>
      <c r="H2940" s="206" t="s">
        <v>121</v>
      </c>
      <c r="I2940" s="206" t="s">
        <v>121</v>
      </c>
      <c r="J2940" s="206" t="s">
        <v>121</v>
      </c>
      <c r="K2940" s="206" t="s">
        <v>121</v>
      </c>
      <c r="L2940" s="206" t="str">
        <v/>
      </c>
      <c r="M2940" s="206" t="str">
        <v/>
      </c>
    </row>
    <row r="2941" spans="1:13" ht="14.4">
      <c r="A2941" s="201"/>
      <c r="B2941" s="209"/>
      <c r="C2941" s="201"/>
      <c r="D2941" s="201"/>
      <c r="E2941" s="202"/>
      <c r="F2941" s="210"/>
      <c r="G2941" s="210"/>
      <c r="H2941" s="206" t="s">
        <v>121</v>
      </c>
      <c r="I2941" s="206" t="s">
        <v>121</v>
      </c>
      <c r="J2941" s="206" t="s">
        <v>121</v>
      </c>
      <c r="K2941" s="206" t="s">
        <v>121</v>
      </c>
      <c r="L2941" s="206" t="str">
        <v/>
      </c>
      <c r="M2941" s="206" t="str">
        <v/>
      </c>
    </row>
    <row r="2942" spans="1:13" ht="14.4">
      <c r="A2942" s="201"/>
      <c r="B2942" s="209"/>
      <c r="C2942" s="201"/>
      <c r="D2942" s="201"/>
      <c r="E2942" s="202"/>
      <c r="F2942" s="210"/>
      <c r="G2942" s="210"/>
      <c r="H2942" s="206" t="s">
        <v>121</v>
      </c>
      <c r="I2942" s="206" t="s">
        <v>121</v>
      </c>
      <c r="J2942" s="206" t="s">
        <v>121</v>
      </c>
      <c r="K2942" s="206" t="s">
        <v>121</v>
      </c>
      <c r="L2942" s="206" t="str">
        <v/>
      </c>
      <c r="M2942" s="206" t="str">
        <v/>
      </c>
    </row>
    <row r="2943" spans="1:13" ht="14.4">
      <c r="A2943" s="201"/>
      <c r="B2943" s="209"/>
      <c r="C2943" s="201"/>
      <c r="D2943" s="201"/>
      <c r="E2943" s="202"/>
      <c r="F2943" s="210"/>
      <c r="G2943" s="210"/>
      <c r="H2943" s="206" t="s">
        <v>121</v>
      </c>
      <c r="I2943" s="206" t="s">
        <v>121</v>
      </c>
      <c r="J2943" s="206" t="s">
        <v>121</v>
      </c>
      <c r="K2943" s="206" t="s">
        <v>121</v>
      </c>
      <c r="L2943" s="206" t="str">
        <v/>
      </c>
      <c r="M2943" s="206" t="str">
        <v/>
      </c>
    </row>
    <row r="2944" spans="1:13" ht="14.4">
      <c r="A2944" s="201"/>
      <c r="B2944" s="209"/>
      <c r="C2944" s="201"/>
      <c r="D2944" s="201"/>
      <c r="E2944" s="202"/>
      <c r="F2944" s="210"/>
      <c r="G2944" s="210"/>
      <c r="H2944" s="206" t="s">
        <v>121</v>
      </c>
      <c r="I2944" s="206" t="s">
        <v>121</v>
      </c>
      <c r="J2944" s="206" t="s">
        <v>121</v>
      </c>
      <c r="K2944" s="206" t="s">
        <v>121</v>
      </c>
      <c r="L2944" s="206" t="str">
        <v/>
      </c>
      <c r="M2944" s="206" t="str">
        <v/>
      </c>
    </row>
    <row r="2945" spans="1:13" ht="14.4">
      <c r="A2945" s="201"/>
      <c r="B2945" s="209"/>
      <c r="C2945" s="201"/>
      <c r="D2945" s="201"/>
      <c r="E2945" s="202"/>
      <c r="F2945" s="210"/>
      <c r="G2945" s="210"/>
      <c r="H2945" s="206" t="s">
        <v>121</v>
      </c>
      <c r="I2945" s="206" t="s">
        <v>121</v>
      </c>
      <c r="J2945" s="206" t="s">
        <v>121</v>
      </c>
      <c r="K2945" s="206" t="s">
        <v>121</v>
      </c>
      <c r="L2945" s="206" t="str">
        <v/>
      </c>
      <c r="M2945" s="206" t="str">
        <v/>
      </c>
    </row>
    <row r="2946" spans="1:13" ht="14.4">
      <c r="A2946" s="201"/>
      <c r="B2946" s="209"/>
      <c r="C2946" s="201"/>
      <c r="D2946" s="201"/>
      <c r="E2946" s="202"/>
      <c r="F2946" s="210"/>
      <c r="G2946" s="210"/>
      <c r="H2946" s="206" t="s">
        <v>121</v>
      </c>
      <c r="I2946" s="206" t="s">
        <v>121</v>
      </c>
      <c r="J2946" s="206" t="s">
        <v>121</v>
      </c>
      <c r="K2946" s="206" t="s">
        <v>121</v>
      </c>
      <c r="L2946" s="206" t="str">
        <v/>
      </c>
      <c r="M2946" s="206" t="str">
        <v/>
      </c>
    </row>
    <row r="2947" spans="1:13" ht="14.4">
      <c r="A2947" s="201"/>
      <c r="B2947" s="209"/>
      <c r="C2947" s="201"/>
      <c r="D2947" s="201"/>
      <c r="E2947" s="202"/>
      <c r="F2947" s="210"/>
      <c r="G2947" s="210"/>
      <c r="H2947" s="206" t="s">
        <v>121</v>
      </c>
      <c r="I2947" s="206" t="s">
        <v>121</v>
      </c>
      <c r="J2947" s="206" t="s">
        <v>121</v>
      </c>
      <c r="K2947" s="206" t="s">
        <v>121</v>
      </c>
      <c r="L2947" s="206" t="str">
        <v/>
      </c>
      <c r="M2947" s="206" t="str">
        <v/>
      </c>
    </row>
    <row r="2948" spans="1:13" ht="14.4">
      <c r="A2948" s="201"/>
      <c r="B2948" s="209"/>
      <c r="C2948" s="201"/>
      <c r="D2948" s="201"/>
      <c r="E2948" s="202"/>
      <c r="F2948" s="210"/>
      <c r="G2948" s="210"/>
      <c r="H2948" s="206" t="s">
        <v>121</v>
      </c>
      <c r="I2948" s="206" t="s">
        <v>121</v>
      </c>
      <c r="J2948" s="206" t="s">
        <v>121</v>
      </c>
      <c r="K2948" s="206" t="s">
        <v>121</v>
      </c>
      <c r="L2948" s="206" t="str">
        <v/>
      </c>
      <c r="M2948" s="206" t="str">
        <v/>
      </c>
    </row>
    <row r="2949" spans="1:13" ht="14.4">
      <c r="A2949" s="201"/>
      <c r="B2949" s="209"/>
      <c r="C2949" s="201"/>
      <c r="D2949" s="201"/>
      <c r="E2949" s="202"/>
      <c r="F2949" s="210"/>
      <c r="G2949" s="210"/>
      <c r="H2949" s="206" t="s">
        <v>121</v>
      </c>
      <c r="I2949" s="206" t="s">
        <v>121</v>
      </c>
      <c r="J2949" s="206" t="s">
        <v>121</v>
      </c>
      <c r="K2949" s="206" t="s">
        <v>121</v>
      </c>
      <c r="L2949" s="206" t="str">
        <v/>
      </c>
      <c r="M2949" s="206" t="str">
        <v/>
      </c>
    </row>
    <row r="2950" spans="1:13" ht="14.4">
      <c r="A2950" s="201"/>
      <c r="B2950" s="209"/>
      <c r="C2950" s="201"/>
      <c r="D2950" s="201"/>
      <c r="E2950" s="202"/>
      <c r="F2950" s="210"/>
      <c r="G2950" s="210"/>
      <c r="H2950" s="206" t="s">
        <v>121</v>
      </c>
      <c r="I2950" s="206" t="s">
        <v>121</v>
      </c>
      <c r="J2950" s="206" t="s">
        <v>121</v>
      </c>
      <c r="K2950" s="206" t="s">
        <v>121</v>
      </c>
      <c r="L2950" s="206" t="str">
        <v/>
      </c>
      <c r="M2950" s="206" t="str">
        <v/>
      </c>
    </row>
    <row r="2951" spans="1:13" ht="14.4">
      <c r="A2951" s="201"/>
      <c r="B2951" s="209"/>
      <c r="C2951" s="201"/>
      <c r="D2951" s="201"/>
      <c r="E2951" s="202"/>
      <c r="F2951" s="210"/>
      <c r="G2951" s="210"/>
      <c r="H2951" s="206" t="s">
        <v>121</v>
      </c>
      <c r="I2951" s="206" t="s">
        <v>121</v>
      </c>
      <c r="J2951" s="206" t="s">
        <v>121</v>
      </c>
      <c r="K2951" s="206" t="s">
        <v>121</v>
      </c>
      <c r="L2951" s="206" t="str">
        <v/>
      </c>
      <c r="M2951" s="206" t="str">
        <v/>
      </c>
    </row>
    <row r="2952" spans="1:13" ht="14.4">
      <c r="A2952" s="201"/>
      <c r="B2952" s="209"/>
      <c r="C2952" s="201"/>
      <c r="D2952" s="201"/>
      <c r="E2952" s="202"/>
      <c r="F2952" s="210"/>
      <c r="G2952" s="210"/>
      <c r="H2952" s="206" t="s">
        <v>121</v>
      </c>
      <c r="I2952" s="206" t="s">
        <v>121</v>
      </c>
      <c r="J2952" s="206" t="s">
        <v>121</v>
      </c>
      <c r="K2952" s="206" t="s">
        <v>121</v>
      </c>
      <c r="L2952" s="206" t="str">
        <v/>
      </c>
      <c r="M2952" s="206" t="str">
        <v/>
      </c>
    </row>
    <row r="2953" spans="1:13" ht="14.4">
      <c r="A2953" s="201"/>
      <c r="B2953" s="209"/>
      <c r="C2953" s="201"/>
      <c r="D2953" s="201"/>
      <c r="E2953" s="202"/>
      <c r="F2953" s="210"/>
      <c r="G2953" s="210"/>
      <c r="H2953" s="206" t="s">
        <v>121</v>
      </c>
      <c r="I2953" s="206" t="s">
        <v>121</v>
      </c>
      <c r="J2953" s="206" t="s">
        <v>121</v>
      </c>
      <c r="K2953" s="206" t="s">
        <v>121</v>
      </c>
      <c r="L2953" s="206" t="str">
        <v/>
      </c>
      <c r="M2953" s="206" t="str">
        <v/>
      </c>
    </row>
    <row r="2954" spans="1:13" ht="14.4">
      <c r="A2954" s="201"/>
      <c r="B2954" s="209"/>
      <c r="C2954" s="201"/>
      <c r="D2954" s="201"/>
      <c r="E2954" s="202"/>
      <c r="F2954" s="210"/>
      <c r="G2954" s="210"/>
      <c r="H2954" s="206" t="s">
        <v>121</v>
      </c>
      <c r="I2954" s="206" t="s">
        <v>121</v>
      </c>
      <c r="J2954" s="206" t="s">
        <v>121</v>
      </c>
      <c r="K2954" s="206" t="s">
        <v>121</v>
      </c>
      <c r="L2954" s="206" t="str">
        <v/>
      </c>
      <c r="M2954" s="206" t="str">
        <v/>
      </c>
    </row>
    <row r="2955" spans="1:13" ht="14.4">
      <c r="A2955" s="201"/>
      <c r="B2955" s="209"/>
      <c r="C2955" s="201"/>
      <c r="D2955" s="201"/>
      <c r="E2955" s="202"/>
      <c r="F2955" s="210"/>
      <c r="G2955" s="210"/>
      <c r="H2955" s="206" t="s">
        <v>121</v>
      </c>
      <c r="I2955" s="206" t="s">
        <v>121</v>
      </c>
      <c r="J2955" s="206" t="s">
        <v>121</v>
      </c>
      <c r="K2955" s="206" t="s">
        <v>121</v>
      </c>
      <c r="L2955" s="206" t="str">
        <v/>
      </c>
      <c r="M2955" s="206" t="str">
        <v/>
      </c>
    </row>
    <row r="2956" spans="1:13" ht="14.4">
      <c r="A2956" s="201"/>
      <c r="B2956" s="209"/>
      <c r="C2956" s="201"/>
      <c r="D2956" s="201"/>
      <c r="E2956" s="202"/>
      <c r="F2956" s="210"/>
      <c r="G2956" s="210"/>
      <c r="H2956" s="206" t="s">
        <v>121</v>
      </c>
      <c r="I2956" s="206" t="s">
        <v>121</v>
      </c>
      <c r="J2956" s="206" t="s">
        <v>121</v>
      </c>
      <c r="K2956" s="206" t="s">
        <v>121</v>
      </c>
      <c r="L2956" s="206" t="str">
        <v/>
      </c>
      <c r="M2956" s="206" t="str">
        <v/>
      </c>
    </row>
    <row r="2957" spans="1:13" ht="14.4">
      <c r="A2957" s="201"/>
      <c r="B2957" s="209"/>
      <c r="C2957" s="201"/>
      <c r="D2957" s="201"/>
      <c r="E2957" s="202"/>
      <c r="F2957" s="210"/>
      <c r="G2957" s="210"/>
      <c r="H2957" s="206" t="s">
        <v>121</v>
      </c>
      <c r="I2957" s="206" t="s">
        <v>121</v>
      </c>
      <c r="J2957" s="206" t="s">
        <v>121</v>
      </c>
      <c r="K2957" s="206" t="s">
        <v>121</v>
      </c>
      <c r="L2957" s="206" t="str">
        <v/>
      </c>
      <c r="M2957" s="206" t="str">
        <v/>
      </c>
    </row>
    <row r="2958" spans="1:13" ht="14.4">
      <c r="A2958" s="201"/>
      <c r="B2958" s="209"/>
      <c r="C2958" s="201"/>
      <c r="D2958" s="201"/>
      <c r="E2958" s="202"/>
      <c r="F2958" s="210"/>
      <c r="G2958" s="210"/>
      <c r="H2958" s="206" t="s">
        <v>121</v>
      </c>
      <c r="I2958" s="206" t="s">
        <v>121</v>
      </c>
      <c r="J2958" s="206" t="s">
        <v>121</v>
      </c>
      <c r="K2958" s="206" t="s">
        <v>121</v>
      </c>
      <c r="L2958" s="206" t="str">
        <v/>
      </c>
      <c r="M2958" s="206" t="str">
        <v/>
      </c>
    </row>
    <row r="2959" spans="1:13" ht="14.4">
      <c r="A2959" s="201"/>
      <c r="B2959" s="209"/>
      <c r="C2959" s="201"/>
      <c r="D2959" s="201"/>
      <c r="E2959" s="202"/>
      <c r="F2959" s="210"/>
      <c r="G2959" s="210"/>
      <c r="H2959" s="206" t="s">
        <v>121</v>
      </c>
      <c r="I2959" s="206" t="s">
        <v>121</v>
      </c>
      <c r="J2959" s="206" t="s">
        <v>121</v>
      </c>
      <c r="K2959" s="206" t="s">
        <v>121</v>
      </c>
      <c r="L2959" s="206" t="str">
        <v/>
      </c>
      <c r="M2959" s="206" t="str">
        <v/>
      </c>
    </row>
    <row r="2960" spans="1:13" ht="14.4">
      <c r="A2960" s="201"/>
      <c r="B2960" s="209"/>
      <c r="C2960" s="201"/>
      <c r="D2960" s="201"/>
      <c r="E2960" s="202"/>
      <c r="F2960" s="210"/>
      <c r="G2960" s="210"/>
      <c r="H2960" s="206" t="s">
        <v>121</v>
      </c>
      <c r="I2960" s="206" t="s">
        <v>121</v>
      </c>
      <c r="J2960" s="206" t="s">
        <v>121</v>
      </c>
      <c r="K2960" s="206" t="s">
        <v>121</v>
      </c>
      <c r="L2960" s="206" t="str">
        <v/>
      </c>
      <c r="M2960" s="206" t="str">
        <v/>
      </c>
    </row>
    <row r="2961" spans="1:13" ht="14.4">
      <c r="A2961" s="201"/>
      <c r="B2961" s="209"/>
      <c r="C2961" s="201"/>
      <c r="D2961" s="201"/>
      <c r="E2961" s="202"/>
      <c r="F2961" s="210"/>
      <c r="G2961" s="210"/>
      <c r="H2961" s="206" t="s">
        <v>121</v>
      </c>
      <c r="I2961" s="206" t="s">
        <v>121</v>
      </c>
      <c r="J2961" s="206" t="s">
        <v>121</v>
      </c>
      <c r="K2961" s="206" t="s">
        <v>121</v>
      </c>
      <c r="L2961" s="206" t="str">
        <v/>
      </c>
      <c r="M2961" s="206" t="str">
        <v/>
      </c>
    </row>
    <row r="2962" spans="1:13" ht="14.4">
      <c r="A2962" s="201"/>
      <c r="B2962" s="209"/>
      <c r="C2962" s="201"/>
      <c r="D2962" s="201"/>
      <c r="E2962" s="202"/>
      <c r="F2962" s="210"/>
      <c r="G2962" s="210"/>
      <c r="H2962" s="206" t="s">
        <v>121</v>
      </c>
      <c r="I2962" s="206" t="s">
        <v>121</v>
      </c>
      <c r="J2962" s="206" t="s">
        <v>121</v>
      </c>
      <c r="K2962" s="206" t="s">
        <v>121</v>
      </c>
      <c r="L2962" s="206" t="str">
        <v/>
      </c>
      <c r="M2962" s="206" t="str">
        <v/>
      </c>
    </row>
    <row r="2963" spans="1:13" ht="14.4">
      <c r="A2963" s="201"/>
      <c r="B2963" s="209"/>
      <c r="C2963" s="201"/>
      <c r="D2963" s="201"/>
      <c r="E2963" s="202"/>
      <c r="F2963" s="210"/>
      <c r="G2963" s="210"/>
      <c r="H2963" s="206" t="s">
        <v>121</v>
      </c>
      <c r="I2963" s="206" t="s">
        <v>121</v>
      </c>
      <c r="J2963" s="206" t="s">
        <v>121</v>
      </c>
      <c r="K2963" s="206" t="s">
        <v>121</v>
      </c>
      <c r="L2963" s="206" t="str">
        <v/>
      </c>
      <c r="M2963" s="206" t="str">
        <v/>
      </c>
    </row>
    <row r="2964" spans="1:13" ht="14.4">
      <c r="A2964" s="201"/>
      <c r="B2964" s="209"/>
      <c r="C2964" s="201"/>
      <c r="D2964" s="201"/>
      <c r="E2964" s="202"/>
      <c r="F2964" s="210"/>
      <c r="G2964" s="210"/>
      <c r="H2964" s="206" t="s">
        <v>121</v>
      </c>
      <c r="I2964" s="206" t="s">
        <v>121</v>
      </c>
      <c r="J2964" s="206" t="s">
        <v>121</v>
      </c>
      <c r="K2964" s="206" t="s">
        <v>121</v>
      </c>
      <c r="L2964" s="206" t="str">
        <v/>
      </c>
      <c r="M2964" s="206" t="str">
        <v/>
      </c>
    </row>
    <row r="2965" spans="1:13" ht="14.4">
      <c r="A2965" s="201"/>
      <c r="B2965" s="209"/>
      <c r="C2965" s="201"/>
      <c r="D2965" s="201"/>
      <c r="E2965" s="202"/>
      <c r="F2965" s="210"/>
      <c r="G2965" s="210"/>
      <c r="H2965" s="206" t="s">
        <v>121</v>
      </c>
      <c r="I2965" s="206" t="s">
        <v>121</v>
      </c>
      <c r="J2965" s="206" t="s">
        <v>121</v>
      </c>
      <c r="K2965" s="206" t="s">
        <v>121</v>
      </c>
      <c r="L2965" s="206" t="str">
        <v/>
      </c>
      <c r="M2965" s="206" t="str">
        <v/>
      </c>
    </row>
    <row r="2966" spans="1:13" ht="14.4">
      <c r="A2966" s="201"/>
      <c r="B2966" s="209"/>
      <c r="C2966" s="201"/>
      <c r="D2966" s="201"/>
      <c r="E2966" s="202"/>
      <c r="F2966" s="210"/>
      <c r="G2966" s="210"/>
      <c r="H2966" s="206" t="s">
        <v>121</v>
      </c>
      <c r="I2966" s="206" t="s">
        <v>121</v>
      </c>
      <c r="J2966" s="206" t="s">
        <v>121</v>
      </c>
      <c r="K2966" s="206" t="s">
        <v>121</v>
      </c>
      <c r="L2966" s="206" t="str">
        <v/>
      </c>
      <c r="M2966" s="206" t="str">
        <v/>
      </c>
    </row>
    <row r="2967" spans="1:13" ht="14.4">
      <c r="A2967" s="201"/>
      <c r="B2967" s="209"/>
      <c r="C2967" s="201"/>
      <c r="D2967" s="201"/>
      <c r="E2967" s="202"/>
      <c r="F2967" s="210"/>
      <c r="G2967" s="210"/>
      <c r="H2967" s="206" t="s">
        <v>121</v>
      </c>
      <c r="I2967" s="206" t="s">
        <v>121</v>
      </c>
      <c r="J2967" s="206" t="s">
        <v>121</v>
      </c>
      <c r="K2967" s="206" t="s">
        <v>121</v>
      </c>
      <c r="L2967" s="206" t="str">
        <v/>
      </c>
      <c r="M2967" s="206" t="str">
        <v/>
      </c>
    </row>
    <row r="2968" spans="1:13" ht="14.4">
      <c r="A2968" s="201"/>
      <c r="B2968" s="209"/>
      <c r="C2968" s="201"/>
      <c r="D2968" s="201"/>
      <c r="E2968" s="202"/>
      <c r="F2968" s="210"/>
      <c r="G2968" s="210"/>
      <c r="H2968" s="206" t="s">
        <v>121</v>
      </c>
      <c r="I2968" s="206" t="s">
        <v>121</v>
      </c>
      <c r="J2968" s="206" t="s">
        <v>121</v>
      </c>
      <c r="K2968" s="206" t="s">
        <v>121</v>
      </c>
      <c r="L2968" s="206" t="str">
        <v/>
      </c>
      <c r="M2968" s="206" t="str">
        <v/>
      </c>
    </row>
    <row r="2969" spans="1:13" ht="14.4">
      <c r="A2969" s="201"/>
      <c r="B2969" s="209"/>
      <c r="C2969" s="201"/>
      <c r="D2969" s="201"/>
      <c r="E2969" s="202"/>
      <c r="F2969" s="210"/>
      <c r="G2969" s="210"/>
      <c r="H2969" s="206" t="s">
        <v>121</v>
      </c>
      <c r="I2969" s="206" t="s">
        <v>121</v>
      </c>
      <c r="J2969" s="206" t="s">
        <v>121</v>
      </c>
      <c r="K2969" s="206" t="s">
        <v>121</v>
      </c>
      <c r="L2969" s="206" t="str">
        <v/>
      </c>
      <c r="M2969" s="206" t="str">
        <v/>
      </c>
    </row>
    <row r="2970" spans="1:13" ht="14.4">
      <c r="A2970" s="201"/>
      <c r="B2970" s="209"/>
      <c r="C2970" s="201"/>
      <c r="D2970" s="201"/>
      <c r="E2970" s="202"/>
      <c r="F2970" s="210"/>
      <c r="G2970" s="210"/>
      <c r="H2970" s="206" t="s">
        <v>121</v>
      </c>
      <c r="I2970" s="206" t="s">
        <v>121</v>
      </c>
      <c r="J2970" s="206" t="s">
        <v>121</v>
      </c>
      <c r="K2970" s="206" t="s">
        <v>121</v>
      </c>
      <c r="L2970" s="206" t="str">
        <v/>
      </c>
      <c r="M2970" s="206" t="str">
        <v/>
      </c>
    </row>
    <row r="2971" spans="1:13" ht="14.4">
      <c r="A2971" s="201"/>
      <c r="B2971" s="209"/>
      <c r="C2971" s="201"/>
      <c r="D2971" s="201"/>
      <c r="E2971" s="202"/>
      <c r="F2971" s="210"/>
      <c r="G2971" s="210"/>
      <c r="H2971" s="206" t="s">
        <v>121</v>
      </c>
      <c r="I2971" s="206" t="s">
        <v>121</v>
      </c>
      <c r="J2971" s="206" t="s">
        <v>121</v>
      </c>
      <c r="K2971" s="206" t="s">
        <v>121</v>
      </c>
      <c r="L2971" s="206" t="str">
        <v/>
      </c>
      <c r="M2971" s="206" t="str">
        <v/>
      </c>
    </row>
    <row r="2972" spans="1:13" ht="14.4">
      <c r="A2972" s="201"/>
      <c r="B2972" s="209"/>
      <c r="C2972" s="201"/>
      <c r="D2972" s="201"/>
      <c r="E2972" s="202"/>
      <c r="F2972" s="210"/>
      <c r="G2972" s="210"/>
      <c r="H2972" s="206" t="s">
        <v>121</v>
      </c>
      <c r="I2972" s="206" t="s">
        <v>121</v>
      </c>
      <c r="J2972" s="206" t="s">
        <v>121</v>
      </c>
      <c r="K2972" s="206" t="s">
        <v>121</v>
      </c>
      <c r="L2972" s="206" t="str">
        <v/>
      </c>
      <c r="M2972" s="206" t="str">
        <v/>
      </c>
    </row>
    <row r="2973" spans="1:13" ht="14.4">
      <c r="A2973" s="201"/>
      <c r="B2973" s="209"/>
      <c r="C2973" s="201"/>
      <c r="D2973" s="201"/>
      <c r="E2973" s="202"/>
      <c r="F2973" s="210"/>
      <c r="G2973" s="210"/>
      <c r="H2973" s="206" t="s">
        <v>121</v>
      </c>
      <c r="I2973" s="206" t="s">
        <v>121</v>
      </c>
      <c r="J2973" s="206" t="s">
        <v>121</v>
      </c>
      <c r="K2973" s="206" t="s">
        <v>121</v>
      </c>
      <c r="L2973" s="206" t="str">
        <v/>
      </c>
      <c r="M2973" s="206" t="str">
        <v/>
      </c>
    </row>
    <row r="2974" spans="1:13" ht="14.4">
      <c r="A2974" s="201"/>
      <c r="B2974" s="209"/>
      <c r="C2974" s="201"/>
      <c r="D2974" s="201"/>
      <c r="E2974" s="202"/>
      <c r="F2974" s="210"/>
      <c r="G2974" s="210"/>
      <c r="H2974" s="206" t="s">
        <v>121</v>
      </c>
      <c r="I2974" s="206" t="s">
        <v>121</v>
      </c>
      <c r="J2974" s="206" t="s">
        <v>121</v>
      </c>
      <c r="K2974" s="206" t="s">
        <v>121</v>
      </c>
      <c r="L2974" s="206" t="str">
        <v/>
      </c>
      <c r="M2974" s="206" t="str">
        <v/>
      </c>
    </row>
    <row r="2975" spans="1:13" ht="14.4">
      <c r="A2975" s="201"/>
      <c r="B2975" s="209"/>
      <c r="C2975" s="201"/>
      <c r="D2975" s="201"/>
      <c r="E2975" s="202"/>
      <c r="F2975" s="210"/>
      <c r="G2975" s="210"/>
      <c r="H2975" s="206" t="s">
        <v>121</v>
      </c>
      <c r="I2975" s="206" t="s">
        <v>121</v>
      </c>
      <c r="J2975" s="206" t="s">
        <v>121</v>
      </c>
      <c r="K2975" s="206" t="s">
        <v>121</v>
      </c>
      <c r="L2975" s="206" t="str">
        <v/>
      </c>
      <c r="M2975" s="206" t="str">
        <v/>
      </c>
    </row>
    <row r="2976" spans="1:13" ht="14.4">
      <c r="A2976" s="201"/>
      <c r="B2976" s="209"/>
      <c r="C2976" s="201"/>
      <c r="D2976" s="201"/>
      <c r="E2976" s="202"/>
      <c r="F2976" s="210"/>
      <c r="G2976" s="210"/>
      <c r="H2976" s="206" t="s">
        <v>121</v>
      </c>
      <c r="I2976" s="206" t="s">
        <v>121</v>
      </c>
      <c r="J2976" s="206" t="s">
        <v>121</v>
      </c>
      <c r="K2976" s="206" t="s">
        <v>121</v>
      </c>
      <c r="L2976" s="206" t="str">
        <v/>
      </c>
      <c r="M2976" s="206" t="str">
        <v/>
      </c>
    </row>
    <row r="2977" spans="1:13" ht="14.4">
      <c r="A2977" s="201"/>
      <c r="B2977" s="209"/>
      <c r="C2977" s="201"/>
      <c r="D2977" s="201"/>
      <c r="E2977" s="202"/>
      <c r="F2977" s="210"/>
      <c r="G2977" s="210"/>
      <c r="H2977" s="206" t="s">
        <v>121</v>
      </c>
      <c r="I2977" s="206" t="s">
        <v>121</v>
      </c>
      <c r="J2977" s="206" t="s">
        <v>121</v>
      </c>
      <c r="K2977" s="206" t="s">
        <v>121</v>
      </c>
      <c r="L2977" s="206" t="str">
        <v/>
      </c>
      <c r="M2977" s="206" t="str">
        <v/>
      </c>
    </row>
    <row r="2978" spans="1:13" ht="14.4">
      <c r="A2978" s="201"/>
      <c r="B2978" s="209"/>
      <c r="C2978" s="201"/>
      <c r="D2978" s="201"/>
      <c r="E2978" s="202"/>
      <c r="F2978" s="210"/>
      <c r="G2978" s="210"/>
      <c r="H2978" s="206" t="s">
        <v>121</v>
      </c>
      <c r="I2978" s="206" t="s">
        <v>121</v>
      </c>
      <c r="J2978" s="206" t="s">
        <v>121</v>
      </c>
      <c r="K2978" s="206" t="s">
        <v>121</v>
      </c>
      <c r="L2978" s="206" t="str">
        <v/>
      </c>
      <c r="M2978" s="206" t="str">
        <v/>
      </c>
    </row>
    <row r="2979" spans="1:13" ht="14.4">
      <c r="A2979" s="201"/>
      <c r="B2979" s="209"/>
      <c r="C2979" s="201"/>
      <c r="D2979" s="201"/>
      <c r="E2979" s="202"/>
      <c r="F2979" s="210"/>
      <c r="G2979" s="210"/>
      <c r="H2979" s="206" t="s">
        <v>121</v>
      </c>
      <c r="I2979" s="206" t="s">
        <v>121</v>
      </c>
      <c r="J2979" s="206" t="s">
        <v>121</v>
      </c>
      <c r="K2979" s="206" t="s">
        <v>121</v>
      </c>
      <c r="L2979" s="206" t="str">
        <v/>
      </c>
      <c r="M2979" s="206" t="str">
        <v/>
      </c>
    </row>
    <row r="2980" spans="1:13" ht="14.4">
      <c r="A2980" s="201"/>
      <c r="B2980" s="209"/>
      <c r="C2980" s="201"/>
      <c r="D2980" s="201"/>
      <c r="E2980" s="202"/>
      <c r="F2980" s="210"/>
      <c r="G2980" s="210"/>
      <c r="H2980" s="206" t="s">
        <v>121</v>
      </c>
      <c r="I2980" s="206" t="s">
        <v>121</v>
      </c>
      <c r="J2980" s="206" t="s">
        <v>121</v>
      </c>
      <c r="K2980" s="206" t="s">
        <v>121</v>
      </c>
      <c r="L2980" s="206" t="str">
        <v/>
      </c>
      <c r="M2980" s="206" t="str">
        <v/>
      </c>
    </row>
    <row r="2981" spans="1:13" ht="14.4">
      <c r="A2981" s="201"/>
      <c r="B2981" s="209"/>
      <c r="C2981" s="201"/>
      <c r="D2981" s="201"/>
      <c r="E2981" s="202"/>
      <c r="F2981" s="210"/>
      <c r="G2981" s="210"/>
      <c r="H2981" s="206" t="s">
        <v>121</v>
      </c>
      <c r="I2981" s="206" t="s">
        <v>121</v>
      </c>
      <c r="J2981" s="206" t="s">
        <v>121</v>
      </c>
      <c r="K2981" s="206" t="s">
        <v>121</v>
      </c>
      <c r="L2981" s="206" t="str">
        <v/>
      </c>
      <c r="M2981" s="206" t="str">
        <v/>
      </c>
    </row>
    <row r="2982" spans="1:13" ht="14.4">
      <c r="A2982" s="201"/>
      <c r="B2982" s="209"/>
      <c r="C2982" s="201"/>
      <c r="D2982" s="201"/>
      <c r="E2982" s="202"/>
      <c r="F2982" s="210"/>
      <c r="G2982" s="210"/>
      <c r="H2982" s="206" t="s">
        <v>121</v>
      </c>
      <c r="I2982" s="206" t="s">
        <v>121</v>
      </c>
      <c r="J2982" s="206" t="s">
        <v>121</v>
      </c>
      <c r="K2982" s="206" t="s">
        <v>121</v>
      </c>
      <c r="L2982" s="206" t="str">
        <v/>
      </c>
      <c r="M2982" s="206" t="str">
        <v/>
      </c>
    </row>
    <row r="2983" spans="1:13" ht="14.4">
      <c r="A2983" s="201"/>
      <c r="B2983" s="209"/>
      <c r="C2983" s="201"/>
      <c r="D2983" s="201"/>
      <c r="E2983" s="202"/>
      <c r="F2983" s="210"/>
      <c r="G2983" s="210"/>
      <c r="H2983" s="206" t="s">
        <v>121</v>
      </c>
      <c r="I2983" s="206" t="s">
        <v>121</v>
      </c>
      <c r="J2983" s="206" t="s">
        <v>121</v>
      </c>
      <c r="K2983" s="206" t="s">
        <v>121</v>
      </c>
      <c r="L2983" s="206" t="str">
        <v/>
      </c>
      <c r="M2983" s="206" t="str">
        <v/>
      </c>
    </row>
    <row r="2984" spans="1:13" ht="14.4">
      <c r="A2984" s="201"/>
      <c r="B2984" s="209"/>
      <c r="C2984" s="201"/>
      <c r="D2984" s="201"/>
      <c r="E2984" s="202"/>
      <c r="F2984" s="210"/>
      <c r="G2984" s="210"/>
      <c r="H2984" s="206" t="s">
        <v>121</v>
      </c>
      <c r="I2984" s="206" t="s">
        <v>121</v>
      </c>
      <c r="J2984" s="206" t="s">
        <v>121</v>
      </c>
      <c r="K2984" s="206" t="s">
        <v>121</v>
      </c>
      <c r="L2984" s="206" t="str">
        <v/>
      </c>
      <c r="M2984" s="206" t="str">
        <v/>
      </c>
    </row>
    <row r="2985" spans="1:13" ht="14.4">
      <c r="A2985" s="201"/>
      <c r="B2985" s="209"/>
      <c r="C2985" s="201"/>
      <c r="D2985" s="201"/>
      <c r="E2985" s="202"/>
      <c r="F2985" s="210"/>
      <c r="G2985" s="210"/>
      <c r="H2985" s="206" t="s">
        <v>121</v>
      </c>
      <c r="I2985" s="206" t="s">
        <v>121</v>
      </c>
      <c r="J2985" s="206" t="s">
        <v>121</v>
      </c>
      <c r="K2985" s="206" t="s">
        <v>121</v>
      </c>
      <c r="L2985" s="206" t="str">
        <v/>
      </c>
      <c r="M2985" s="206" t="str">
        <v/>
      </c>
    </row>
    <row r="2986" spans="1:13" ht="14.4">
      <c r="A2986" s="201"/>
      <c r="B2986" s="209"/>
      <c r="C2986" s="201"/>
      <c r="D2986" s="201"/>
      <c r="E2986" s="202"/>
      <c r="F2986" s="210"/>
      <c r="G2986" s="210"/>
      <c r="H2986" s="206" t="s">
        <v>121</v>
      </c>
      <c r="I2986" s="206" t="s">
        <v>121</v>
      </c>
      <c r="J2986" s="206" t="s">
        <v>121</v>
      </c>
      <c r="K2986" s="206" t="s">
        <v>121</v>
      </c>
      <c r="L2986" s="206" t="str">
        <v/>
      </c>
      <c r="M2986" s="206" t="str">
        <v/>
      </c>
    </row>
    <row r="2987" spans="1:13" ht="14.4">
      <c r="A2987" s="201"/>
      <c r="B2987" s="209"/>
      <c r="C2987" s="201"/>
      <c r="D2987" s="201"/>
      <c r="E2987" s="202"/>
      <c r="F2987" s="210"/>
      <c r="G2987" s="210"/>
      <c r="H2987" s="206" t="s">
        <v>121</v>
      </c>
      <c r="I2987" s="206" t="s">
        <v>121</v>
      </c>
      <c r="J2987" s="206" t="s">
        <v>121</v>
      </c>
      <c r="K2987" s="206" t="s">
        <v>121</v>
      </c>
      <c r="L2987" s="206" t="str">
        <v/>
      </c>
      <c r="M2987" s="206" t="str">
        <v/>
      </c>
    </row>
    <row r="2988" spans="1:13" ht="14.4">
      <c r="A2988" s="201"/>
      <c r="B2988" s="209"/>
      <c r="C2988" s="201"/>
      <c r="D2988" s="201"/>
      <c r="E2988" s="202"/>
      <c r="F2988" s="210"/>
      <c r="G2988" s="210"/>
      <c r="H2988" s="206" t="s">
        <v>121</v>
      </c>
      <c r="I2988" s="206" t="s">
        <v>121</v>
      </c>
      <c r="J2988" s="206" t="s">
        <v>121</v>
      </c>
      <c r="K2988" s="206" t="s">
        <v>121</v>
      </c>
      <c r="L2988" s="206" t="str">
        <v/>
      </c>
      <c r="M2988" s="206" t="str">
        <v/>
      </c>
    </row>
    <row r="2989" spans="1:13" ht="14.4">
      <c r="A2989" s="201"/>
      <c r="B2989" s="209"/>
      <c r="C2989" s="201"/>
      <c r="D2989" s="201"/>
      <c r="E2989" s="202"/>
      <c r="F2989" s="210"/>
      <c r="G2989" s="210"/>
      <c r="H2989" s="206" t="s">
        <v>121</v>
      </c>
      <c r="I2989" s="206" t="s">
        <v>121</v>
      </c>
      <c r="J2989" s="206" t="s">
        <v>121</v>
      </c>
      <c r="K2989" s="206" t="s">
        <v>121</v>
      </c>
      <c r="L2989" s="206" t="str">
        <v/>
      </c>
      <c r="M2989" s="206" t="str">
        <v/>
      </c>
    </row>
    <row r="2990" spans="1:13" ht="14.4">
      <c r="A2990" s="201"/>
      <c r="B2990" s="209"/>
      <c r="C2990" s="201"/>
      <c r="D2990" s="201"/>
      <c r="E2990" s="202"/>
      <c r="F2990" s="210"/>
      <c r="G2990" s="210"/>
      <c r="H2990" s="206" t="s">
        <v>121</v>
      </c>
      <c r="I2990" s="206" t="s">
        <v>121</v>
      </c>
      <c r="J2990" s="206" t="s">
        <v>121</v>
      </c>
      <c r="K2990" s="206" t="s">
        <v>121</v>
      </c>
      <c r="L2990" s="206" t="str">
        <v/>
      </c>
      <c r="M2990" s="206" t="str">
        <v/>
      </c>
    </row>
    <row r="2991" spans="1:13" ht="14.4">
      <c r="A2991" s="201"/>
      <c r="B2991" s="209"/>
      <c r="C2991" s="201"/>
      <c r="D2991" s="201"/>
      <c r="E2991" s="202"/>
      <c r="F2991" s="210"/>
      <c r="G2991" s="210"/>
      <c r="H2991" s="206" t="s">
        <v>121</v>
      </c>
      <c r="I2991" s="206" t="s">
        <v>121</v>
      </c>
      <c r="J2991" s="206" t="s">
        <v>121</v>
      </c>
      <c r="K2991" s="206" t="s">
        <v>121</v>
      </c>
      <c r="L2991" s="206" t="str">
        <v/>
      </c>
      <c r="M2991" s="206" t="str">
        <v/>
      </c>
    </row>
    <row r="2992" spans="1:13" ht="14.4">
      <c r="A2992" s="201"/>
      <c r="B2992" s="209"/>
      <c r="C2992" s="201"/>
      <c r="D2992" s="201"/>
      <c r="E2992" s="202"/>
      <c r="F2992" s="210"/>
      <c r="G2992" s="210"/>
      <c r="H2992" s="206" t="s">
        <v>121</v>
      </c>
      <c r="I2992" s="206" t="s">
        <v>121</v>
      </c>
      <c r="J2992" s="206" t="s">
        <v>121</v>
      </c>
      <c r="K2992" s="206" t="s">
        <v>121</v>
      </c>
      <c r="L2992" s="206" t="str">
        <v/>
      </c>
      <c r="M2992" s="206" t="str">
        <v/>
      </c>
    </row>
    <row r="2993" spans="1:13" ht="14.4">
      <c r="A2993" s="201"/>
      <c r="B2993" s="209"/>
      <c r="C2993" s="201"/>
      <c r="D2993" s="201"/>
      <c r="E2993" s="202"/>
      <c r="F2993" s="210"/>
      <c r="G2993" s="210"/>
      <c r="H2993" s="206" t="s">
        <v>121</v>
      </c>
      <c r="I2993" s="206" t="s">
        <v>121</v>
      </c>
      <c r="J2993" s="206" t="s">
        <v>121</v>
      </c>
      <c r="K2993" s="206" t="s">
        <v>121</v>
      </c>
      <c r="L2993" s="206" t="str">
        <v/>
      </c>
      <c r="M2993" s="206" t="str">
        <v/>
      </c>
    </row>
    <row r="2994" spans="1:13" ht="14.4">
      <c r="A2994" s="201"/>
      <c r="B2994" s="209"/>
      <c r="C2994" s="201"/>
      <c r="D2994" s="201"/>
      <c r="E2994" s="202"/>
      <c r="F2994" s="210"/>
      <c r="G2994" s="210"/>
      <c r="H2994" s="206" t="s">
        <v>121</v>
      </c>
      <c r="I2994" s="206" t="s">
        <v>121</v>
      </c>
      <c r="J2994" s="206" t="s">
        <v>121</v>
      </c>
      <c r="K2994" s="206" t="s">
        <v>121</v>
      </c>
      <c r="L2994" s="206" t="str">
        <v/>
      </c>
      <c r="M2994" s="206" t="str">
        <v/>
      </c>
    </row>
    <row r="2995" spans="1:13" ht="14.4">
      <c r="A2995" s="201"/>
      <c r="B2995" s="209"/>
      <c r="C2995" s="201"/>
      <c r="D2995" s="201"/>
      <c r="E2995" s="202"/>
      <c r="F2995" s="210"/>
      <c r="G2995" s="210"/>
      <c r="H2995" s="206" t="s">
        <v>121</v>
      </c>
      <c r="I2995" s="206" t="s">
        <v>121</v>
      </c>
      <c r="J2995" s="206" t="s">
        <v>121</v>
      </c>
      <c r="K2995" s="206" t="s">
        <v>121</v>
      </c>
      <c r="L2995" s="206" t="str">
        <v/>
      </c>
      <c r="M2995" s="206" t="str">
        <v/>
      </c>
    </row>
    <row r="2996" spans="1:13" ht="14.4">
      <c r="A2996" s="201"/>
      <c r="B2996" s="209"/>
      <c r="C2996" s="201"/>
      <c r="D2996" s="201"/>
      <c r="E2996" s="202"/>
      <c r="F2996" s="210"/>
      <c r="G2996" s="210"/>
      <c r="H2996" s="206" t="s">
        <v>121</v>
      </c>
      <c r="I2996" s="206" t="s">
        <v>121</v>
      </c>
      <c r="J2996" s="206" t="s">
        <v>121</v>
      </c>
      <c r="K2996" s="206" t="s">
        <v>121</v>
      </c>
      <c r="L2996" s="206" t="str">
        <v/>
      </c>
      <c r="M2996" s="206" t="str">
        <v/>
      </c>
    </row>
    <row r="2997" spans="1:13" ht="14.4">
      <c r="A2997" s="201"/>
      <c r="B2997" s="209"/>
      <c r="C2997" s="201"/>
      <c r="D2997" s="201"/>
      <c r="E2997" s="202"/>
      <c r="F2997" s="210"/>
      <c r="G2997" s="210"/>
      <c r="H2997" s="206" t="s">
        <v>121</v>
      </c>
      <c r="I2997" s="206" t="s">
        <v>121</v>
      </c>
      <c r="J2997" s="206" t="s">
        <v>121</v>
      </c>
      <c r="K2997" s="206" t="s">
        <v>121</v>
      </c>
      <c r="L2997" s="206" t="str">
        <v/>
      </c>
      <c r="M2997" s="206" t="str">
        <v/>
      </c>
    </row>
    <row r="2998" spans="1:13" ht="14.4">
      <c r="A2998" s="201"/>
      <c r="B2998" s="209"/>
      <c r="C2998" s="201"/>
      <c r="D2998" s="201"/>
      <c r="E2998" s="202"/>
      <c r="F2998" s="210"/>
      <c r="G2998" s="210"/>
      <c r="H2998" s="206" t="s">
        <v>121</v>
      </c>
      <c r="I2998" s="206" t="s">
        <v>121</v>
      </c>
      <c r="J2998" s="206" t="s">
        <v>121</v>
      </c>
      <c r="K2998" s="206" t="s">
        <v>121</v>
      </c>
      <c r="L2998" s="206" t="str">
        <v/>
      </c>
      <c r="M2998" s="206" t="str">
        <v/>
      </c>
    </row>
    <row r="2999" spans="1:13" ht="14.4">
      <c r="A2999" s="201"/>
      <c r="B2999" s="209"/>
      <c r="C2999" s="201"/>
      <c r="D2999" s="201"/>
      <c r="E2999" s="202"/>
      <c r="F2999" s="210"/>
      <c r="G2999" s="210"/>
      <c r="H2999" s="206" t="s">
        <v>121</v>
      </c>
      <c r="I2999" s="206" t="s">
        <v>121</v>
      </c>
      <c r="J2999" s="206" t="s">
        <v>121</v>
      </c>
      <c r="K2999" s="206" t="s">
        <v>121</v>
      </c>
      <c r="L2999" s="206" t="str">
        <v/>
      </c>
      <c r="M2999" s="206" t="str">
        <v/>
      </c>
    </row>
    <row r="3000" spans="1:13" ht="14.4">
      <c r="A3000" s="201"/>
      <c r="B3000" s="209"/>
      <c r="C3000" s="201"/>
      <c r="D3000" s="201"/>
      <c r="E3000" s="202"/>
      <c r="F3000" s="210"/>
      <c r="G3000" s="210"/>
      <c r="H3000" s="206" t="s">
        <v>121</v>
      </c>
      <c r="I3000" s="206" t="s">
        <v>121</v>
      </c>
      <c r="J3000" s="206" t="s">
        <v>121</v>
      </c>
      <c r="K3000" s="206" t="s">
        <v>121</v>
      </c>
      <c r="L3000" s="206" t="str">
        <v/>
      </c>
      <c r="M3000" s="206" t="str">
        <v/>
      </c>
    </row>
    <row r="3001" spans="1:13" ht="14.4">
      <c r="A3001" s="201"/>
      <c r="B3001" s="209"/>
      <c r="C3001" s="201"/>
      <c r="D3001" s="201"/>
      <c r="E3001" s="202"/>
      <c r="F3001" s="210"/>
      <c r="G3001" s="210"/>
      <c r="H3001" s="206" t="s">
        <v>121</v>
      </c>
      <c r="I3001" s="206" t="s">
        <v>121</v>
      </c>
      <c r="J3001" s="206" t="s">
        <v>121</v>
      </c>
      <c r="K3001" s="206" t="s">
        <v>121</v>
      </c>
      <c r="L3001" s="206" t="str">
        <v/>
      </c>
      <c r="M3001" s="206" t="str">
        <v/>
      </c>
    </row>
    <row r="3002" spans="1:13" ht="14.4">
      <c r="A3002" s="201"/>
      <c r="B3002" s="209"/>
      <c r="C3002" s="201"/>
      <c r="D3002" s="201"/>
      <c r="E3002" s="202"/>
      <c r="F3002" s="210"/>
      <c r="G3002" s="210"/>
      <c r="H3002" s="206" t="s">
        <v>121</v>
      </c>
      <c r="I3002" s="206" t="s">
        <v>121</v>
      </c>
      <c r="J3002" s="206" t="s">
        <v>121</v>
      </c>
      <c r="K3002" s="206" t="s">
        <v>121</v>
      </c>
      <c r="L3002" s="206" t="str">
        <v/>
      </c>
      <c r="M3002" s="206" t="str">
        <v/>
      </c>
    </row>
    <row r="3003" spans="1:13" ht="14.4">
      <c r="A3003" s="201"/>
      <c r="B3003" s="209"/>
      <c r="C3003" s="201"/>
      <c r="D3003" s="201"/>
      <c r="E3003" s="202"/>
      <c r="F3003" s="210"/>
      <c r="G3003" s="210"/>
      <c r="H3003" s="206" t="s">
        <v>121</v>
      </c>
      <c r="I3003" s="206" t="s">
        <v>121</v>
      </c>
      <c r="J3003" s="206" t="s">
        <v>121</v>
      </c>
      <c r="K3003" s="206" t="s">
        <v>121</v>
      </c>
      <c r="L3003" s="206" t="str">
        <v/>
      </c>
      <c r="M3003" s="206" t="str">
        <v/>
      </c>
    </row>
    <row r="3004" spans="1:13" ht="14.4">
      <c r="A3004" s="201"/>
      <c r="B3004" s="209"/>
      <c r="C3004" s="201"/>
      <c r="D3004" s="201"/>
      <c r="E3004" s="202"/>
      <c r="F3004" s="210"/>
      <c r="G3004" s="210"/>
      <c r="H3004" s="206" t="s">
        <v>121</v>
      </c>
      <c r="I3004" s="206" t="s">
        <v>121</v>
      </c>
      <c r="J3004" s="206" t="s">
        <v>121</v>
      </c>
      <c r="K3004" s="206" t="s">
        <v>121</v>
      </c>
      <c r="L3004" s="206" t="str">
        <v/>
      </c>
      <c r="M3004" s="206" t="str">
        <v/>
      </c>
    </row>
    <row r="3005" spans="1:13" ht="14.4">
      <c r="A3005" s="201"/>
      <c r="B3005" s="209"/>
      <c r="C3005" s="201"/>
      <c r="D3005" s="201"/>
      <c r="E3005" s="202"/>
      <c r="F3005" s="210"/>
      <c r="G3005" s="210"/>
      <c r="H3005" s="206" t="s">
        <v>121</v>
      </c>
      <c r="I3005" s="206" t="s">
        <v>121</v>
      </c>
      <c r="J3005" s="206" t="s">
        <v>121</v>
      </c>
      <c r="K3005" s="206" t="s">
        <v>121</v>
      </c>
      <c r="L3005" s="206" t="str">
        <v/>
      </c>
      <c r="M3005" s="206" t="str">
        <v/>
      </c>
    </row>
    <row r="3006" spans="1:13" ht="14.4">
      <c r="A3006" s="201"/>
      <c r="B3006" s="209"/>
      <c r="C3006" s="201"/>
      <c r="D3006" s="201"/>
      <c r="E3006" s="202"/>
      <c r="F3006" s="210"/>
      <c r="G3006" s="210"/>
      <c r="H3006" s="206" t="s">
        <v>121</v>
      </c>
      <c r="I3006" s="206" t="s">
        <v>121</v>
      </c>
      <c r="J3006" s="206" t="s">
        <v>121</v>
      </c>
      <c r="K3006" s="206" t="s">
        <v>121</v>
      </c>
      <c r="L3006" s="206" t="str">
        <v/>
      </c>
      <c r="M3006" s="206" t="str">
        <v/>
      </c>
    </row>
    <row r="3007" spans="1:13" ht="14.4">
      <c r="A3007" s="201"/>
      <c r="B3007" s="209"/>
      <c r="C3007" s="201"/>
      <c r="D3007" s="201"/>
      <c r="E3007" s="202"/>
      <c r="F3007" s="210"/>
      <c r="G3007" s="210"/>
      <c r="H3007" s="206" t="s">
        <v>121</v>
      </c>
      <c r="I3007" s="206" t="s">
        <v>121</v>
      </c>
      <c r="J3007" s="206" t="s">
        <v>121</v>
      </c>
      <c r="K3007" s="206" t="s">
        <v>121</v>
      </c>
      <c r="L3007" s="206" t="str">
        <v/>
      </c>
      <c r="M3007" s="206" t="str">
        <v/>
      </c>
    </row>
    <row r="3008" spans="1:13" ht="14.4">
      <c r="A3008" s="201"/>
      <c r="B3008" s="209"/>
      <c r="C3008" s="201"/>
      <c r="D3008" s="201"/>
      <c r="E3008" s="202"/>
      <c r="F3008" s="210"/>
      <c r="G3008" s="210"/>
      <c r="H3008" s="206" t="s">
        <v>121</v>
      </c>
      <c r="I3008" s="206" t="s">
        <v>121</v>
      </c>
      <c r="J3008" s="206" t="s">
        <v>121</v>
      </c>
      <c r="K3008" s="206" t="s">
        <v>121</v>
      </c>
      <c r="L3008" s="206" t="str">
        <v/>
      </c>
      <c r="M3008" s="206" t="str">
        <v/>
      </c>
    </row>
    <row r="3009" spans="1:13" ht="14.4">
      <c r="A3009" s="201"/>
      <c r="B3009" s="209"/>
      <c r="C3009" s="201"/>
      <c r="D3009" s="201"/>
      <c r="E3009" s="202"/>
      <c r="F3009" s="210"/>
      <c r="G3009" s="210"/>
      <c r="H3009" s="206" t="s">
        <v>121</v>
      </c>
      <c r="I3009" s="206" t="s">
        <v>121</v>
      </c>
      <c r="J3009" s="206" t="s">
        <v>121</v>
      </c>
      <c r="K3009" s="206" t="s">
        <v>121</v>
      </c>
      <c r="L3009" s="206" t="str">
        <v/>
      </c>
      <c r="M3009" s="206" t="str">
        <v/>
      </c>
    </row>
    <row r="3010" spans="1:13" ht="14.4">
      <c r="A3010" s="201"/>
      <c r="B3010" s="209"/>
      <c r="C3010" s="201"/>
      <c r="D3010" s="201"/>
      <c r="E3010" s="202"/>
      <c r="F3010" s="210"/>
      <c r="G3010" s="210"/>
      <c r="H3010" s="206" t="s">
        <v>121</v>
      </c>
      <c r="I3010" s="206" t="s">
        <v>121</v>
      </c>
      <c r="J3010" s="206" t="s">
        <v>121</v>
      </c>
      <c r="K3010" s="206" t="s">
        <v>121</v>
      </c>
      <c r="L3010" s="206" t="str">
        <v/>
      </c>
      <c r="M3010" s="206" t="str">
        <v/>
      </c>
    </row>
    <row r="3011" spans="1:13" ht="14.4">
      <c r="A3011" s="201"/>
      <c r="B3011" s="209"/>
      <c r="C3011" s="201"/>
      <c r="D3011" s="201"/>
      <c r="E3011" s="202"/>
      <c r="F3011" s="210"/>
      <c r="G3011" s="210"/>
      <c r="H3011" s="206" t="s">
        <v>121</v>
      </c>
      <c r="I3011" s="206" t="s">
        <v>121</v>
      </c>
      <c r="J3011" s="206" t="s">
        <v>121</v>
      </c>
      <c r="K3011" s="206" t="s">
        <v>121</v>
      </c>
      <c r="L3011" s="206" t="str">
        <v/>
      </c>
      <c r="M3011" s="206" t="str">
        <v/>
      </c>
    </row>
    <row r="3012" spans="1:13" ht="14.4">
      <c r="A3012" s="201"/>
      <c r="B3012" s="209"/>
      <c r="C3012" s="201"/>
      <c r="D3012" s="201"/>
      <c r="E3012" s="202"/>
      <c r="F3012" s="210"/>
      <c r="G3012" s="210"/>
      <c r="H3012" s="206" t="s">
        <v>121</v>
      </c>
      <c r="I3012" s="206" t="s">
        <v>121</v>
      </c>
      <c r="J3012" s="206" t="s">
        <v>121</v>
      </c>
      <c r="K3012" s="206" t="s">
        <v>121</v>
      </c>
      <c r="L3012" s="206" t="str">
        <v/>
      </c>
      <c r="M3012" s="206" t="str">
        <v/>
      </c>
    </row>
    <row r="3013" spans="1:13" ht="14.4">
      <c r="A3013" s="201"/>
      <c r="B3013" s="209"/>
      <c r="C3013" s="201"/>
      <c r="D3013" s="201"/>
      <c r="E3013" s="202"/>
      <c r="F3013" s="210"/>
      <c r="G3013" s="210"/>
      <c r="H3013" s="206" t="s">
        <v>121</v>
      </c>
      <c r="I3013" s="206" t="s">
        <v>121</v>
      </c>
      <c r="J3013" s="206" t="s">
        <v>121</v>
      </c>
      <c r="K3013" s="206" t="s">
        <v>121</v>
      </c>
      <c r="L3013" s="206" t="str">
        <v/>
      </c>
      <c r="M3013" s="206" t="str">
        <v/>
      </c>
    </row>
    <row r="3014" spans="1:13" ht="14.4">
      <c r="A3014" s="201"/>
      <c r="B3014" s="209"/>
      <c r="C3014" s="201"/>
      <c r="D3014" s="201"/>
      <c r="E3014" s="202"/>
      <c r="F3014" s="210"/>
      <c r="G3014" s="210"/>
      <c r="H3014" s="206" t="s">
        <v>121</v>
      </c>
      <c r="I3014" s="206" t="s">
        <v>121</v>
      </c>
      <c r="J3014" s="206" t="s">
        <v>121</v>
      </c>
      <c r="K3014" s="206" t="s">
        <v>121</v>
      </c>
      <c r="L3014" s="206" t="str">
        <v/>
      </c>
      <c r="M3014" s="206" t="str">
        <v/>
      </c>
    </row>
    <row r="3015" spans="1:13" ht="14.4">
      <c r="A3015" s="201"/>
      <c r="B3015" s="209"/>
      <c r="C3015" s="201"/>
      <c r="D3015" s="201"/>
      <c r="E3015" s="202"/>
      <c r="F3015" s="210"/>
      <c r="G3015" s="210"/>
      <c r="H3015" s="206" t="s">
        <v>121</v>
      </c>
      <c r="I3015" s="206" t="s">
        <v>121</v>
      </c>
      <c r="J3015" s="206" t="s">
        <v>121</v>
      </c>
      <c r="K3015" s="206" t="s">
        <v>121</v>
      </c>
      <c r="L3015" s="206" t="str">
        <v/>
      </c>
      <c r="M3015" s="206" t="str">
        <v/>
      </c>
    </row>
    <row r="3016" spans="1:13" ht="14.4">
      <c r="A3016" s="201"/>
      <c r="B3016" s="209"/>
      <c r="C3016" s="201"/>
      <c r="D3016" s="201"/>
      <c r="E3016" s="202"/>
      <c r="F3016" s="210"/>
      <c r="G3016" s="210"/>
      <c r="H3016" s="206" t="s">
        <v>121</v>
      </c>
      <c r="I3016" s="206" t="s">
        <v>121</v>
      </c>
      <c r="J3016" s="206" t="s">
        <v>121</v>
      </c>
      <c r="K3016" s="206" t="s">
        <v>121</v>
      </c>
      <c r="L3016" s="206" t="str">
        <v/>
      </c>
      <c r="M3016" s="206" t="str">
        <v/>
      </c>
    </row>
    <row r="3017" spans="1:13" ht="14.4">
      <c r="A3017" s="201"/>
      <c r="B3017" s="209"/>
      <c r="C3017" s="201"/>
      <c r="D3017" s="201"/>
      <c r="E3017" s="202"/>
      <c r="F3017" s="210"/>
      <c r="G3017" s="210"/>
      <c r="H3017" s="206" t="s">
        <v>121</v>
      </c>
      <c r="I3017" s="206" t="s">
        <v>121</v>
      </c>
      <c r="J3017" s="206" t="s">
        <v>121</v>
      </c>
      <c r="K3017" s="206" t="s">
        <v>121</v>
      </c>
      <c r="L3017" s="206" t="str">
        <v/>
      </c>
      <c r="M3017" s="206" t="str">
        <v/>
      </c>
    </row>
    <row r="3018" spans="1:13" ht="14.4">
      <c r="A3018" s="201"/>
      <c r="B3018" s="209"/>
      <c r="C3018" s="201"/>
      <c r="D3018" s="201"/>
      <c r="E3018" s="202"/>
      <c r="F3018" s="210"/>
      <c r="G3018" s="210"/>
      <c r="H3018" s="206" t="s">
        <v>121</v>
      </c>
      <c r="I3018" s="206" t="s">
        <v>121</v>
      </c>
      <c r="J3018" s="206" t="s">
        <v>121</v>
      </c>
      <c r="K3018" s="206" t="s">
        <v>121</v>
      </c>
      <c r="L3018" s="206" t="str">
        <v/>
      </c>
      <c r="M3018" s="206" t="str">
        <v/>
      </c>
    </row>
    <row r="3019" spans="1:13" ht="14.4">
      <c r="A3019" s="201"/>
      <c r="B3019" s="209"/>
      <c r="C3019" s="201"/>
      <c r="D3019" s="201"/>
      <c r="E3019" s="202"/>
      <c r="F3019" s="210"/>
      <c r="G3019" s="210"/>
      <c r="H3019" s="206" t="s">
        <v>121</v>
      </c>
      <c r="I3019" s="206" t="s">
        <v>121</v>
      </c>
      <c r="J3019" s="206" t="s">
        <v>121</v>
      </c>
      <c r="K3019" s="206" t="s">
        <v>121</v>
      </c>
      <c r="L3019" s="206" t="str">
        <v/>
      </c>
      <c r="M3019" s="206" t="str">
        <v/>
      </c>
    </row>
    <row r="3020" spans="1:13" ht="14.4">
      <c r="A3020" s="201"/>
      <c r="B3020" s="209"/>
      <c r="C3020" s="201"/>
      <c r="D3020" s="201"/>
      <c r="E3020" s="202"/>
      <c r="F3020" s="210"/>
      <c r="G3020" s="210"/>
      <c r="H3020" s="206" t="s">
        <v>121</v>
      </c>
      <c r="I3020" s="206" t="s">
        <v>121</v>
      </c>
      <c r="J3020" s="206" t="s">
        <v>121</v>
      </c>
      <c r="K3020" s="206" t="s">
        <v>121</v>
      </c>
      <c r="L3020" s="206" t="str">
        <v/>
      </c>
      <c r="M3020" s="206" t="str">
        <v/>
      </c>
    </row>
    <row r="3021" spans="1:13" ht="14.4">
      <c r="A3021" s="201"/>
      <c r="B3021" s="209"/>
      <c r="C3021" s="201"/>
      <c r="D3021" s="201"/>
      <c r="E3021" s="202"/>
      <c r="F3021" s="210"/>
      <c r="G3021" s="210"/>
      <c r="H3021" s="206" t="s">
        <v>121</v>
      </c>
      <c r="I3021" s="206" t="s">
        <v>121</v>
      </c>
      <c r="J3021" s="206" t="s">
        <v>121</v>
      </c>
      <c r="K3021" s="206" t="s">
        <v>121</v>
      </c>
      <c r="L3021" s="206" t="str">
        <v/>
      </c>
      <c r="M3021" s="206" t="str">
        <v/>
      </c>
    </row>
    <row r="3022" spans="1:13" ht="14.4">
      <c r="A3022" s="201"/>
      <c r="B3022" s="209"/>
      <c r="C3022" s="201"/>
      <c r="D3022" s="201"/>
      <c r="E3022" s="202"/>
      <c r="F3022" s="210"/>
      <c r="G3022" s="210"/>
      <c r="H3022" s="206" t="s">
        <v>121</v>
      </c>
      <c r="I3022" s="206" t="s">
        <v>121</v>
      </c>
      <c r="J3022" s="206" t="s">
        <v>121</v>
      </c>
      <c r="K3022" s="206" t="s">
        <v>121</v>
      </c>
      <c r="L3022" s="206" t="str">
        <v/>
      </c>
      <c r="M3022" s="206" t="str">
        <v/>
      </c>
    </row>
    <row r="3023" spans="1:13" ht="14.4">
      <c r="A3023" s="201"/>
      <c r="B3023" s="209"/>
      <c r="C3023" s="201"/>
      <c r="D3023" s="201"/>
      <c r="E3023" s="202"/>
      <c r="F3023" s="210"/>
      <c r="G3023" s="210"/>
      <c r="H3023" s="206" t="s">
        <v>121</v>
      </c>
      <c r="I3023" s="206" t="s">
        <v>121</v>
      </c>
      <c r="J3023" s="206" t="s">
        <v>121</v>
      </c>
      <c r="K3023" s="206" t="s">
        <v>121</v>
      </c>
      <c r="L3023" s="206" t="str">
        <v/>
      </c>
      <c r="M3023" s="206" t="str">
        <v/>
      </c>
    </row>
    <row r="3024" spans="1:13" ht="14.4">
      <c r="A3024" s="201"/>
      <c r="B3024" s="209"/>
      <c r="C3024" s="201"/>
      <c r="D3024" s="201"/>
      <c r="E3024" s="202"/>
      <c r="F3024" s="210"/>
      <c r="G3024" s="210"/>
      <c r="H3024" s="206" t="s">
        <v>121</v>
      </c>
      <c r="I3024" s="206" t="s">
        <v>121</v>
      </c>
      <c r="J3024" s="206" t="s">
        <v>121</v>
      </c>
      <c r="K3024" s="206" t="s">
        <v>121</v>
      </c>
      <c r="L3024" s="206" t="str">
        <v/>
      </c>
      <c r="M3024" s="206" t="str">
        <v/>
      </c>
    </row>
    <row r="3025" spans="1:13" ht="14.4">
      <c r="A3025" s="201"/>
      <c r="B3025" s="209"/>
      <c r="C3025" s="201"/>
      <c r="D3025" s="201"/>
      <c r="E3025" s="202"/>
      <c r="F3025" s="210"/>
      <c r="G3025" s="210"/>
      <c r="H3025" s="206" t="s">
        <v>121</v>
      </c>
      <c r="I3025" s="206" t="s">
        <v>121</v>
      </c>
      <c r="J3025" s="206" t="s">
        <v>121</v>
      </c>
      <c r="K3025" s="206" t="s">
        <v>121</v>
      </c>
      <c r="L3025" s="206" t="str">
        <v/>
      </c>
      <c r="M3025" s="206" t="str">
        <v/>
      </c>
    </row>
    <row r="3026" spans="1:13" ht="14.4">
      <c r="A3026" s="201"/>
      <c r="B3026" s="209"/>
      <c r="C3026" s="201"/>
      <c r="D3026" s="201"/>
      <c r="E3026" s="202"/>
      <c r="F3026" s="210"/>
      <c r="G3026" s="210"/>
      <c r="H3026" s="206" t="s">
        <v>121</v>
      </c>
      <c r="I3026" s="206" t="s">
        <v>121</v>
      </c>
      <c r="J3026" s="206" t="s">
        <v>121</v>
      </c>
      <c r="K3026" s="206" t="s">
        <v>121</v>
      </c>
      <c r="L3026" s="206" t="str">
        <v/>
      </c>
      <c r="M3026" s="206" t="str">
        <v/>
      </c>
    </row>
    <row r="3027" spans="1:13" ht="14.4">
      <c r="A3027" s="201"/>
      <c r="B3027" s="209"/>
      <c r="C3027" s="201"/>
      <c r="D3027" s="201"/>
      <c r="E3027" s="202"/>
      <c r="F3027" s="210"/>
      <c r="G3027" s="210"/>
      <c r="H3027" s="206" t="s">
        <v>121</v>
      </c>
      <c r="I3027" s="206" t="s">
        <v>121</v>
      </c>
      <c r="J3027" s="206" t="s">
        <v>121</v>
      </c>
      <c r="K3027" s="206" t="s">
        <v>121</v>
      </c>
      <c r="L3027" s="206" t="str">
        <v/>
      </c>
      <c r="M3027" s="206" t="str">
        <v/>
      </c>
    </row>
    <row r="3028" spans="1:13" ht="14.4">
      <c r="A3028" s="201"/>
      <c r="B3028" s="209"/>
      <c r="C3028" s="201"/>
      <c r="D3028" s="201"/>
      <c r="E3028" s="202"/>
      <c r="F3028" s="210"/>
      <c r="G3028" s="210"/>
      <c r="H3028" s="206" t="s">
        <v>121</v>
      </c>
      <c r="I3028" s="206" t="s">
        <v>121</v>
      </c>
      <c r="J3028" s="206" t="s">
        <v>121</v>
      </c>
      <c r="K3028" s="206" t="s">
        <v>121</v>
      </c>
      <c r="L3028" s="206" t="str">
        <v/>
      </c>
      <c r="M3028" s="206" t="str">
        <v/>
      </c>
    </row>
    <row r="3029" spans="1:13" ht="14.4">
      <c r="A3029" s="201"/>
      <c r="B3029" s="209"/>
      <c r="C3029" s="201"/>
      <c r="D3029" s="201"/>
      <c r="E3029" s="202"/>
      <c r="F3029" s="210"/>
      <c r="G3029" s="210"/>
      <c r="H3029" s="206" t="s">
        <v>121</v>
      </c>
      <c r="I3029" s="206" t="s">
        <v>121</v>
      </c>
      <c r="J3029" s="206" t="s">
        <v>121</v>
      </c>
      <c r="K3029" s="206" t="s">
        <v>121</v>
      </c>
      <c r="L3029" s="206" t="str">
        <v/>
      </c>
      <c r="M3029" s="206" t="str">
        <v/>
      </c>
    </row>
    <row r="3030" spans="1:13" ht="14.4">
      <c r="A3030" s="201"/>
      <c r="B3030" s="209"/>
      <c r="C3030" s="201"/>
      <c r="D3030" s="201"/>
      <c r="E3030" s="202"/>
      <c r="F3030" s="210"/>
      <c r="G3030" s="210"/>
      <c r="H3030" s="206" t="s">
        <v>121</v>
      </c>
      <c r="I3030" s="206" t="s">
        <v>121</v>
      </c>
      <c r="J3030" s="206" t="s">
        <v>121</v>
      </c>
      <c r="K3030" s="206" t="s">
        <v>121</v>
      </c>
      <c r="L3030" s="206" t="str">
        <v/>
      </c>
      <c r="M3030" s="206" t="str">
        <v/>
      </c>
    </row>
    <row r="3031" spans="1:13" ht="14.4">
      <c r="A3031" s="201"/>
      <c r="B3031" s="209"/>
      <c r="C3031" s="201"/>
      <c r="D3031" s="201"/>
      <c r="E3031" s="202"/>
      <c r="F3031" s="210"/>
      <c r="G3031" s="210"/>
      <c r="H3031" s="206" t="s">
        <v>121</v>
      </c>
      <c r="I3031" s="206" t="s">
        <v>121</v>
      </c>
      <c r="J3031" s="206" t="s">
        <v>121</v>
      </c>
      <c r="K3031" s="206" t="s">
        <v>121</v>
      </c>
      <c r="L3031" s="206" t="str">
        <v/>
      </c>
      <c r="M3031" s="206" t="str">
        <v/>
      </c>
    </row>
    <row r="3032" spans="1:13" ht="14.4">
      <c r="A3032" s="201"/>
      <c r="B3032" s="209"/>
      <c r="C3032" s="201"/>
      <c r="D3032" s="201"/>
      <c r="E3032" s="202"/>
      <c r="F3032" s="210"/>
      <c r="G3032" s="210"/>
      <c r="H3032" s="206" t="s">
        <v>121</v>
      </c>
      <c r="I3032" s="206" t="s">
        <v>121</v>
      </c>
      <c r="J3032" s="206" t="s">
        <v>121</v>
      </c>
      <c r="K3032" s="206" t="s">
        <v>121</v>
      </c>
      <c r="L3032" s="206" t="str">
        <v/>
      </c>
      <c r="M3032" s="206" t="str">
        <v/>
      </c>
    </row>
    <row r="3033" spans="1:13" ht="14.4">
      <c r="A3033" s="201"/>
      <c r="B3033" s="209"/>
      <c r="C3033" s="201"/>
      <c r="D3033" s="201"/>
      <c r="E3033" s="202"/>
      <c r="F3033" s="210"/>
      <c r="G3033" s="210"/>
      <c r="H3033" s="206" t="s">
        <v>121</v>
      </c>
      <c r="I3033" s="206" t="s">
        <v>121</v>
      </c>
      <c r="J3033" s="206" t="s">
        <v>121</v>
      </c>
      <c r="K3033" s="206" t="s">
        <v>121</v>
      </c>
      <c r="L3033" s="206" t="str">
        <v/>
      </c>
      <c r="M3033" s="206" t="str">
        <v/>
      </c>
    </row>
    <row r="3034" spans="1:13" ht="14.4">
      <c r="A3034" s="201"/>
      <c r="B3034" s="209"/>
      <c r="C3034" s="201"/>
      <c r="D3034" s="201"/>
      <c r="E3034" s="202"/>
      <c r="F3034" s="210"/>
      <c r="G3034" s="210"/>
      <c r="H3034" s="206" t="s">
        <v>121</v>
      </c>
      <c r="I3034" s="206" t="s">
        <v>121</v>
      </c>
      <c r="J3034" s="206" t="s">
        <v>121</v>
      </c>
      <c r="K3034" s="206" t="s">
        <v>121</v>
      </c>
      <c r="L3034" s="206" t="str">
        <v/>
      </c>
      <c r="M3034" s="206" t="str">
        <v/>
      </c>
    </row>
    <row r="3035" spans="1:13" ht="14.4">
      <c r="A3035" s="201"/>
      <c r="B3035" s="209"/>
      <c r="C3035" s="201"/>
      <c r="D3035" s="201"/>
      <c r="E3035" s="202"/>
      <c r="F3035" s="210"/>
      <c r="G3035" s="210"/>
      <c r="H3035" s="206" t="s">
        <v>121</v>
      </c>
      <c r="I3035" s="206" t="s">
        <v>121</v>
      </c>
      <c r="J3035" s="206" t="s">
        <v>121</v>
      </c>
      <c r="K3035" s="206" t="s">
        <v>121</v>
      </c>
      <c r="L3035" s="206" t="str">
        <v/>
      </c>
      <c r="M3035" s="206" t="str">
        <v/>
      </c>
    </row>
    <row r="3036" spans="1:13" ht="14.4">
      <c r="A3036" s="201"/>
      <c r="B3036" s="209"/>
      <c r="C3036" s="201"/>
      <c r="D3036" s="201"/>
      <c r="E3036" s="202"/>
      <c r="F3036" s="210"/>
      <c r="G3036" s="210"/>
      <c r="H3036" s="206" t="s">
        <v>121</v>
      </c>
      <c r="I3036" s="206" t="s">
        <v>121</v>
      </c>
      <c r="J3036" s="206" t="s">
        <v>121</v>
      </c>
      <c r="K3036" s="206" t="s">
        <v>121</v>
      </c>
      <c r="L3036" s="206" t="str">
        <v/>
      </c>
      <c r="M3036" s="206" t="str">
        <v/>
      </c>
    </row>
    <row r="3037" spans="1:13" ht="14.4">
      <c r="A3037" s="201"/>
      <c r="B3037" s="209"/>
      <c r="C3037" s="201"/>
      <c r="D3037" s="201"/>
      <c r="E3037" s="202"/>
      <c r="F3037" s="210"/>
      <c r="G3037" s="210"/>
      <c r="H3037" s="206" t="s">
        <v>121</v>
      </c>
      <c r="I3037" s="206" t="s">
        <v>121</v>
      </c>
      <c r="J3037" s="206" t="s">
        <v>121</v>
      </c>
      <c r="K3037" s="206" t="s">
        <v>121</v>
      </c>
      <c r="L3037" s="206" t="str">
        <v/>
      </c>
      <c r="M3037" s="206" t="str">
        <v/>
      </c>
    </row>
    <row r="3038" spans="1:13" ht="14.4">
      <c r="A3038" s="201"/>
      <c r="B3038" s="209"/>
      <c r="C3038" s="201"/>
      <c r="D3038" s="201"/>
      <c r="E3038" s="202"/>
      <c r="F3038" s="210"/>
      <c r="G3038" s="210"/>
      <c r="H3038" s="206" t="s">
        <v>121</v>
      </c>
      <c r="I3038" s="206" t="s">
        <v>121</v>
      </c>
      <c r="J3038" s="206" t="s">
        <v>121</v>
      </c>
      <c r="K3038" s="206" t="s">
        <v>121</v>
      </c>
      <c r="L3038" s="206" t="str">
        <v/>
      </c>
      <c r="M3038" s="206" t="str">
        <v/>
      </c>
    </row>
    <row r="3039" spans="1:13" ht="14.4">
      <c r="A3039" s="201"/>
      <c r="B3039" s="209"/>
      <c r="C3039" s="201"/>
      <c r="D3039" s="201"/>
      <c r="E3039" s="202"/>
      <c r="F3039" s="210"/>
      <c r="G3039" s="210"/>
      <c r="H3039" s="206" t="s">
        <v>121</v>
      </c>
      <c r="I3039" s="206" t="s">
        <v>121</v>
      </c>
      <c r="J3039" s="206" t="s">
        <v>121</v>
      </c>
      <c r="K3039" s="206" t="s">
        <v>121</v>
      </c>
      <c r="L3039" s="206" t="str">
        <v/>
      </c>
      <c r="M3039" s="206" t="str">
        <v/>
      </c>
    </row>
    <row r="3040" spans="1:13" ht="14.4">
      <c r="A3040" s="201"/>
      <c r="B3040" s="209"/>
      <c r="C3040" s="201"/>
      <c r="D3040" s="201"/>
      <c r="E3040" s="202"/>
      <c r="F3040" s="210"/>
      <c r="G3040" s="210"/>
      <c r="H3040" s="206" t="s">
        <v>121</v>
      </c>
      <c r="I3040" s="206" t="s">
        <v>121</v>
      </c>
      <c r="J3040" s="206" t="s">
        <v>121</v>
      </c>
      <c r="K3040" s="206" t="s">
        <v>121</v>
      </c>
      <c r="L3040" s="206" t="str">
        <v/>
      </c>
      <c r="M3040" s="206" t="str">
        <v/>
      </c>
    </row>
    <row r="3041" spans="1:13" ht="14.4">
      <c r="A3041" s="201"/>
      <c r="B3041" s="209"/>
      <c r="C3041" s="201"/>
      <c r="D3041" s="201"/>
      <c r="E3041" s="202"/>
      <c r="F3041" s="210"/>
      <c r="G3041" s="210"/>
      <c r="H3041" s="206" t="s">
        <v>121</v>
      </c>
      <c r="I3041" s="206" t="s">
        <v>121</v>
      </c>
      <c r="J3041" s="206" t="s">
        <v>121</v>
      </c>
      <c r="K3041" s="206" t="s">
        <v>121</v>
      </c>
      <c r="L3041" s="206" t="str">
        <v/>
      </c>
      <c r="M3041" s="206" t="str">
        <v/>
      </c>
    </row>
    <row r="3042" spans="1:13" ht="14.4">
      <c r="A3042" s="201"/>
      <c r="B3042" s="209"/>
      <c r="C3042" s="201"/>
      <c r="D3042" s="201"/>
      <c r="E3042" s="202"/>
      <c r="F3042" s="210"/>
      <c r="G3042" s="210"/>
      <c r="H3042" s="206" t="s">
        <v>121</v>
      </c>
      <c r="I3042" s="206" t="s">
        <v>121</v>
      </c>
      <c r="J3042" s="206" t="s">
        <v>121</v>
      </c>
      <c r="K3042" s="206" t="s">
        <v>121</v>
      </c>
      <c r="L3042" s="206" t="str">
        <v/>
      </c>
      <c r="M3042" s="206" t="str">
        <v/>
      </c>
    </row>
    <row r="3043" spans="1:13" ht="14.4">
      <c r="A3043" s="201"/>
      <c r="B3043" s="209"/>
      <c r="C3043" s="201"/>
      <c r="D3043" s="201"/>
      <c r="E3043" s="202"/>
      <c r="F3043" s="210"/>
      <c r="G3043" s="210"/>
      <c r="H3043" s="206" t="s">
        <v>121</v>
      </c>
      <c r="I3043" s="206" t="s">
        <v>121</v>
      </c>
      <c r="J3043" s="206" t="s">
        <v>121</v>
      </c>
      <c r="K3043" s="206" t="s">
        <v>121</v>
      </c>
      <c r="L3043" s="206" t="str">
        <v/>
      </c>
      <c r="M3043" s="206" t="str">
        <v/>
      </c>
    </row>
    <row r="3044" spans="1:13" ht="14.4">
      <c r="A3044" s="201"/>
      <c r="B3044" s="209"/>
      <c r="C3044" s="201"/>
      <c r="D3044" s="201"/>
      <c r="E3044" s="202"/>
      <c r="F3044" s="210"/>
      <c r="G3044" s="210"/>
      <c r="H3044" s="206" t="s">
        <v>121</v>
      </c>
      <c r="I3044" s="206" t="s">
        <v>121</v>
      </c>
      <c r="J3044" s="206" t="s">
        <v>121</v>
      </c>
      <c r="K3044" s="206" t="s">
        <v>121</v>
      </c>
      <c r="L3044" s="206" t="str">
        <v/>
      </c>
      <c r="M3044" s="206" t="str">
        <v/>
      </c>
    </row>
    <row r="3045" spans="1:13" ht="14.4">
      <c r="A3045" s="201"/>
      <c r="B3045" s="209"/>
      <c r="C3045" s="201"/>
      <c r="D3045" s="201"/>
      <c r="E3045" s="202"/>
      <c r="F3045" s="210"/>
      <c r="G3045" s="210"/>
      <c r="H3045" s="206" t="s">
        <v>121</v>
      </c>
      <c r="I3045" s="206" t="s">
        <v>121</v>
      </c>
      <c r="J3045" s="206" t="s">
        <v>121</v>
      </c>
      <c r="K3045" s="206" t="s">
        <v>121</v>
      </c>
      <c r="L3045" s="206" t="str">
        <v/>
      </c>
      <c r="M3045" s="206" t="str">
        <v/>
      </c>
    </row>
    <row r="3046" spans="1:13" ht="14.4">
      <c r="A3046" s="201"/>
      <c r="B3046" s="209"/>
      <c r="C3046" s="201"/>
      <c r="D3046" s="201"/>
      <c r="E3046" s="202"/>
      <c r="F3046" s="210"/>
      <c r="G3046" s="210"/>
      <c r="H3046" s="206" t="s">
        <v>121</v>
      </c>
      <c r="I3046" s="206" t="s">
        <v>121</v>
      </c>
      <c r="J3046" s="206" t="s">
        <v>121</v>
      </c>
      <c r="K3046" s="206" t="s">
        <v>121</v>
      </c>
      <c r="L3046" s="206" t="str">
        <v/>
      </c>
      <c r="M3046" s="206" t="str">
        <v/>
      </c>
    </row>
    <row r="3047" spans="1:13" ht="14.4">
      <c r="A3047" s="201"/>
      <c r="B3047" s="209"/>
      <c r="C3047" s="201"/>
      <c r="D3047" s="201"/>
      <c r="E3047" s="202"/>
      <c r="F3047" s="210"/>
      <c r="G3047" s="210"/>
      <c r="H3047" s="206" t="s">
        <v>121</v>
      </c>
      <c r="I3047" s="206" t="s">
        <v>121</v>
      </c>
      <c r="J3047" s="206" t="s">
        <v>121</v>
      </c>
      <c r="K3047" s="206" t="s">
        <v>121</v>
      </c>
      <c r="L3047" s="206" t="str">
        <v/>
      </c>
      <c r="M3047" s="206" t="str">
        <v/>
      </c>
    </row>
    <row r="3048" spans="1:13" ht="14.4">
      <c r="A3048" s="201"/>
      <c r="B3048" s="209"/>
      <c r="C3048" s="201"/>
      <c r="D3048" s="201"/>
      <c r="E3048" s="202"/>
      <c r="F3048" s="210"/>
      <c r="G3048" s="210"/>
      <c r="H3048" s="206" t="s">
        <v>121</v>
      </c>
      <c r="I3048" s="206" t="s">
        <v>121</v>
      </c>
      <c r="J3048" s="206" t="s">
        <v>121</v>
      </c>
      <c r="K3048" s="206" t="s">
        <v>121</v>
      </c>
      <c r="L3048" s="206" t="str">
        <v/>
      </c>
      <c r="M3048" s="206" t="str">
        <v/>
      </c>
    </row>
    <row r="3049" spans="1:13" ht="14.4">
      <c r="A3049" s="201"/>
      <c r="B3049" s="209"/>
      <c r="C3049" s="201"/>
      <c r="D3049" s="201"/>
      <c r="E3049" s="202"/>
      <c r="F3049" s="210"/>
      <c r="G3049" s="210"/>
      <c r="H3049" s="206" t="s">
        <v>121</v>
      </c>
      <c r="I3049" s="206" t="s">
        <v>121</v>
      </c>
      <c r="J3049" s="206" t="s">
        <v>121</v>
      </c>
      <c r="K3049" s="206" t="s">
        <v>121</v>
      </c>
      <c r="L3049" s="206" t="str">
        <v/>
      </c>
      <c r="M3049" s="206" t="str">
        <v/>
      </c>
    </row>
    <row r="3050" spans="1:13" ht="14.4">
      <c r="A3050" s="201"/>
      <c r="B3050" s="209"/>
      <c r="C3050" s="201"/>
      <c r="D3050" s="201"/>
      <c r="E3050" s="202"/>
      <c r="F3050" s="210"/>
      <c r="G3050" s="210"/>
      <c r="H3050" s="206" t="s">
        <v>121</v>
      </c>
      <c r="I3050" s="206" t="s">
        <v>121</v>
      </c>
      <c r="J3050" s="206" t="s">
        <v>121</v>
      </c>
      <c r="K3050" s="206" t="s">
        <v>121</v>
      </c>
      <c r="L3050" s="206" t="str">
        <v/>
      </c>
      <c r="M3050" s="206" t="str">
        <v/>
      </c>
    </row>
    <row r="3051" spans="1:13" ht="14.4">
      <c r="A3051" s="201"/>
      <c r="B3051" s="209"/>
      <c r="C3051" s="201"/>
      <c r="D3051" s="201"/>
      <c r="E3051" s="202"/>
      <c r="F3051" s="210"/>
      <c r="G3051" s="210"/>
      <c r="H3051" s="206" t="s">
        <v>121</v>
      </c>
      <c r="I3051" s="206" t="s">
        <v>121</v>
      </c>
      <c r="J3051" s="206" t="s">
        <v>121</v>
      </c>
      <c r="K3051" s="206" t="s">
        <v>121</v>
      </c>
      <c r="L3051" s="206" t="str">
        <v/>
      </c>
      <c r="M3051" s="206" t="str">
        <v/>
      </c>
    </row>
    <row r="3052" spans="1:13" ht="14.4">
      <c r="A3052" s="201"/>
      <c r="B3052" s="209"/>
      <c r="C3052" s="201"/>
      <c r="D3052" s="201"/>
      <c r="E3052" s="202"/>
      <c r="F3052" s="210"/>
      <c r="G3052" s="210"/>
      <c r="H3052" s="206" t="s">
        <v>121</v>
      </c>
      <c r="I3052" s="206" t="s">
        <v>121</v>
      </c>
      <c r="J3052" s="206" t="s">
        <v>121</v>
      </c>
      <c r="K3052" s="206" t="s">
        <v>121</v>
      </c>
      <c r="L3052" s="206" t="str">
        <v/>
      </c>
      <c r="M3052" s="206" t="str">
        <v/>
      </c>
    </row>
    <row r="3053" spans="1:13" ht="14.4">
      <c r="A3053" s="201"/>
      <c r="B3053" s="209"/>
      <c r="C3053" s="201"/>
      <c r="D3053" s="201"/>
      <c r="E3053" s="202"/>
      <c r="F3053" s="210"/>
      <c r="G3053" s="210"/>
      <c r="H3053" s="206" t="s">
        <v>121</v>
      </c>
      <c r="I3053" s="206" t="s">
        <v>121</v>
      </c>
      <c r="J3053" s="206" t="s">
        <v>121</v>
      </c>
      <c r="K3053" s="206" t="s">
        <v>121</v>
      </c>
      <c r="L3053" s="206" t="str">
        <v/>
      </c>
      <c r="M3053" s="206" t="str">
        <v/>
      </c>
    </row>
    <row r="3054" spans="1:13" ht="14.4">
      <c r="A3054" s="201"/>
      <c r="B3054" s="209"/>
      <c r="C3054" s="201"/>
      <c r="D3054" s="201"/>
      <c r="E3054" s="202"/>
      <c r="F3054" s="210"/>
      <c r="G3054" s="210"/>
      <c r="H3054" s="206" t="s">
        <v>121</v>
      </c>
      <c r="I3054" s="206" t="s">
        <v>121</v>
      </c>
      <c r="J3054" s="206" t="s">
        <v>121</v>
      </c>
      <c r="K3054" s="206" t="s">
        <v>121</v>
      </c>
      <c r="L3054" s="206" t="str">
        <v/>
      </c>
      <c r="M3054" s="206" t="str">
        <v/>
      </c>
    </row>
    <row r="3055" spans="1:13" ht="14.4">
      <c r="A3055" s="201"/>
      <c r="B3055" s="209"/>
      <c r="C3055" s="201"/>
      <c r="D3055" s="201"/>
      <c r="E3055" s="202"/>
      <c r="F3055" s="210"/>
      <c r="G3055" s="210"/>
      <c r="H3055" s="206" t="s">
        <v>121</v>
      </c>
      <c r="I3055" s="206" t="s">
        <v>121</v>
      </c>
      <c r="J3055" s="206" t="s">
        <v>121</v>
      </c>
      <c r="K3055" s="206" t="s">
        <v>121</v>
      </c>
      <c r="L3055" s="206" t="str">
        <v/>
      </c>
      <c r="M3055" s="206" t="str">
        <v/>
      </c>
    </row>
    <row r="3056" spans="1:13" ht="14.4">
      <c r="A3056" s="201"/>
      <c r="B3056" s="209"/>
      <c r="C3056" s="201"/>
      <c r="D3056" s="201"/>
      <c r="E3056" s="202"/>
      <c r="F3056" s="210"/>
      <c r="G3056" s="210"/>
      <c r="H3056" s="206" t="s">
        <v>121</v>
      </c>
      <c r="I3056" s="206" t="s">
        <v>121</v>
      </c>
      <c r="J3056" s="206" t="s">
        <v>121</v>
      </c>
      <c r="K3056" s="206" t="s">
        <v>121</v>
      </c>
      <c r="L3056" s="206" t="str">
        <v/>
      </c>
      <c r="M3056" s="206" t="str">
        <v/>
      </c>
    </row>
    <row r="3057" spans="1:13" ht="14.4">
      <c r="A3057" s="201"/>
      <c r="B3057" s="209"/>
      <c r="C3057" s="201"/>
      <c r="D3057" s="201"/>
      <c r="E3057" s="202"/>
      <c r="F3057" s="210"/>
      <c r="G3057" s="210"/>
      <c r="H3057" s="206" t="s">
        <v>121</v>
      </c>
      <c r="I3057" s="206" t="s">
        <v>121</v>
      </c>
      <c r="J3057" s="206" t="s">
        <v>121</v>
      </c>
      <c r="K3057" s="206" t="s">
        <v>121</v>
      </c>
      <c r="L3057" s="206" t="str">
        <v/>
      </c>
      <c r="M3057" s="206" t="str">
        <v/>
      </c>
    </row>
    <row r="3058" spans="1:13" ht="14.4">
      <c r="A3058" s="201"/>
      <c r="B3058" s="209"/>
      <c r="C3058" s="201"/>
      <c r="D3058" s="201"/>
      <c r="E3058" s="202"/>
      <c r="F3058" s="210"/>
      <c r="G3058" s="210"/>
      <c r="H3058" s="206" t="s">
        <v>121</v>
      </c>
      <c r="I3058" s="206" t="s">
        <v>121</v>
      </c>
      <c r="J3058" s="206" t="s">
        <v>121</v>
      </c>
      <c r="K3058" s="206" t="s">
        <v>121</v>
      </c>
      <c r="L3058" s="206" t="str">
        <v/>
      </c>
      <c r="M3058" s="206" t="str">
        <v/>
      </c>
    </row>
    <row r="3059" spans="1:13" ht="14.4">
      <c r="A3059" s="201"/>
      <c r="B3059" s="209"/>
      <c r="C3059" s="201"/>
      <c r="D3059" s="201"/>
      <c r="E3059" s="202"/>
      <c r="F3059" s="210"/>
      <c r="G3059" s="210"/>
      <c r="H3059" s="206" t="s">
        <v>121</v>
      </c>
      <c r="I3059" s="206" t="s">
        <v>121</v>
      </c>
      <c r="J3059" s="206" t="s">
        <v>121</v>
      </c>
      <c r="K3059" s="206" t="s">
        <v>121</v>
      </c>
      <c r="L3059" s="206" t="str">
        <v/>
      </c>
      <c r="M3059" s="206" t="str">
        <v/>
      </c>
    </row>
    <row r="3060" spans="1:13" ht="14.4">
      <c r="A3060" s="201"/>
      <c r="B3060" s="209"/>
      <c r="C3060" s="201"/>
      <c r="D3060" s="201"/>
      <c r="E3060" s="202"/>
      <c r="F3060" s="210"/>
      <c r="G3060" s="210"/>
      <c r="H3060" s="206" t="s">
        <v>121</v>
      </c>
      <c r="I3060" s="206" t="s">
        <v>121</v>
      </c>
      <c r="J3060" s="206" t="s">
        <v>121</v>
      </c>
      <c r="K3060" s="206" t="s">
        <v>121</v>
      </c>
      <c r="L3060" s="206" t="str">
        <v/>
      </c>
      <c r="M3060" s="206" t="str">
        <v/>
      </c>
    </row>
    <row r="3061" spans="1:13" ht="14.4">
      <c r="A3061" s="201"/>
      <c r="B3061" s="209"/>
      <c r="C3061" s="201"/>
      <c r="D3061" s="201"/>
      <c r="E3061" s="202"/>
      <c r="F3061" s="210"/>
      <c r="G3061" s="210"/>
      <c r="H3061" s="206" t="s">
        <v>121</v>
      </c>
      <c r="I3061" s="206" t="s">
        <v>121</v>
      </c>
      <c r="J3061" s="206" t="s">
        <v>121</v>
      </c>
      <c r="K3061" s="206" t="s">
        <v>121</v>
      </c>
      <c r="L3061" s="206" t="str">
        <v/>
      </c>
      <c r="M3061" s="206" t="str">
        <v/>
      </c>
    </row>
    <row r="3062" spans="1:13" ht="14.4">
      <c r="A3062" s="201"/>
      <c r="B3062" s="209"/>
      <c r="C3062" s="201"/>
      <c r="D3062" s="201"/>
      <c r="E3062" s="202"/>
      <c r="F3062" s="210"/>
      <c r="G3062" s="210"/>
      <c r="H3062" s="206" t="s">
        <v>121</v>
      </c>
      <c r="I3062" s="206" t="s">
        <v>121</v>
      </c>
      <c r="J3062" s="206" t="s">
        <v>121</v>
      </c>
      <c r="K3062" s="206" t="s">
        <v>121</v>
      </c>
      <c r="L3062" s="206" t="str">
        <v/>
      </c>
      <c r="M3062" s="206" t="str">
        <v/>
      </c>
    </row>
    <row r="3063" spans="1:13" ht="14.4">
      <c r="A3063" s="201"/>
      <c r="B3063" s="209"/>
      <c r="C3063" s="201"/>
      <c r="D3063" s="201"/>
      <c r="E3063" s="202"/>
      <c r="F3063" s="210"/>
      <c r="G3063" s="210"/>
      <c r="H3063" s="206" t="s">
        <v>121</v>
      </c>
      <c r="I3063" s="206" t="s">
        <v>121</v>
      </c>
      <c r="J3063" s="206" t="s">
        <v>121</v>
      </c>
      <c r="K3063" s="206" t="s">
        <v>121</v>
      </c>
      <c r="L3063" s="206" t="str">
        <v/>
      </c>
      <c r="M3063" s="206" t="str">
        <v/>
      </c>
    </row>
    <row r="3064" spans="1:13" ht="14.4">
      <c r="A3064" s="201"/>
      <c r="B3064" s="209"/>
      <c r="C3064" s="201"/>
      <c r="D3064" s="201"/>
      <c r="E3064" s="202"/>
      <c r="F3064" s="210"/>
      <c r="G3064" s="210"/>
      <c r="H3064" s="206" t="s">
        <v>121</v>
      </c>
      <c r="I3064" s="206" t="s">
        <v>121</v>
      </c>
      <c r="J3064" s="206" t="s">
        <v>121</v>
      </c>
      <c r="K3064" s="206" t="s">
        <v>121</v>
      </c>
      <c r="L3064" s="206" t="str">
        <v/>
      </c>
      <c r="M3064" s="206" t="str">
        <v/>
      </c>
    </row>
    <row r="3065" spans="1:13" ht="14.4">
      <c r="A3065" s="201"/>
      <c r="B3065" s="209"/>
      <c r="C3065" s="201"/>
      <c r="D3065" s="201"/>
      <c r="E3065" s="202"/>
      <c r="F3065" s="210"/>
      <c r="G3065" s="210"/>
      <c r="H3065" s="206" t="s">
        <v>121</v>
      </c>
      <c r="I3065" s="206" t="s">
        <v>121</v>
      </c>
      <c r="J3065" s="206" t="s">
        <v>121</v>
      </c>
      <c r="K3065" s="206" t="s">
        <v>121</v>
      </c>
      <c r="L3065" s="206" t="str">
        <v/>
      </c>
      <c r="M3065" s="206" t="str">
        <v/>
      </c>
    </row>
    <row r="3066" spans="1:13" ht="14.4">
      <c r="A3066" s="201"/>
      <c r="B3066" s="209"/>
      <c r="C3066" s="201"/>
      <c r="D3066" s="201"/>
      <c r="E3066" s="202"/>
      <c r="F3066" s="210"/>
      <c r="G3066" s="210"/>
      <c r="H3066" s="206" t="s">
        <v>121</v>
      </c>
      <c r="I3066" s="206" t="s">
        <v>121</v>
      </c>
      <c r="J3066" s="206" t="s">
        <v>121</v>
      </c>
      <c r="K3066" s="206" t="s">
        <v>121</v>
      </c>
      <c r="L3066" s="206" t="str">
        <v/>
      </c>
      <c r="M3066" s="206" t="str">
        <v/>
      </c>
    </row>
    <row r="3067" spans="1:13" ht="14.4">
      <c r="A3067" s="201"/>
      <c r="B3067" s="209"/>
      <c r="C3067" s="201"/>
      <c r="D3067" s="201"/>
      <c r="E3067" s="202"/>
      <c r="F3067" s="210"/>
      <c r="G3067" s="210"/>
      <c r="H3067" s="206" t="s">
        <v>121</v>
      </c>
      <c r="I3067" s="206" t="s">
        <v>121</v>
      </c>
      <c r="J3067" s="206" t="s">
        <v>121</v>
      </c>
      <c r="K3067" s="206" t="s">
        <v>121</v>
      </c>
      <c r="L3067" s="206" t="str">
        <v/>
      </c>
      <c r="M3067" s="206" t="str">
        <v/>
      </c>
    </row>
    <row r="3068" spans="1:13" ht="14.4">
      <c r="A3068" s="201"/>
      <c r="B3068" s="209"/>
      <c r="C3068" s="201"/>
      <c r="D3068" s="201"/>
      <c r="E3068" s="202"/>
      <c r="F3068" s="210"/>
      <c r="G3068" s="210"/>
      <c r="H3068" s="206" t="s">
        <v>121</v>
      </c>
      <c r="I3068" s="206" t="s">
        <v>121</v>
      </c>
      <c r="J3068" s="206" t="s">
        <v>121</v>
      </c>
      <c r="K3068" s="206" t="s">
        <v>121</v>
      </c>
      <c r="L3068" s="206" t="str">
        <v/>
      </c>
      <c r="M3068" s="206" t="str">
        <v/>
      </c>
    </row>
    <row r="3069" spans="1:13" ht="14.4">
      <c r="A3069" s="201"/>
      <c r="B3069" s="209"/>
      <c r="C3069" s="201"/>
      <c r="D3069" s="201"/>
      <c r="E3069" s="202"/>
      <c r="F3069" s="210"/>
      <c r="G3069" s="210"/>
      <c r="H3069" s="206" t="s">
        <v>121</v>
      </c>
      <c r="I3069" s="206" t="s">
        <v>121</v>
      </c>
      <c r="J3069" s="206" t="s">
        <v>121</v>
      </c>
      <c r="K3069" s="206" t="s">
        <v>121</v>
      </c>
      <c r="L3069" s="206" t="str">
        <v/>
      </c>
      <c r="M3069" s="206" t="str">
        <v/>
      </c>
    </row>
    <row r="3070" spans="1:13" ht="14.4">
      <c r="A3070" s="201"/>
      <c r="B3070" s="209"/>
      <c r="C3070" s="201"/>
      <c r="D3070" s="201"/>
      <c r="E3070" s="202"/>
      <c r="F3070" s="210"/>
      <c r="G3070" s="210"/>
      <c r="H3070" s="206" t="s">
        <v>121</v>
      </c>
      <c r="I3070" s="206" t="s">
        <v>121</v>
      </c>
      <c r="J3070" s="206" t="s">
        <v>121</v>
      </c>
      <c r="K3070" s="206" t="s">
        <v>121</v>
      </c>
      <c r="L3070" s="206" t="str">
        <v/>
      </c>
      <c r="M3070" s="206" t="str">
        <v/>
      </c>
    </row>
    <row r="3071" spans="1:13" ht="14.4">
      <c r="A3071" s="201"/>
      <c r="B3071" s="209"/>
      <c r="C3071" s="201"/>
      <c r="D3071" s="201"/>
      <c r="E3071" s="202"/>
      <c r="F3071" s="210"/>
      <c r="G3071" s="210"/>
      <c r="H3071" s="206" t="s">
        <v>121</v>
      </c>
      <c r="I3071" s="206" t="s">
        <v>121</v>
      </c>
      <c r="J3071" s="206" t="s">
        <v>121</v>
      </c>
      <c r="K3071" s="206" t="s">
        <v>121</v>
      </c>
      <c r="L3071" s="206" t="str">
        <v/>
      </c>
      <c r="M3071" s="206" t="str">
        <v/>
      </c>
    </row>
    <row r="3072" spans="1:13" ht="14.4">
      <c r="A3072" s="201"/>
      <c r="B3072" s="209"/>
      <c r="C3072" s="201"/>
      <c r="D3072" s="201"/>
      <c r="E3072" s="202"/>
      <c r="F3072" s="210"/>
      <c r="G3072" s="210"/>
      <c r="H3072" s="206" t="s">
        <v>121</v>
      </c>
      <c r="I3072" s="206" t="s">
        <v>121</v>
      </c>
      <c r="J3072" s="206" t="s">
        <v>121</v>
      </c>
      <c r="K3072" s="206" t="s">
        <v>121</v>
      </c>
      <c r="L3072" s="206" t="str">
        <v/>
      </c>
      <c r="M3072" s="206" t="str">
        <v/>
      </c>
    </row>
    <row r="3073" spans="1:13" ht="14.4">
      <c r="A3073" s="201"/>
      <c r="B3073" s="209"/>
      <c r="C3073" s="201"/>
      <c r="D3073" s="201"/>
      <c r="E3073" s="202"/>
      <c r="F3073" s="210"/>
      <c r="G3073" s="210"/>
      <c r="H3073" s="206" t="s">
        <v>121</v>
      </c>
      <c r="I3073" s="206" t="s">
        <v>121</v>
      </c>
      <c r="J3073" s="206" t="s">
        <v>121</v>
      </c>
      <c r="K3073" s="206" t="s">
        <v>121</v>
      </c>
      <c r="L3073" s="206" t="str">
        <v/>
      </c>
      <c r="M3073" s="206" t="str">
        <v/>
      </c>
    </row>
    <row r="3074" spans="1:13" ht="14.4">
      <c r="A3074" s="201"/>
      <c r="B3074" s="209"/>
      <c r="C3074" s="201"/>
      <c r="D3074" s="201"/>
      <c r="E3074" s="202"/>
      <c r="F3074" s="210"/>
      <c r="G3074" s="210"/>
      <c r="H3074" s="206" t="s">
        <v>121</v>
      </c>
      <c r="I3074" s="206" t="s">
        <v>121</v>
      </c>
      <c r="J3074" s="206" t="s">
        <v>121</v>
      </c>
      <c r="K3074" s="206" t="s">
        <v>121</v>
      </c>
      <c r="L3074" s="206" t="str">
        <v/>
      </c>
      <c r="M3074" s="206" t="str">
        <v/>
      </c>
    </row>
    <row r="3075" spans="1:13" ht="14.4">
      <c r="A3075" s="201"/>
      <c r="B3075" s="209"/>
      <c r="C3075" s="201"/>
      <c r="D3075" s="201"/>
      <c r="E3075" s="202"/>
      <c r="F3075" s="210"/>
      <c r="G3075" s="210"/>
      <c r="H3075" s="206" t="s">
        <v>121</v>
      </c>
      <c r="I3075" s="206" t="s">
        <v>121</v>
      </c>
      <c r="J3075" s="206" t="s">
        <v>121</v>
      </c>
      <c r="K3075" s="206" t="s">
        <v>121</v>
      </c>
      <c r="L3075" s="206" t="str">
        <v/>
      </c>
      <c r="M3075" s="206" t="str">
        <v/>
      </c>
    </row>
    <row r="3076" spans="1:13" ht="14.4">
      <c r="A3076" s="201"/>
      <c r="B3076" s="209"/>
      <c r="C3076" s="201"/>
      <c r="D3076" s="201"/>
      <c r="E3076" s="202"/>
      <c r="F3076" s="210"/>
      <c r="G3076" s="210"/>
      <c r="H3076" s="206" t="s">
        <v>121</v>
      </c>
      <c r="I3076" s="206" t="s">
        <v>121</v>
      </c>
      <c r="J3076" s="206" t="s">
        <v>121</v>
      </c>
      <c r="K3076" s="206" t="s">
        <v>121</v>
      </c>
      <c r="L3076" s="206" t="str">
        <v/>
      </c>
      <c r="M3076" s="206" t="str">
        <v/>
      </c>
    </row>
    <row r="3077" spans="1:13" ht="14.4">
      <c r="A3077" s="201"/>
      <c r="B3077" s="209"/>
      <c r="C3077" s="201"/>
      <c r="D3077" s="201"/>
      <c r="E3077" s="202"/>
      <c r="F3077" s="210"/>
      <c r="G3077" s="210"/>
      <c r="H3077" s="206" t="s">
        <v>121</v>
      </c>
      <c r="I3077" s="206" t="s">
        <v>121</v>
      </c>
      <c r="J3077" s="206" t="s">
        <v>121</v>
      </c>
      <c r="K3077" s="206" t="s">
        <v>121</v>
      </c>
      <c r="L3077" s="206" t="str">
        <v/>
      </c>
      <c r="M3077" s="206" t="str">
        <v/>
      </c>
    </row>
    <row r="3078" spans="1:13" ht="14.4">
      <c r="A3078" s="201"/>
      <c r="B3078" s="209"/>
      <c r="C3078" s="201"/>
      <c r="D3078" s="201"/>
      <c r="E3078" s="202"/>
      <c r="F3078" s="210"/>
      <c r="G3078" s="210"/>
      <c r="H3078" s="206" t="s">
        <v>121</v>
      </c>
      <c r="I3078" s="206" t="s">
        <v>121</v>
      </c>
      <c r="J3078" s="206" t="s">
        <v>121</v>
      </c>
      <c r="K3078" s="206" t="s">
        <v>121</v>
      </c>
      <c r="L3078" s="206" t="str">
        <v/>
      </c>
      <c r="M3078" s="206" t="str">
        <v/>
      </c>
    </row>
    <row r="3079" spans="1:13" ht="14.4">
      <c r="A3079" s="201"/>
      <c r="B3079" s="209"/>
      <c r="C3079" s="201"/>
      <c r="D3079" s="201"/>
      <c r="E3079" s="202"/>
      <c r="F3079" s="210"/>
      <c r="G3079" s="210"/>
      <c r="H3079" s="206" t="s">
        <v>121</v>
      </c>
      <c r="I3079" s="206" t="s">
        <v>121</v>
      </c>
      <c r="J3079" s="206" t="s">
        <v>121</v>
      </c>
      <c r="K3079" s="206" t="s">
        <v>121</v>
      </c>
      <c r="L3079" s="206" t="str">
        <v/>
      </c>
      <c r="M3079" s="206" t="str">
        <v/>
      </c>
    </row>
    <row r="3080" spans="1:13" ht="14.4">
      <c r="A3080" s="201"/>
      <c r="B3080" s="209"/>
      <c r="C3080" s="201"/>
      <c r="D3080" s="201"/>
      <c r="E3080" s="202"/>
      <c r="F3080" s="210"/>
      <c r="G3080" s="210"/>
      <c r="H3080" s="206" t="s">
        <v>121</v>
      </c>
      <c r="I3080" s="206" t="s">
        <v>121</v>
      </c>
      <c r="J3080" s="206" t="s">
        <v>121</v>
      </c>
      <c r="K3080" s="206" t="s">
        <v>121</v>
      </c>
      <c r="L3080" s="206" t="str">
        <v/>
      </c>
      <c r="M3080" s="206" t="str">
        <v/>
      </c>
    </row>
    <row r="3081" spans="1:13" ht="14.4">
      <c r="A3081" s="201"/>
      <c r="B3081" s="209"/>
      <c r="C3081" s="201"/>
      <c r="D3081" s="201"/>
      <c r="E3081" s="202"/>
      <c r="F3081" s="210"/>
      <c r="G3081" s="210"/>
      <c r="H3081" s="206" t="s">
        <v>121</v>
      </c>
      <c r="I3081" s="206" t="s">
        <v>121</v>
      </c>
      <c r="J3081" s="206" t="s">
        <v>121</v>
      </c>
      <c r="K3081" s="206" t="s">
        <v>121</v>
      </c>
      <c r="L3081" s="206" t="str">
        <v/>
      </c>
      <c r="M3081" s="206" t="str">
        <v/>
      </c>
    </row>
    <row r="3082" spans="1:13" ht="14.4">
      <c r="A3082" s="201"/>
      <c r="B3082" s="209"/>
      <c r="C3082" s="201"/>
      <c r="D3082" s="201"/>
      <c r="E3082" s="202"/>
      <c r="F3082" s="210"/>
      <c r="G3082" s="210"/>
      <c r="H3082" s="206" t="s">
        <v>121</v>
      </c>
      <c r="I3082" s="206" t="s">
        <v>121</v>
      </c>
      <c r="J3082" s="206" t="s">
        <v>121</v>
      </c>
      <c r="K3082" s="206" t="s">
        <v>121</v>
      </c>
      <c r="L3082" s="206" t="str">
        <v/>
      </c>
      <c r="M3082" s="206" t="str">
        <v/>
      </c>
    </row>
    <row r="3083" spans="1:13" ht="14.4">
      <c r="A3083" s="201"/>
      <c r="B3083" s="209"/>
      <c r="C3083" s="201"/>
      <c r="D3083" s="201"/>
      <c r="E3083" s="202"/>
      <c r="F3083" s="210"/>
      <c r="G3083" s="210"/>
      <c r="H3083" s="206" t="s">
        <v>121</v>
      </c>
      <c r="I3083" s="206" t="s">
        <v>121</v>
      </c>
      <c r="J3083" s="206" t="s">
        <v>121</v>
      </c>
      <c r="K3083" s="206" t="s">
        <v>121</v>
      </c>
      <c r="L3083" s="206" t="str">
        <v/>
      </c>
      <c r="M3083" s="206" t="str">
        <v/>
      </c>
    </row>
    <row r="3084" spans="1:13" ht="14.4">
      <c r="A3084" s="201"/>
      <c r="B3084" s="209"/>
      <c r="C3084" s="201"/>
      <c r="D3084" s="201"/>
      <c r="E3084" s="202"/>
      <c r="F3084" s="210"/>
      <c r="G3084" s="210"/>
      <c r="H3084" s="206" t="s">
        <v>121</v>
      </c>
      <c r="I3084" s="206" t="s">
        <v>121</v>
      </c>
      <c r="J3084" s="206" t="s">
        <v>121</v>
      </c>
      <c r="K3084" s="206" t="s">
        <v>121</v>
      </c>
      <c r="L3084" s="206" t="str">
        <v/>
      </c>
      <c r="M3084" s="206" t="str">
        <v/>
      </c>
    </row>
    <row r="3085" spans="1:13" ht="14.4">
      <c r="A3085" s="201"/>
      <c r="B3085" s="209"/>
      <c r="C3085" s="201"/>
      <c r="D3085" s="201"/>
      <c r="E3085" s="202"/>
      <c r="F3085" s="210"/>
      <c r="G3085" s="210"/>
      <c r="H3085" s="206" t="s">
        <v>121</v>
      </c>
      <c r="I3085" s="206" t="s">
        <v>121</v>
      </c>
      <c r="J3085" s="206" t="s">
        <v>121</v>
      </c>
      <c r="K3085" s="206" t="s">
        <v>121</v>
      </c>
      <c r="L3085" s="206" t="str">
        <v/>
      </c>
      <c r="M3085" s="206" t="str">
        <v/>
      </c>
    </row>
    <row r="3086" spans="1:13" ht="14.4">
      <c r="A3086" s="201"/>
      <c r="B3086" s="209"/>
      <c r="C3086" s="201"/>
      <c r="D3086" s="201"/>
      <c r="E3086" s="202"/>
      <c r="F3086" s="210"/>
      <c r="G3086" s="210"/>
      <c r="H3086" s="206" t="s">
        <v>121</v>
      </c>
      <c r="I3086" s="206" t="s">
        <v>121</v>
      </c>
      <c r="J3086" s="206" t="s">
        <v>121</v>
      </c>
      <c r="K3086" s="206" t="s">
        <v>121</v>
      </c>
      <c r="L3086" s="206" t="str">
        <v/>
      </c>
      <c r="M3086" s="206" t="str">
        <v/>
      </c>
    </row>
    <row r="3087" spans="1:13" ht="14.4">
      <c r="A3087" s="201"/>
      <c r="B3087" s="209"/>
      <c r="C3087" s="201"/>
      <c r="D3087" s="201"/>
      <c r="E3087" s="202"/>
      <c r="F3087" s="210"/>
      <c r="G3087" s="210"/>
      <c r="H3087" s="206" t="s">
        <v>121</v>
      </c>
      <c r="I3087" s="206" t="s">
        <v>121</v>
      </c>
      <c r="J3087" s="206" t="s">
        <v>121</v>
      </c>
      <c r="K3087" s="206" t="s">
        <v>121</v>
      </c>
      <c r="L3087" s="206" t="str">
        <v/>
      </c>
      <c r="M3087" s="206" t="str">
        <v/>
      </c>
    </row>
    <row r="3088" spans="1:13" ht="14.4">
      <c r="A3088" s="201"/>
      <c r="B3088" s="209"/>
      <c r="C3088" s="201"/>
      <c r="D3088" s="201"/>
      <c r="E3088" s="202"/>
      <c r="F3088" s="210"/>
      <c r="G3088" s="210"/>
      <c r="H3088" s="206" t="s">
        <v>121</v>
      </c>
      <c r="I3088" s="206" t="s">
        <v>121</v>
      </c>
      <c r="J3088" s="206" t="s">
        <v>121</v>
      </c>
      <c r="K3088" s="206" t="s">
        <v>121</v>
      </c>
      <c r="L3088" s="206" t="str">
        <v/>
      </c>
      <c r="M3088" s="206" t="str">
        <v/>
      </c>
    </row>
    <row r="3089" spans="1:13" ht="14.4">
      <c r="A3089" s="201"/>
      <c r="B3089" s="209"/>
      <c r="C3089" s="201"/>
      <c r="D3089" s="201"/>
      <c r="E3089" s="202"/>
      <c r="F3089" s="210"/>
      <c r="G3089" s="210"/>
      <c r="H3089" s="206" t="s">
        <v>121</v>
      </c>
      <c r="I3089" s="206" t="s">
        <v>121</v>
      </c>
      <c r="J3089" s="206" t="s">
        <v>121</v>
      </c>
      <c r="K3089" s="206" t="s">
        <v>121</v>
      </c>
      <c r="L3089" s="206" t="str">
        <v/>
      </c>
      <c r="M3089" s="206" t="str">
        <v/>
      </c>
    </row>
    <row r="3090" spans="1:13" ht="14.4">
      <c r="A3090" s="201"/>
      <c r="B3090" s="209"/>
      <c r="C3090" s="201"/>
      <c r="D3090" s="201"/>
      <c r="E3090" s="202"/>
      <c r="F3090" s="210"/>
      <c r="G3090" s="210"/>
      <c r="H3090" s="206" t="s">
        <v>121</v>
      </c>
      <c r="I3090" s="206" t="s">
        <v>121</v>
      </c>
      <c r="J3090" s="206" t="s">
        <v>121</v>
      </c>
      <c r="K3090" s="206" t="s">
        <v>121</v>
      </c>
      <c r="L3090" s="206" t="str">
        <v/>
      </c>
      <c r="M3090" s="206" t="str">
        <v/>
      </c>
    </row>
    <row r="3091" spans="1:13" ht="14.4">
      <c r="A3091" s="201"/>
      <c r="B3091" s="209"/>
      <c r="C3091" s="201"/>
      <c r="D3091" s="201"/>
      <c r="E3091" s="202"/>
      <c r="F3091" s="210"/>
      <c r="G3091" s="210"/>
      <c r="H3091" s="206" t="s">
        <v>121</v>
      </c>
      <c r="I3091" s="206" t="s">
        <v>121</v>
      </c>
      <c r="J3091" s="206" t="s">
        <v>121</v>
      </c>
      <c r="K3091" s="206" t="s">
        <v>121</v>
      </c>
      <c r="L3091" s="206" t="str">
        <v/>
      </c>
      <c r="M3091" s="206" t="str">
        <v/>
      </c>
    </row>
    <row r="3092" spans="1:13" ht="14.4">
      <c r="A3092" s="201"/>
      <c r="B3092" s="209"/>
      <c r="C3092" s="201"/>
      <c r="D3092" s="201"/>
      <c r="E3092" s="202"/>
      <c r="F3092" s="210"/>
      <c r="G3092" s="210"/>
      <c r="H3092" s="206" t="s">
        <v>121</v>
      </c>
      <c r="I3092" s="206" t="s">
        <v>121</v>
      </c>
      <c r="J3092" s="206" t="s">
        <v>121</v>
      </c>
      <c r="K3092" s="206" t="s">
        <v>121</v>
      </c>
      <c r="L3092" s="206" t="str">
        <v/>
      </c>
      <c r="M3092" s="206" t="str">
        <v/>
      </c>
    </row>
    <row r="3093" spans="1:13" ht="14.4">
      <c r="A3093" s="201"/>
      <c r="B3093" s="209"/>
      <c r="C3093" s="201"/>
      <c r="D3093" s="201"/>
      <c r="E3093" s="202"/>
      <c r="F3093" s="210"/>
      <c r="G3093" s="210"/>
      <c r="H3093" s="206" t="s">
        <v>121</v>
      </c>
      <c r="I3093" s="206" t="s">
        <v>121</v>
      </c>
      <c r="J3093" s="206" t="s">
        <v>121</v>
      </c>
      <c r="K3093" s="206" t="s">
        <v>121</v>
      </c>
      <c r="L3093" s="206" t="str">
        <v/>
      </c>
      <c r="M3093" s="206" t="str">
        <v/>
      </c>
    </row>
    <row r="3094" spans="1:13" ht="14.4">
      <c r="A3094" s="201"/>
      <c r="B3094" s="209"/>
      <c r="C3094" s="201"/>
      <c r="D3094" s="201"/>
      <c r="E3094" s="202"/>
      <c r="F3094" s="210"/>
      <c r="G3094" s="210"/>
      <c r="H3094" s="206" t="s">
        <v>121</v>
      </c>
      <c r="I3094" s="206" t="s">
        <v>121</v>
      </c>
      <c r="J3094" s="206" t="s">
        <v>121</v>
      </c>
      <c r="K3094" s="206" t="s">
        <v>121</v>
      </c>
      <c r="L3094" s="206" t="str">
        <v/>
      </c>
      <c r="M3094" s="206" t="str">
        <v/>
      </c>
    </row>
    <row r="3095" spans="1:13" ht="14.4">
      <c r="A3095" s="201"/>
      <c r="B3095" s="209"/>
      <c r="C3095" s="201"/>
      <c r="D3095" s="201"/>
      <c r="E3095" s="202"/>
      <c r="F3095" s="210"/>
      <c r="G3095" s="210"/>
      <c r="H3095" s="206" t="s">
        <v>121</v>
      </c>
      <c r="I3095" s="206" t="s">
        <v>121</v>
      </c>
      <c r="J3095" s="206" t="s">
        <v>121</v>
      </c>
      <c r="K3095" s="206" t="s">
        <v>121</v>
      </c>
      <c r="L3095" s="206" t="str">
        <v/>
      </c>
      <c r="M3095" s="206" t="str">
        <v/>
      </c>
    </row>
    <row r="3096" spans="1:13" ht="14.4">
      <c r="A3096" s="201"/>
      <c r="B3096" s="209"/>
      <c r="C3096" s="201"/>
      <c r="D3096" s="201"/>
      <c r="E3096" s="202"/>
      <c r="F3096" s="210"/>
      <c r="G3096" s="210"/>
      <c r="H3096" s="206" t="s">
        <v>121</v>
      </c>
      <c r="I3096" s="206" t="s">
        <v>121</v>
      </c>
      <c r="J3096" s="206" t="s">
        <v>121</v>
      </c>
      <c r="K3096" s="206" t="s">
        <v>121</v>
      </c>
      <c r="L3096" s="206" t="str">
        <v/>
      </c>
      <c r="M3096" s="206" t="str">
        <v/>
      </c>
    </row>
    <row r="3097" spans="1:13" ht="14.4">
      <c r="A3097" s="201"/>
      <c r="B3097" s="209"/>
      <c r="C3097" s="201"/>
      <c r="D3097" s="201"/>
      <c r="E3097" s="202"/>
      <c r="F3097" s="210"/>
      <c r="G3097" s="210"/>
      <c r="H3097" s="206" t="s">
        <v>121</v>
      </c>
      <c r="I3097" s="206" t="s">
        <v>121</v>
      </c>
      <c r="J3097" s="206" t="s">
        <v>121</v>
      </c>
      <c r="K3097" s="206" t="s">
        <v>121</v>
      </c>
      <c r="L3097" s="206" t="str">
        <v/>
      </c>
      <c r="M3097" s="206" t="str">
        <v/>
      </c>
    </row>
    <row r="3098" spans="1:13" ht="14.4">
      <c r="A3098" s="201"/>
      <c r="B3098" s="209"/>
      <c r="C3098" s="201"/>
      <c r="D3098" s="201"/>
      <c r="E3098" s="202"/>
      <c r="F3098" s="210"/>
      <c r="G3098" s="210"/>
      <c r="H3098" s="206" t="s">
        <v>121</v>
      </c>
      <c r="I3098" s="206" t="s">
        <v>121</v>
      </c>
      <c r="J3098" s="206" t="s">
        <v>121</v>
      </c>
      <c r="K3098" s="206" t="s">
        <v>121</v>
      </c>
      <c r="L3098" s="206" t="str">
        <v/>
      </c>
      <c r="M3098" s="206" t="str">
        <v/>
      </c>
    </row>
    <row r="3099" spans="1:13" ht="14.4">
      <c r="A3099" s="201"/>
      <c r="B3099" s="209"/>
      <c r="C3099" s="201"/>
      <c r="D3099" s="201"/>
      <c r="E3099" s="202"/>
      <c r="F3099" s="210"/>
      <c r="G3099" s="210"/>
      <c r="H3099" s="206" t="s">
        <v>121</v>
      </c>
      <c r="I3099" s="206" t="s">
        <v>121</v>
      </c>
      <c r="J3099" s="206" t="s">
        <v>121</v>
      </c>
      <c r="K3099" s="206" t="s">
        <v>121</v>
      </c>
      <c r="L3099" s="206" t="str">
        <v/>
      </c>
      <c r="M3099" s="206" t="str">
        <v/>
      </c>
    </row>
    <row r="3100" spans="1:13" ht="14.4">
      <c r="A3100" s="201"/>
      <c r="B3100" s="209"/>
      <c r="C3100" s="201"/>
      <c r="D3100" s="201"/>
      <c r="E3100" s="202"/>
      <c r="F3100" s="210"/>
      <c r="G3100" s="210"/>
      <c r="H3100" s="206" t="s">
        <v>121</v>
      </c>
      <c r="I3100" s="206" t="s">
        <v>121</v>
      </c>
      <c r="J3100" s="206" t="s">
        <v>121</v>
      </c>
      <c r="K3100" s="206" t="s">
        <v>121</v>
      </c>
      <c r="L3100" s="206" t="str">
        <v/>
      </c>
      <c r="M3100" s="206" t="str">
        <v/>
      </c>
    </row>
    <row r="3101" spans="1:13" ht="14.4">
      <c r="A3101" s="201"/>
      <c r="B3101" s="209"/>
      <c r="C3101" s="201"/>
      <c r="D3101" s="201"/>
      <c r="E3101" s="202"/>
      <c r="F3101" s="210"/>
      <c r="G3101" s="210"/>
      <c r="H3101" s="206" t="s">
        <v>121</v>
      </c>
      <c r="I3101" s="206" t="s">
        <v>121</v>
      </c>
      <c r="J3101" s="206" t="s">
        <v>121</v>
      </c>
      <c r="K3101" s="206" t="s">
        <v>121</v>
      </c>
      <c r="L3101" s="206" t="str">
        <v/>
      </c>
      <c r="M3101" s="206" t="str">
        <v/>
      </c>
    </row>
    <row r="3102" spans="1:13" ht="14.4">
      <c r="A3102" s="201"/>
      <c r="B3102" s="209"/>
      <c r="C3102" s="201"/>
      <c r="D3102" s="201"/>
      <c r="E3102" s="202"/>
      <c r="F3102" s="210"/>
      <c r="G3102" s="210"/>
      <c r="H3102" s="206" t="s">
        <v>121</v>
      </c>
      <c r="I3102" s="206" t="s">
        <v>121</v>
      </c>
      <c r="J3102" s="206" t="s">
        <v>121</v>
      </c>
      <c r="K3102" s="206" t="s">
        <v>121</v>
      </c>
      <c r="L3102" s="206" t="str">
        <v/>
      </c>
      <c r="M3102" s="206" t="str">
        <v/>
      </c>
    </row>
    <row r="3103" spans="1:13" ht="14.4">
      <c r="A3103" s="201"/>
      <c r="B3103" s="209"/>
      <c r="C3103" s="201"/>
      <c r="D3103" s="201"/>
      <c r="E3103" s="202"/>
      <c r="F3103" s="210"/>
      <c r="G3103" s="210"/>
      <c r="H3103" s="206" t="s">
        <v>121</v>
      </c>
      <c r="I3103" s="206" t="s">
        <v>121</v>
      </c>
      <c r="J3103" s="206" t="s">
        <v>121</v>
      </c>
      <c r="K3103" s="206" t="s">
        <v>121</v>
      </c>
      <c r="L3103" s="206" t="str">
        <v/>
      </c>
      <c r="M3103" s="206" t="str">
        <v/>
      </c>
    </row>
    <row r="3104" spans="1:13" ht="14.4">
      <c r="A3104" s="201"/>
      <c r="B3104" s="209"/>
      <c r="C3104" s="201"/>
      <c r="D3104" s="201"/>
      <c r="E3104" s="202"/>
      <c r="F3104" s="210"/>
      <c r="G3104" s="210"/>
      <c r="H3104" s="206" t="s">
        <v>121</v>
      </c>
      <c r="I3104" s="206" t="s">
        <v>121</v>
      </c>
      <c r="J3104" s="206" t="s">
        <v>121</v>
      </c>
      <c r="K3104" s="206" t="s">
        <v>121</v>
      </c>
      <c r="L3104" s="206" t="str">
        <v/>
      </c>
      <c r="M3104" s="206" t="str">
        <v/>
      </c>
    </row>
    <row r="3105" spans="1:13" ht="14.4">
      <c r="A3105" s="201"/>
      <c r="B3105" s="209"/>
      <c r="C3105" s="201"/>
      <c r="D3105" s="201"/>
      <c r="E3105" s="202"/>
      <c r="F3105" s="210"/>
      <c r="G3105" s="210"/>
      <c r="H3105" s="206" t="s">
        <v>121</v>
      </c>
      <c r="I3105" s="206" t="s">
        <v>121</v>
      </c>
      <c r="J3105" s="206" t="s">
        <v>121</v>
      </c>
      <c r="K3105" s="206" t="s">
        <v>121</v>
      </c>
      <c r="L3105" s="206" t="str">
        <v/>
      </c>
      <c r="M3105" s="206" t="str">
        <v/>
      </c>
    </row>
    <row r="3106" spans="1:13" ht="14.4">
      <c r="A3106" s="201"/>
      <c r="B3106" s="209"/>
      <c r="C3106" s="201"/>
      <c r="D3106" s="201"/>
      <c r="E3106" s="202"/>
      <c r="F3106" s="210"/>
      <c r="G3106" s="210"/>
      <c r="H3106" s="206" t="s">
        <v>121</v>
      </c>
      <c r="I3106" s="206" t="s">
        <v>121</v>
      </c>
      <c r="J3106" s="206" t="s">
        <v>121</v>
      </c>
      <c r="K3106" s="206" t="s">
        <v>121</v>
      </c>
      <c r="L3106" s="206" t="str">
        <v/>
      </c>
      <c r="M3106" s="206" t="str">
        <v/>
      </c>
    </row>
    <row r="3107" spans="1:13" ht="14.4">
      <c r="A3107" s="201"/>
      <c r="B3107" s="209"/>
      <c r="C3107" s="201"/>
      <c r="D3107" s="201"/>
      <c r="E3107" s="202"/>
      <c r="F3107" s="210"/>
      <c r="G3107" s="210"/>
      <c r="H3107" s="206" t="s">
        <v>121</v>
      </c>
      <c r="I3107" s="206" t="s">
        <v>121</v>
      </c>
      <c r="J3107" s="206" t="s">
        <v>121</v>
      </c>
      <c r="K3107" s="206" t="s">
        <v>121</v>
      </c>
      <c r="L3107" s="206" t="str">
        <v/>
      </c>
      <c r="M3107" s="206" t="str">
        <v/>
      </c>
    </row>
    <row r="3108" spans="1:13" ht="14.4">
      <c r="A3108" s="201"/>
      <c r="B3108" s="209"/>
      <c r="C3108" s="201"/>
      <c r="D3108" s="201"/>
      <c r="E3108" s="202"/>
      <c r="F3108" s="210"/>
      <c r="G3108" s="210"/>
      <c r="H3108" s="206" t="s">
        <v>121</v>
      </c>
      <c r="I3108" s="206" t="s">
        <v>121</v>
      </c>
      <c r="J3108" s="206" t="s">
        <v>121</v>
      </c>
      <c r="K3108" s="206" t="s">
        <v>121</v>
      </c>
      <c r="L3108" s="206" t="str">
        <v/>
      </c>
      <c r="M3108" s="206" t="str">
        <v/>
      </c>
    </row>
    <row r="3109" spans="1:13" ht="14.4">
      <c r="A3109" s="201"/>
      <c r="B3109" s="209"/>
      <c r="C3109" s="201"/>
      <c r="D3109" s="201"/>
      <c r="E3109" s="202"/>
      <c r="F3109" s="210"/>
      <c r="G3109" s="210"/>
      <c r="H3109" s="206" t="s">
        <v>121</v>
      </c>
      <c r="I3109" s="206" t="s">
        <v>121</v>
      </c>
      <c r="J3109" s="206" t="s">
        <v>121</v>
      </c>
      <c r="K3109" s="206" t="s">
        <v>121</v>
      </c>
      <c r="L3109" s="206" t="str">
        <v/>
      </c>
      <c r="M3109" s="206" t="str">
        <v/>
      </c>
    </row>
    <row r="3110" spans="1:13" ht="14.4">
      <c r="A3110" s="201"/>
      <c r="B3110" s="209"/>
      <c r="C3110" s="201"/>
      <c r="D3110" s="201"/>
      <c r="E3110" s="202"/>
      <c r="F3110" s="210"/>
      <c r="G3110" s="210"/>
      <c r="H3110" s="206" t="s">
        <v>121</v>
      </c>
      <c r="I3110" s="206" t="s">
        <v>121</v>
      </c>
      <c r="J3110" s="206" t="s">
        <v>121</v>
      </c>
      <c r="K3110" s="206" t="s">
        <v>121</v>
      </c>
      <c r="L3110" s="206" t="str">
        <v/>
      </c>
      <c r="M3110" s="206" t="str">
        <v/>
      </c>
    </row>
    <row r="3111" spans="1:13" ht="14.4">
      <c r="A3111" s="201"/>
      <c r="B3111" s="209"/>
      <c r="C3111" s="201"/>
      <c r="D3111" s="201"/>
      <c r="E3111" s="202"/>
      <c r="F3111" s="210"/>
      <c r="G3111" s="210"/>
      <c r="H3111" s="206" t="s">
        <v>121</v>
      </c>
      <c r="I3111" s="206" t="s">
        <v>121</v>
      </c>
      <c r="J3111" s="206" t="s">
        <v>121</v>
      </c>
      <c r="K3111" s="206" t="s">
        <v>121</v>
      </c>
      <c r="L3111" s="206" t="str">
        <v/>
      </c>
      <c r="M3111" s="206" t="str">
        <v/>
      </c>
    </row>
    <row r="3112" spans="1:13" ht="14.4">
      <c r="A3112" s="201"/>
      <c r="B3112" s="209"/>
      <c r="C3112" s="201"/>
      <c r="D3112" s="201"/>
      <c r="E3112" s="202"/>
      <c r="F3112" s="210"/>
      <c r="G3112" s="210"/>
      <c r="H3112" s="206" t="s">
        <v>121</v>
      </c>
      <c r="I3112" s="206" t="s">
        <v>121</v>
      </c>
      <c r="J3112" s="206" t="s">
        <v>121</v>
      </c>
      <c r="K3112" s="206" t="s">
        <v>121</v>
      </c>
      <c r="L3112" s="206" t="str">
        <v/>
      </c>
      <c r="M3112" s="206" t="str">
        <v/>
      </c>
    </row>
    <row r="3113" spans="1:13" ht="14.4">
      <c r="A3113" s="201"/>
      <c r="B3113" s="209"/>
      <c r="C3113" s="201"/>
      <c r="D3113" s="201"/>
      <c r="E3113" s="202"/>
      <c r="F3113" s="210"/>
      <c r="G3113" s="210"/>
      <c r="H3113" s="206" t="s">
        <v>121</v>
      </c>
      <c r="I3113" s="206" t="s">
        <v>121</v>
      </c>
      <c r="J3113" s="206" t="s">
        <v>121</v>
      </c>
      <c r="K3113" s="206" t="s">
        <v>121</v>
      </c>
      <c r="L3113" s="206" t="str">
        <v/>
      </c>
      <c r="M3113" s="206" t="str">
        <v/>
      </c>
    </row>
    <row r="3114" spans="1:13" ht="14.4">
      <c r="A3114" s="201"/>
      <c r="B3114" s="209"/>
      <c r="C3114" s="201"/>
      <c r="D3114" s="201"/>
      <c r="E3114" s="202"/>
      <c r="F3114" s="210"/>
      <c r="G3114" s="210"/>
      <c r="H3114" s="206" t="s">
        <v>121</v>
      </c>
      <c r="I3114" s="206" t="s">
        <v>121</v>
      </c>
      <c r="J3114" s="206" t="s">
        <v>121</v>
      </c>
      <c r="K3114" s="206" t="s">
        <v>121</v>
      </c>
      <c r="L3114" s="206" t="str">
        <v/>
      </c>
      <c r="M3114" s="206" t="str">
        <v/>
      </c>
    </row>
    <row r="3115" spans="1:13" ht="14.4">
      <c r="A3115" s="201"/>
      <c r="B3115" s="209"/>
      <c r="C3115" s="201"/>
      <c r="D3115" s="201"/>
      <c r="E3115" s="202"/>
      <c r="F3115" s="210"/>
      <c r="G3115" s="210"/>
      <c r="H3115" s="206" t="s">
        <v>121</v>
      </c>
      <c r="I3115" s="206" t="s">
        <v>121</v>
      </c>
      <c r="J3115" s="206" t="s">
        <v>121</v>
      </c>
      <c r="K3115" s="206" t="s">
        <v>121</v>
      </c>
      <c r="L3115" s="206" t="str">
        <v/>
      </c>
      <c r="M3115" s="206" t="str">
        <v/>
      </c>
    </row>
    <row r="3116" spans="1:13" ht="14.4">
      <c r="A3116" s="201"/>
      <c r="B3116" s="209"/>
      <c r="C3116" s="201"/>
      <c r="D3116" s="201"/>
      <c r="E3116" s="202"/>
      <c r="F3116" s="210"/>
      <c r="G3116" s="210"/>
      <c r="H3116" s="206" t="s">
        <v>121</v>
      </c>
      <c r="I3116" s="206" t="s">
        <v>121</v>
      </c>
      <c r="J3116" s="206" t="s">
        <v>121</v>
      </c>
      <c r="K3116" s="206" t="s">
        <v>121</v>
      </c>
      <c r="L3116" s="206" t="str">
        <v/>
      </c>
      <c r="M3116" s="206" t="str">
        <v/>
      </c>
    </row>
    <row r="3117" spans="1:13" ht="14.4">
      <c r="A3117" s="201"/>
      <c r="B3117" s="209"/>
      <c r="C3117" s="201"/>
      <c r="D3117" s="201"/>
      <c r="E3117" s="202"/>
      <c r="F3117" s="210"/>
      <c r="G3117" s="210"/>
      <c r="H3117" s="206" t="s">
        <v>121</v>
      </c>
      <c r="I3117" s="206" t="s">
        <v>121</v>
      </c>
      <c r="J3117" s="206" t="s">
        <v>121</v>
      </c>
      <c r="K3117" s="206" t="s">
        <v>121</v>
      </c>
      <c r="L3117" s="206" t="str">
        <v/>
      </c>
      <c r="M3117" s="206" t="str">
        <v/>
      </c>
    </row>
    <row r="3118" spans="1:13" ht="14.4">
      <c r="A3118" s="201"/>
      <c r="B3118" s="209"/>
      <c r="C3118" s="201"/>
      <c r="D3118" s="201"/>
      <c r="E3118" s="202"/>
      <c r="F3118" s="210"/>
      <c r="G3118" s="210"/>
      <c r="H3118" s="206" t="s">
        <v>121</v>
      </c>
      <c r="I3118" s="206" t="s">
        <v>121</v>
      </c>
      <c r="J3118" s="206" t="s">
        <v>121</v>
      </c>
      <c r="K3118" s="206" t="s">
        <v>121</v>
      </c>
      <c r="L3118" s="206" t="str">
        <v/>
      </c>
      <c r="M3118" s="206" t="str">
        <v/>
      </c>
    </row>
    <row r="3119" spans="1:13" ht="14.4">
      <c r="A3119" s="201"/>
      <c r="B3119" s="209"/>
      <c r="C3119" s="201"/>
      <c r="D3119" s="201"/>
      <c r="E3119" s="202"/>
      <c r="F3119" s="210"/>
      <c r="G3119" s="210"/>
      <c r="H3119" s="206" t="s">
        <v>121</v>
      </c>
      <c r="I3119" s="206" t="s">
        <v>121</v>
      </c>
      <c r="J3119" s="206" t="s">
        <v>121</v>
      </c>
      <c r="K3119" s="206" t="s">
        <v>121</v>
      </c>
      <c r="L3119" s="206" t="str">
        <v/>
      </c>
      <c r="M3119" s="206" t="str">
        <v/>
      </c>
    </row>
    <row r="3120" spans="1:13" ht="14.4">
      <c r="A3120" s="201"/>
      <c r="B3120" s="209"/>
      <c r="C3120" s="201"/>
      <c r="D3120" s="201"/>
      <c r="E3120" s="202"/>
      <c r="F3120" s="210"/>
      <c r="G3120" s="210"/>
      <c r="H3120" s="206" t="s">
        <v>121</v>
      </c>
      <c r="I3120" s="206" t="s">
        <v>121</v>
      </c>
      <c r="J3120" s="206" t="s">
        <v>121</v>
      </c>
      <c r="K3120" s="206" t="s">
        <v>121</v>
      </c>
      <c r="L3120" s="206" t="str">
        <v/>
      </c>
      <c r="M3120" s="206" t="str">
        <v/>
      </c>
    </row>
    <row r="3121" spans="1:13" ht="14.4">
      <c r="A3121" s="201"/>
      <c r="B3121" s="209"/>
      <c r="C3121" s="201"/>
      <c r="D3121" s="201"/>
      <c r="E3121" s="202"/>
      <c r="F3121" s="210"/>
      <c r="G3121" s="210"/>
      <c r="H3121" s="206" t="s">
        <v>121</v>
      </c>
      <c r="I3121" s="206" t="s">
        <v>121</v>
      </c>
      <c r="J3121" s="206" t="s">
        <v>121</v>
      </c>
      <c r="K3121" s="206" t="s">
        <v>121</v>
      </c>
      <c r="L3121" s="206" t="str">
        <v/>
      </c>
      <c r="M3121" s="206" t="str">
        <v/>
      </c>
    </row>
    <row r="3122" spans="1:13" ht="14.4">
      <c r="A3122" s="201"/>
      <c r="B3122" s="209"/>
      <c r="C3122" s="201"/>
      <c r="D3122" s="201"/>
      <c r="E3122" s="202"/>
      <c r="F3122" s="210"/>
      <c r="G3122" s="210"/>
      <c r="H3122" s="206" t="s">
        <v>121</v>
      </c>
      <c r="I3122" s="206" t="s">
        <v>121</v>
      </c>
      <c r="J3122" s="206" t="s">
        <v>121</v>
      </c>
      <c r="K3122" s="206" t="s">
        <v>121</v>
      </c>
      <c r="L3122" s="206" t="str">
        <v/>
      </c>
      <c r="M3122" s="206" t="str">
        <v/>
      </c>
    </row>
    <row r="3123" spans="1:13" ht="14.4">
      <c r="A3123" s="201"/>
      <c r="B3123" s="209"/>
      <c r="C3123" s="201"/>
      <c r="D3123" s="201"/>
      <c r="E3123" s="202"/>
      <c r="F3123" s="210"/>
      <c r="G3123" s="210"/>
      <c r="H3123" s="206" t="s">
        <v>121</v>
      </c>
      <c r="I3123" s="206" t="s">
        <v>121</v>
      </c>
      <c r="J3123" s="206" t="s">
        <v>121</v>
      </c>
      <c r="K3123" s="206" t="s">
        <v>121</v>
      </c>
      <c r="L3123" s="206" t="str">
        <v/>
      </c>
      <c r="M3123" s="206" t="str">
        <v/>
      </c>
    </row>
    <row r="3124" spans="1:13" ht="14.4">
      <c r="A3124" s="201"/>
      <c r="B3124" s="209"/>
      <c r="C3124" s="201"/>
      <c r="D3124" s="201"/>
      <c r="E3124" s="202"/>
      <c r="F3124" s="210"/>
      <c r="G3124" s="210"/>
      <c r="H3124" s="206" t="s">
        <v>121</v>
      </c>
      <c r="I3124" s="206" t="s">
        <v>121</v>
      </c>
      <c r="J3124" s="206" t="s">
        <v>121</v>
      </c>
      <c r="K3124" s="206" t="s">
        <v>121</v>
      </c>
      <c r="L3124" s="206" t="str">
        <v/>
      </c>
      <c r="M3124" s="206" t="str">
        <v/>
      </c>
    </row>
    <row r="3125" spans="1:13" ht="14.4">
      <c r="A3125" s="201"/>
      <c r="B3125" s="209"/>
      <c r="C3125" s="201"/>
      <c r="D3125" s="201"/>
      <c r="E3125" s="202"/>
      <c r="F3125" s="210"/>
      <c r="G3125" s="210"/>
      <c r="H3125" s="206" t="s">
        <v>121</v>
      </c>
      <c r="I3125" s="206" t="s">
        <v>121</v>
      </c>
      <c r="J3125" s="206" t="s">
        <v>121</v>
      </c>
      <c r="K3125" s="206" t="s">
        <v>121</v>
      </c>
      <c r="L3125" s="206" t="str">
        <v/>
      </c>
      <c r="M3125" s="206" t="str">
        <v/>
      </c>
    </row>
    <row r="3126" spans="1:13" ht="14.4">
      <c r="A3126" s="201"/>
      <c r="B3126" s="209"/>
      <c r="C3126" s="201"/>
      <c r="D3126" s="201"/>
      <c r="E3126" s="202"/>
      <c r="F3126" s="210"/>
      <c r="G3126" s="210"/>
      <c r="H3126" s="206" t="s">
        <v>121</v>
      </c>
      <c r="I3126" s="206" t="s">
        <v>121</v>
      </c>
      <c r="J3126" s="206" t="s">
        <v>121</v>
      </c>
      <c r="K3126" s="206" t="s">
        <v>121</v>
      </c>
      <c r="L3126" s="206" t="str">
        <v/>
      </c>
      <c r="M3126" s="206" t="str">
        <v/>
      </c>
    </row>
    <row r="3127" spans="1:13" ht="14.4">
      <c r="A3127" s="201"/>
      <c r="B3127" s="209"/>
      <c r="C3127" s="201"/>
      <c r="D3127" s="201"/>
      <c r="E3127" s="202"/>
      <c r="F3127" s="210"/>
      <c r="G3127" s="210"/>
      <c r="H3127" s="206" t="s">
        <v>121</v>
      </c>
      <c r="I3127" s="206" t="s">
        <v>121</v>
      </c>
      <c r="J3127" s="206" t="s">
        <v>121</v>
      </c>
      <c r="K3127" s="206" t="s">
        <v>121</v>
      </c>
      <c r="L3127" s="206" t="str">
        <v/>
      </c>
      <c r="M3127" s="206" t="str">
        <v/>
      </c>
    </row>
    <row r="3128" spans="1:13" ht="14.4">
      <c r="A3128" s="201"/>
      <c r="B3128" s="209"/>
      <c r="C3128" s="201"/>
      <c r="D3128" s="201"/>
      <c r="E3128" s="202"/>
      <c r="F3128" s="210"/>
      <c r="G3128" s="210"/>
      <c r="H3128" s="206" t="s">
        <v>121</v>
      </c>
      <c r="I3128" s="206" t="s">
        <v>121</v>
      </c>
      <c r="J3128" s="206" t="s">
        <v>121</v>
      </c>
      <c r="K3128" s="206" t="s">
        <v>121</v>
      </c>
      <c r="L3128" s="206" t="str">
        <v/>
      </c>
      <c r="M3128" s="206" t="str">
        <v/>
      </c>
    </row>
    <row r="3129" spans="1:13" ht="14.4">
      <c r="A3129" s="201"/>
      <c r="B3129" s="209"/>
      <c r="C3129" s="201"/>
      <c r="D3129" s="201"/>
      <c r="E3129" s="202"/>
      <c r="F3129" s="210"/>
      <c r="G3129" s="210"/>
      <c r="H3129" s="206" t="s">
        <v>121</v>
      </c>
      <c r="I3129" s="206" t="s">
        <v>121</v>
      </c>
      <c r="J3129" s="206" t="s">
        <v>121</v>
      </c>
      <c r="K3129" s="206" t="s">
        <v>121</v>
      </c>
      <c r="L3129" s="206" t="str">
        <v/>
      </c>
      <c r="M3129" s="206" t="str">
        <v/>
      </c>
    </row>
    <row r="3130" spans="1:13" ht="14.4">
      <c r="A3130" s="201"/>
      <c r="B3130" s="209"/>
      <c r="C3130" s="201"/>
      <c r="D3130" s="201"/>
      <c r="E3130" s="202"/>
      <c r="F3130" s="210"/>
      <c r="G3130" s="210"/>
      <c r="H3130" s="206" t="s">
        <v>121</v>
      </c>
      <c r="I3130" s="206" t="s">
        <v>121</v>
      </c>
      <c r="J3130" s="206" t="s">
        <v>121</v>
      </c>
      <c r="K3130" s="206" t="s">
        <v>121</v>
      </c>
      <c r="L3130" s="206" t="str">
        <v/>
      </c>
      <c r="M3130" s="206" t="str">
        <v/>
      </c>
    </row>
    <row r="3131" spans="1:13" ht="14.4">
      <c r="A3131" s="201"/>
      <c r="B3131" s="209"/>
      <c r="C3131" s="201"/>
      <c r="D3131" s="201"/>
      <c r="E3131" s="202"/>
      <c r="F3131" s="210"/>
      <c r="G3131" s="210"/>
      <c r="H3131" s="206" t="s">
        <v>121</v>
      </c>
      <c r="I3131" s="206" t="s">
        <v>121</v>
      </c>
      <c r="J3131" s="206" t="s">
        <v>121</v>
      </c>
      <c r="K3131" s="206" t="s">
        <v>121</v>
      </c>
      <c r="L3131" s="206" t="str">
        <v/>
      </c>
      <c r="M3131" s="206" t="str">
        <v/>
      </c>
    </row>
    <row r="3132" spans="1:13" ht="14.4">
      <c r="A3132" s="201"/>
      <c r="B3132" s="209"/>
      <c r="C3132" s="201"/>
      <c r="D3132" s="201"/>
      <c r="E3132" s="202"/>
      <c r="F3132" s="210"/>
      <c r="G3132" s="210"/>
      <c r="H3132" s="206" t="s">
        <v>121</v>
      </c>
      <c r="I3132" s="206" t="s">
        <v>121</v>
      </c>
      <c r="J3132" s="206" t="s">
        <v>121</v>
      </c>
      <c r="K3132" s="206" t="s">
        <v>121</v>
      </c>
      <c r="L3132" s="206" t="str">
        <v/>
      </c>
      <c r="M3132" s="206" t="str">
        <v/>
      </c>
    </row>
    <row r="3133" spans="1:13" ht="14.4">
      <c r="A3133" s="201"/>
      <c r="B3133" s="209"/>
      <c r="C3133" s="201"/>
      <c r="D3133" s="201"/>
      <c r="E3133" s="202"/>
      <c r="F3133" s="210"/>
      <c r="G3133" s="210"/>
      <c r="H3133" s="206" t="s">
        <v>121</v>
      </c>
      <c r="I3133" s="206" t="s">
        <v>121</v>
      </c>
      <c r="J3133" s="206" t="s">
        <v>121</v>
      </c>
      <c r="K3133" s="206" t="s">
        <v>121</v>
      </c>
      <c r="L3133" s="206" t="str">
        <v/>
      </c>
      <c r="M3133" s="206" t="str">
        <v/>
      </c>
    </row>
    <row r="3134" spans="1:13" ht="14.4">
      <c r="A3134" s="201"/>
      <c r="B3134" s="209"/>
      <c r="C3134" s="201"/>
      <c r="D3134" s="201"/>
      <c r="E3134" s="202"/>
      <c r="F3134" s="210"/>
      <c r="G3134" s="210"/>
      <c r="H3134" s="206" t="s">
        <v>121</v>
      </c>
      <c r="I3134" s="206" t="s">
        <v>121</v>
      </c>
      <c r="J3134" s="206" t="s">
        <v>121</v>
      </c>
      <c r="K3134" s="206" t="s">
        <v>121</v>
      </c>
      <c r="L3134" s="206" t="str">
        <v/>
      </c>
      <c r="M3134" s="206" t="str">
        <v/>
      </c>
    </row>
    <row r="3135" spans="1:13" ht="14.4">
      <c r="A3135" s="201"/>
      <c r="B3135" s="209"/>
      <c r="C3135" s="201"/>
      <c r="D3135" s="201"/>
      <c r="E3135" s="202"/>
      <c r="F3135" s="210"/>
      <c r="G3135" s="210"/>
      <c r="H3135" s="206" t="s">
        <v>121</v>
      </c>
      <c r="I3135" s="206" t="s">
        <v>121</v>
      </c>
      <c r="J3135" s="206" t="s">
        <v>121</v>
      </c>
      <c r="K3135" s="206" t="s">
        <v>121</v>
      </c>
      <c r="L3135" s="206" t="str">
        <v/>
      </c>
      <c r="M3135" s="206" t="str">
        <v/>
      </c>
    </row>
    <row r="3136" spans="1:13" ht="14.4">
      <c r="A3136" s="201"/>
      <c r="B3136" s="209"/>
      <c r="C3136" s="201"/>
      <c r="D3136" s="201"/>
      <c r="E3136" s="202"/>
      <c r="F3136" s="210"/>
      <c r="G3136" s="210"/>
      <c r="H3136" s="206" t="s">
        <v>121</v>
      </c>
      <c r="I3136" s="206" t="s">
        <v>121</v>
      </c>
      <c r="J3136" s="206" t="s">
        <v>121</v>
      </c>
      <c r="K3136" s="206" t="s">
        <v>121</v>
      </c>
      <c r="L3136" s="206" t="str">
        <v/>
      </c>
      <c r="M3136" s="206" t="str">
        <v/>
      </c>
    </row>
    <row r="3137" spans="1:13" ht="14.4">
      <c r="A3137" s="201"/>
      <c r="B3137" s="209"/>
      <c r="C3137" s="201"/>
      <c r="D3137" s="201"/>
      <c r="E3137" s="202"/>
      <c r="F3137" s="210"/>
      <c r="G3137" s="210"/>
      <c r="H3137" s="206" t="s">
        <v>121</v>
      </c>
      <c r="I3137" s="206" t="s">
        <v>121</v>
      </c>
      <c r="J3137" s="206" t="s">
        <v>121</v>
      </c>
      <c r="K3137" s="206" t="s">
        <v>121</v>
      </c>
      <c r="L3137" s="206" t="str">
        <v/>
      </c>
      <c r="M3137" s="206" t="str">
        <v/>
      </c>
    </row>
    <row r="3138" spans="1:13" ht="14.4">
      <c r="A3138" s="201"/>
      <c r="B3138" s="209"/>
      <c r="C3138" s="201"/>
      <c r="D3138" s="201"/>
      <c r="E3138" s="202"/>
      <c r="F3138" s="210"/>
      <c r="G3138" s="210"/>
      <c r="H3138" s="206" t="s">
        <v>121</v>
      </c>
      <c r="I3138" s="206" t="s">
        <v>121</v>
      </c>
      <c r="J3138" s="206" t="s">
        <v>121</v>
      </c>
      <c r="K3138" s="206" t="s">
        <v>121</v>
      </c>
      <c r="L3138" s="206" t="str">
        <v/>
      </c>
      <c r="M3138" s="206" t="str">
        <v/>
      </c>
    </row>
    <row r="3139" spans="1:13" ht="14.4">
      <c r="A3139" s="201"/>
      <c r="B3139" s="209"/>
      <c r="C3139" s="201"/>
      <c r="D3139" s="201"/>
      <c r="E3139" s="202"/>
      <c r="F3139" s="210"/>
      <c r="G3139" s="210"/>
      <c r="H3139" s="206" t="s">
        <v>121</v>
      </c>
      <c r="I3139" s="206" t="s">
        <v>121</v>
      </c>
      <c r="J3139" s="206" t="s">
        <v>121</v>
      </c>
      <c r="K3139" s="206" t="s">
        <v>121</v>
      </c>
      <c r="L3139" s="206" t="str">
        <v/>
      </c>
      <c r="M3139" s="206" t="str">
        <v/>
      </c>
    </row>
    <row r="3140" spans="1:13" ht="14.4">
      <c r="A3140" s="201"/>
      <c r="B3140" s="209"/>
      <c r="C3140" s="201"/>
      <c r="D3140" s="201"/>
      <c r="E3140" s="202"/>
      <c r="F3140" s="210"/>
      <c r="G3140" s="210"/>
      <c r="H3140" s="206" t="s">
        <v>121</v>
      </c>
      <c r="I3140" s="206" t="s">
        <v>121</v>
      </c>
      <c r="J3140" s="206" t="s">
        <v>121</v>
      </c>
      <c r="K3140" s="206" t="s">
        <v>121</v>
      </c>
      <c r="L3140" s="206" t="str">
        <v/>
      </c>
      <c r="M3140" s="206" t="str">
        <v/>
      </c>
    </row>
    <row r="3141" spans="1:13" ht="14.4">
      <c r="A3141" s="201"/>
      <c r="B3141" s="209"/>
      <c r="C3141" s="201"/>
      <c r="D3141" s="201"/>
      <c r="E3141" s="202"/>
      <c r="F3141" s="210"/>
      <c r="G3141" s="210"/>
      <c r="H3141" s="206" t="s">
        <v>121</v>
      </c>
      <c r="I3141" s="206" t="s">
        <v>121</v>
      </c>
      <c r="J3141" s="206" t="s">
        <v>121</v>
      </c>
      <c r="K3141" s="206" t="s">
        <v>121</v>
      </c>
      <c r="L3141" s="206" t="str">
        <v/>
      </c>
      <c r="M3141" s="206" t="str">
        <v/>
      </c>
    </row>
    <row r="3142" spans="1:13" ht="14.4">
      <c r="A3142" s="201"/>
      <c r="B3142" s="209"/>
      <c r="C3142" s="201"/>
      <c r="D3142" s="201"/>
      <c r="E3142" s="202"/>
      <c r="F3142" s="210"/>
      <c r="G3142" s="210"/>
      <c r="H3142" s="206" t="s">
        <v>121</v>
      </c>
      <c r="I3142" s="206" t="s">
        <v>121</v>
      </c>
      <c r="J3142" s="206" t="s">
        <v>121</v>
      </c>
      <c r="K3142" s="206" t="s">
        <v>121</v>
      </c>
      <c r="L3142" s="206" t="str">
        <v/>
      </c>
      <c r="M3142" s="206" t="str">
        <v/>
      </c>
    </row>
    <row r="3143" spans="1:13" ht="14.4">
      <c r="A3143" s="201"/>
      <c r="B3143" s="209"/>
      <c r="C3143" s="201"/>
      <c r="D3143" s="201"/>
      <c r="E3143" s="202"/>
      <c r="F3143" s="210"/>
      <c r="G3143" s="210"/>
      <c r="H3143" s="206" t="s">
        <v>121</v>
      </c>
      <c r="I3143" s="206" t="s">
        <v>121</v>
      </c>
      <c r="J3143" s="206" t="s">
        <v>121</v>
      </c>
      <c r="K3143" s="206" t="s">
        <v>121</v>
      </c>
      <c r="L3143" s="206" t="str">
        <v/>
      </c>
      <c r="M3143" s="206" t="str">
        <v/>
      </c>
    </row>
    <row r="3144" spans="1:13" ht="14.4">
      <c r="A3144" s="201"/>
      <c r="B3144" s="209"/>
      <c r="C3144" s="201"/>
      <c r="D3144" s="201"/>
      <c r="E3144" s="202"/>
      <c r="F3144" s="210"/>
      <c r="G3144" s="210"/>
      <c r="H3144" s="206" t="s">
        <v>121</v>
      </c>
      <c r="I3144" s="206" t="s">
        <v>121</v>
      </c>
      <c r="J3144" s="206" t="s">
        <v>121</v>
      </c>
      <c r="K3144" s="206" t="s">
        <v>121</v>
      </c>
      <c r="L3144" s="206" t="str">
        <v/>
      </c>
      <c r="M3144" s="206" t="str">
        <v/>
      </c>
    </row>
    <row r="3145" spans="1:13" ht="14.4">
      <c r="A3145" s="201"/>
      <c r="B3145" s="209"/>
      <c r="C3145" s="201"/>
      <c r="D3145" s="201"/>
      <c r="E3145" s="202"/>
      <c r="F3145" s="210"/>
      <c r="G3145" s="210"/>
      <c r="H3145" s="206" t="s">
        <v>121</v>
      </c>
      <c r="I3145" s="206" t="s">
        <v>121</v>
      </c>
      <c r="J3145" s="206" t="s">
        <v>121</v>
      </c>
      <c r="K3145" s="206" t="s">
        <v>121</v>
      </c>
      <c r="L3145" s="206" t="str">
        <v/>
      </c>
      <c r="M3145" s="206" t="str">
        <v/>
      </c>
    </row>
    <row r="3146" spans="1:13" ht="14.4">
      <c r="A3146" s="201"/>
      <c r="B3146" s="209"/>
      <c r="C3146" s="201"/>
      <c r="D3146" s="201"/>
      <c r="E3146" s="202"/>
      <c r="F3146" s="210"/>
      <c r="G3146" s="210"/>
      <c r="H3146" s="206" t="s">
        <v>121</v>
      </c>
      <c r="I3146" s="206" t="s">
        <v>121</v>
      </c>
      <c r="J3146" s="206" t="s">
        <v>121</v>
      </c>
      <c r="K3146" s="206" t="s">
        <v>121</v>
      </c>
      <c r="L3146" s="206" t="str">
        <v/>
      </c>
      <c r="M3146" s="206" t="str">
        <v/>
      </c>
    </row>
    <row r="3147" spans="1:13" ht="14.4">
      <c r="A3147" s="201"/>
      <c r="B3147" s="209"/>
      <c r="C3147" s="201"/>
      <c r="D3147" s="201"/>
      <c r="E3147" s="202"/>
      <c r="F3147" s="210"/>
      <c r="G3147" s="210"/>
      <c r="H3147" s="206" t="s">
        <v>121</v>
      </c>
      <c r="I3147" s="206" t="s">
        <v>121</v>
      </c>
      <c r="J3147" s="206" t="s">
        <v>121</v>
      </c>
      <c r="K3147" s="206" t="s">
        <v>121</v>
      </c>
      <c r="L3147" s="206" t="str">
        <v/>
      </c>
      <c r="M3147" s="206" t="str">
        <v/>
      </c>
    </row>
    <row r="3148" spans="1:13" ht="14.4">
      <c r="A3148" s="201"/>
      <c r="B3148" s="209"/>
      <c r="C3148" s="201"/>
      <c r="D3148" s="201"/>
      <c r="E3148" s="202"/>
      <c r="F3148" s="210"/>
      <c r="G3148" s="210"/>
      <c r="H3148" s="206" t="s">
        <v>121</v>
      </c>
      <c r="I3148" s="206" t="s">
        <v>121</v>
      </c>
      <c r="J3148" s="206" t="s">
        <v>121</v>
      </c>
      <c r="K3148" s="206" t="s">
        <v>121</v>
      </c>
      <c r="L3148" s="206" t="str">
        <v/>
      </c>
      <c r="M3148" s="206" t="str">
        <v/>
      </c>
    </row>
    <row r="3149" spans="1:13" ht="14.4">
      <c r="A3149" s="201"/>
      <c r="B3149" s="209"/>
      <c r="C3149" s="201"/>
      <c r="D3149" s="201"/>
      <c r="E3149" s="202"/>
      <c r="F3149" s="210"/>
      <c r="G3149" s="210"/>
      <c r="H3149" s="206" t="s">
        <v>121</v>
      </c>
      <c r="I3149" s="206" t="s">
        <v>121</v>
      </c>
      <c r="J3149" s="206" t="s">
        <v>121</v>
      </c>
      <c r="K3149" s="206" t="s">
        <v>121</v>
      </c>
      <c r="L3149" s="206" t="str">
        <v/>
      </c>
      <c r="M3149" s="206" t="str">
        <v/>
      </c>
    </row>
    <row r="3150" spans="1:13" ht="14.4">
      <c r="A3150" s="201"/>
      <c r="B3150" s="209"/>
      <c r="C3150" s="201"/>
      <c r="D3150" s="201"/>
      <c r="E3150" s="202"/>
      <c r="F3150" s="210"/>
      <c r="G3150" s="210"/>
      <c r="H3150" s="206" t="s">
        <v>121</v>
      </c>
      <c r="I3150" s="206" t="s">
        <v>121</v>
      </c>
      <c r="J3150" s="206" t="s">
        <v>121</v>
      </c>
      <c r="K3150" s="206" t="s">
        <v>121</v>
      </c>
      <c r="L3150" s="206" t="str">
        <v/>
      </c>
      <c r="M3150" s="206" t="str">
        <v/>
      </c>
    </row>
    <row r="3151" spans="1:13" ht="14.4">
      <c r="A3151" s="201"/>
      <c r="B3151" s="209"/>
      <c r="C3151" s="201"/>
      <c r="D3151" s="201"/>
      <c r="E3151" s="202"/>
      <c r="F3151" s="210"/>
      <c r="G3151" s="210"/>
      <c r="H3151" s="206" t="s">
        <v>121</v>
      </c>
      <c r="I3151" s="206" t="s">
        <v>121</v>
      </c>
      <c r="J3151" s="206" t="s">
        <v>121</v>
      </c>
      <c r="K3151" s="206" t="s">
        <v>121</v>
      </c>
      <c r="L3151" s="206" t="str">
        <v/>
      </c>
      <c r="M3151" s="206" t="str">
        <v/>
      </c>
    </row>
    <row r="3152" spans="1:13" ht="14.4">
      <c r="A3152" s="201"/>
      <c r="B3152" s="209"/>
      <c r="C3152" s="201"/>
      <c r="D3152" s="201"/>
      <c r="E3152" s="202"/>
      <c r="F3152" s="210"/>
      <c r="G3152" s="210"/>
      <c r="H3152" s="206" t="s">
        <v>121</v>
      </c>
      <c r="I3152" s="206" t="s">
        <v>121</v>
      </c>
      <c r="J3152" s="206" t="s">
        <v>121</v>
      </c>
      <c r="K3152" s="206" t="s">
        <v>121</v>
      </c>
      <c r="L3152" s="206" t="str">
        <v/>
      </c>
      <c r="M3152" s="206" t="str">
        <v/>
      </c>
    </row>
    <row r="3153" spans="1:13" ht="14.4">
      <c r="A3153" s="201"/>
      <c r="B3153" s="209"/>
      <c r="C3153" s="201"/>
      <c r="D3153" s="201"/>
      <c r="E3153" s="202"/>
      <c r="F3153" s="210"/>
      <c r="G3153" s="210"/>
      <c r="H3153" s="206" t="s">
        <v>121</v>
      </c>
      <c r="I3153" s="206" t="s">
        <v>121</v>
      </c>
      <c r="J3153" s="206" t="s">
        <v>121</v>
      </c>
      <c r="K3153" s="206" t="s">
        <v>121</v>
      </c>
      <c r="L3153" s="206" t="str">
        <v/>
      </c>
      <c r="M3153" s="206" t="str">
        <v/>
      </c>
    </row>
    <row r="3154" spans="1:13" ht="14.4">
      <c r="A3154" s="201"/>
      <c r="B3154" s="209"/>
      <c r="C3154" s="201"/>
      <c r="D3154" s="201"/>
      <c r="E3154" s="202"/>
      <c r="F3154" s="210"/>
      <c r="G3154" s="210"/>
      <c r="H3154" s="206" t="s">
        <v>121</v>
      </c>
      <c r="I3154" s="206" t="s">
        <v>121</v>
      </c>
      <c r="J3154" s="206" t="s">
        <v>121</v>
      </c>
      <c r="K3154" s="206" t="s">
        <v>121</v>
      </c>
      <c r="L3154" s="206" t="str">
        <v/>
      </c>
      <c r="M3154" s="206" t="str">
        <v/>
      </c>
    </row>
    <row r="3155" spans="1:13" ht="14.4">
      <c r="A3155" s="201"/>
      <c r="B3155" s="209"/>
      <c r="C3155" s="201"/>
      <c r="D3155" s="201"/>
      <c r="E3155" s="202"/>
      <c r="F3155" s="210"/>
      <c r="G3155" s="210"/>
      <c r="H3155" s="206" t="s">
        <v>121</v>
      </c>
      <c r="I3155" s="206" t="s">
        <v>121</v>
      </c>
      <c r="J3155" s="206" t="s">
        <v>121</v>
      </c>
      <c r="K3155" s="206" t="s">
        <v>121</v>
      </c>
      <c r="L3155" s="206" t="str">
        <v/>
      </c>
      <c r="M3155" s="206" t="str">
        <v/>
      </c>
    </row>
    <row r="3156" spans="1:13" ht="14.4">
      <c r="A3156" s="201"/>
      <c r="B3156" s="209"/>
      <c r="C3156" s="201"/>
      <c r="D3156" s="201"/>
      <c r="E3156" s="202"/>
      <c r="F3156" s="210"/>
      <c r="G3156" s="210"/>
      <c r="H3156" s="206" t="s">
        <v>121</v>
      </c>
      <c r="I3156" s="206" t="s">
        <v>121</v>
      </c>
      <c r="J3156" s="206" t="s">
        <v>121</v>
      </c>
      <c r="K3156" s="206" t="s">
        <v>121</v>
      </c>
      <c r="L3156" s="206" t="str">
        <v/>
      </c>
      <c r="M3156" s="206" t="str">
        <v/>
      </c>
    </row>
    <row r="3157" spans="1:13" ht="14.4">
      <c r="A3157" s="201"/>
      <c r="B3157" s="209"/>
      <c r="C3157" s="201"/>
      <c r="D3157" s="201"/>
      <c r="E3157" s="202"/>
      <c r="F3157" s="210"/>
      <c r="G3157" s="210"/>
      <c r="H3157" s="206" t="s">
        <v>121</v>
      </c>
      <c r="I3157" s="206" t="s">
        <v>121</v>
      </c>
      <c r="J3157" s="206" t="s">
        <v>121</v>
      </c>
      <c r="K3157" s="206" t="s">
        <v>121</v>
      </c>
      <c r="L3157" s="206" t="str">
        <v/>
      </c>
      <c r="M3157" s="206" t="str">
        <v/>
      </c>
    </row>
    <row r="3158" spans="1:13" ht="14.4">
      <c r="A3158" s="201"/>
      <c r="B3158" s="209"/>
      <c r="C3158" s="201"/>
      <c r="D3158" s="201"/>
      <c r="E3158" s="202"/>
      <c r="F3158" s="210"/>
      <c r="G3158" s="210"/>
      <c r="H3158" s="206" t="s">
        <v>121</v>
      </c>
      <c r="I3158" s="206" t="s">
        <v>121</v>
      </c>
      <c r="J3158" s="206" t="s">
        <v>121</v>
      </c>
      <c r="K3158" s="206" t="s">
        <v>121</v>
      </c>
      <c r="L3158" s="206" t="str">
        <v/>
      </c>
      <c r="M3158" s="206" t="str">
        <v/>
      </c>
    </row>
    <row r="3159" spans="1:13" ht="14.4">
      <c r="A3159" s="201"/>
      <c r="B3159" s="209"/>
      <c r="C3159" s="201"/>
      <c r="D3159" s="201"/>
      <c r="E3159" s="202"/>
      <c r="F3159" s="210"/>
      <c r="G3159" s="210"/>
      <c r="H3159" s="206" t="s">
        <v>121</v>
      </c>
      <c r="I3159" s="206" t="s">
        <v>121</v>
      </c>
      <c r="J3159" s="206" t="s">
        <v>121</v>
      </c>
      <c r="K3159" s="206" t="s">
        <v>121</v>
      </c>
      <c r="L3159" s="206" t="str">
        <v/>
      </c>
      <c r="M3159" s="206" t="str">
        <v/>
      </c>
    </row>
    <row r="3160" spans="1:13" ht="14.4">
      <c r="A3160" s="201"/>
      <c r="B3160" s="209"/>
      <c r="C3160" s="201"/>
      <c r="D3160" s="201"/>
      <c r="E3160" s="202"/>
      <c r="F3160" s="210"/>
      <c r="G3160" s="210"/>
      <c r="H3160" s="206" t="s">
        <v>121</v>
      </c>
      <c r="I3160" s="206" t="s">
        <v>121</v>
      </c>
      <c r="J3160" s="206" t="s">
        <v>121</v>
      </c>
      <c r="K3160" s="206" t="s">
        <v>121</v>
      </c>
      <c r="L3160" s="206" t="str">
        <v/>
      </c>
      <c r="M3160" s="206" t="str">
        <v/>
      </c>
    </row>
    <row r="3161" spans="1:13" ht="14.4">
      <c r="A3161" s="201"/>
      <c r="B3161" s="209"/>
      <c r="C3161" s="201"/>
      <c r="D3161" s="201"/>
      <c r="E3161" s="202"/>
      <c r="F3161" s="210"/>
      <c r="G3161" s="210"/>
      <c r="H3161" s="206" t="s">
        <v>121</v>
      </c>
      <c r="I3161" s="206" t="s">
        <v>121</v>
      </c>
      <c r="J3161" s="206" t="s">
        <v>121</v>
      </c>
      <c r="K3161" s="206" t="s">
        <v>121</v>
      </c>
      <c r="L3161" s="206" t="str">
        <v/>
      </c>
      <c r="M3161" s="206" t="str">
        <v/>
      </c>
    </row>
    <row r="3162" spans="1:13" ht="14.4">
      <c r="A3162" s="201"/>
      <c r="B3162" s="209"/>
      <c r="C3162" s="201"/>
      <c r="D3162" s="201"/>
      <c r="E3162" s="202"/>
      <c r="F3162" s="210"/>
      <c r="G3162" s="210"/>
      <c r="H3162" s="206" t="s">
        <v>121</v>
      </c>
      <c r="I3162" s="206" t="s">
        <v>121</v>
      </c>
      <c r="J3162" s="206" t="s">
        <v>121</v>
      </c>
      <c r="K3162" s="206" t="s">
        <v>121</v>
      </c>
      <c r="L3162" s="206" t="str">
        <v/>
      </c>
      <c r="M3162" s="206" t="str">
        <v/>
      </c>
    </row>
    <row r="3163" spans="1:13" ht="14.4">
      <c r="A3163" s="201"/>
      <c r="B3163" s="209"/>
      <c r="C3163" s="201"/>
      <c r="D3163" s="201"/>
      <c r="E3163" s="202"/>
      <c r="F3163" s="210"/>
      <c r="G3163" s="210"/>
      <c r="H3163" s="206" t="s">
        <v>121</v>
      </c>
      <c r="I3163" s="206" t="s">
        <v>121</v>
      </c>
      <c r="J3163" s="206" t="s">
        <v>121</v>
      </c>
      <c r="K3163" s="206" t="s">
        <v>121</v>
      </c>
      <c r="L3163" s="206" t="str">
        <v/>
      </c>
      <c r="M3163" s="206" t="str">
        <v/>
      </c>
    </row>
    <row r="3164" spans="1:13" ht="14.4">
      <c r="A3164" s="201"/>
      <c r="B3164" s="209"/>
      <c r="C3164" s="201"/>
      <c r="D3164" s="201"/>
      <c r="E3164" s="202"/>
      <c r="F3164" s="210"/>
      <c r="G3164" s="210"/>
      <c r="H3164" s="206" t="s">
        <v>121</v>
      </c>
      <c r="I3164" s="206" t="s">
        <v>121</v>
      </c>
      <c r="J3164" s="206" t="s">
        <v>121</v>
      </c>
      <c r="K3164" s="206" t="s">
        <v>121</v>
      </c>
      <c r="L3164" s="206" t="str">
        <v/>
      </c>
      <c r="M3164" s="206" t="str">
        <v/>
      </c>
    </row>
    <row r="3165" spans="1:13" ht="14.4">
      <c r="A3165" s="201"/>
      <c r="B3165" s="209"/>
      <c r="C3165" s="201"/>
      <c r="D3165" s="201"/>
      <c r="E3165" s="202"/>
      <c r="F3165" s="210"/>
      <c r="G3165" s="210"/>
      <c r="H3165" s="206" t="s">
        <v>121</v>
      </c>
      <c r="I3165" s="206" t="s">
        <v>121</v>
      </c>
      <c r="J3165" s="206" t="s">
        <v>121</v>
      </c>
      <c r="K3165" s="206" t="s">
        <v>121</v>
      </c>
      <c r="L3165" s="206" t="str">
        <v/>
      </c>
      <c r="M3165" s="206" t="str">
        <v/>
      </c>
    </row>
    <row r="3166" spans="1:13" ht="14.4">
      <c r="A3166" s="201"/>
      <c r="B3166" s="209"/>
      <c r="C3166" s="201"/>
      <c r="D3166" s="201"/>
      <c r="E3166" s="202"/>
      <c r="F3166" s="210"/>
      <c r="G3166" s="210"/>
      <c r="H3166" s="206" t="s">
        <v>121</v>
      </c>
      <c r="I3166" s="206" t="s">
        <v>121</v>
      </c>
      <c r="J3166" s="206" t="s">
        <v>121</v>
      </c>
      <c r="K3166" s="206" t="s">
        <v>121</v>
      </c>
      <c r="L3166" s="206" t="str">
        <v/>
      </c>
      <c r="M3166" s="206" t="str">
        <v/>
      </c>
    </row>
    <row r="3167" spans="1:13" ht="14.4">
      <c r="A3167" s="201"/>
      <c r="B3167" s="209"/>
      <c r="C3167" s="201"/>
      <c r="D3167" s="201"/>
      <c r="E3167" s="202"/>
      <c r="F3167" s="210"/>
      <c r="G3167" s="210"/>
      <c r="H3167" s="206" t="s">
        <v>121</v>
      </c>
      <c r="I3167" s="206" t="s">
        <v>121</v>
      </c>
      <c r="J3167" s="206" t="s">
        <v>121</v>
      </c>
      <c r="K3167" s="206" t="s">
        <v>121</v>
      </c>
      <c r="L3167" s="206" t="str">
        <v/>
      </c>
      <c r="M3167" s="206" t="str">
        <v/>
      </c>
    </row>
    <row r="3168" spans="1:13" ht="14.4">
      <c r="A3168" s="201"/>
      <c r="B3168" s="209"/>
      <c r="C3168" s="201"/>
      <c r="D3168" s="201"/>
      <c r="E3168" s="202"/>
      <c r="F3168" s="210"/>
      <c r="G3168" s="210"/>
      <c r="H3168" s="206" t="s">
        <v>121</v>
      </c>
      <c r="I3168" s="206" t="s">
        <v>121</v>
      </c>
      <c r="J3168" s="206" t="s">
        <v>121</v>
      </c>
      <c r="K3168" s="206" t="s">
        <v>121</v>
      </c>
      <c r="L3168" s="206" t="str">
        <v/>
      </c>
      <c r="M3168" s="206" t="str">
        <v/>
      </c>
    </row>
    <row r="3169" spans="1:13" ht="14.4">
      <c r="A3169" s="201"/>
      <c r="B3169" s="209"/>
      <c r="C3169" s="201"/>
      <c r="D3169" s="201"/>
      <c r="E3169" s="202"/>
      <c r="F3169" s="210"/>
      <c r="G3169" s="210"/>
      <c r="H3169" s="206" t="s">
        <v>121</v>
      </c>
      <c r="I3169" s="206" t="s">
        <v>121</v>
      </c>
      <c r="J3169" s="206" t="s">
        <v>121</v>
      </c>
      <c r="K3169" s="206" t="s">
        <v>121</v>
      </c>
      <c r="L3169" s="206" t="str">
        <v/>
      </c>
      <c r="M3169" s="206" t="str">
        <v/>
      </c>
    </row>
    <row r="3170" spans="1:13" ht="14.4">
      <c r="A3170" s="201"/>
      <c r="B3170" s="209"/>
      <c r="C3170" s="201"/>
      <c r="D3170" s="201"/>
      <c r="E3170" s="202"/>
      <c r="F3170" s="210"/>
      <c r="G3170" s="210"/>
      <c r="H3170" s="206" t="s">
        <v>121</v>
      </c>
      <c r="I3170" s="206" t="s">
        <v>121</v>
      </c>
      <c r="J3170" s="206" t="s">
        <v>121</v>
      </c>
      <c r="K3170" s="206" t="s">
        <v>121</v>
      </c>
      <c r="L3170" s="206" t="str">
        <v/>
      </c>
      <c r="M3170" s="206" t="str">
        <v/>
      </c>
    </row>
    <row r="3171" spans="1:13" ht="14.4">
      <c r="A3171" s="201"/>
      <c r="B3171" s="209"/>
      <c r="C3171" s="201"/>
      <c r="D3171" s="201"/>
      <c r="E3171" s="202"/>
      <c r="F3171" s="210"/>
      <c r="G3171" s="210"/>
      <c r="H3171" s="206" t="s">
        <v>121</v>
      </c>
      <c r="I3171" s="206" t="s">
        <v>121</v>
      </c>
      <c r="J3171" s="206" t="s">
        <v>121</v>
      </c>
      <c r="K3171" s="206" t="s">
        <v>121</v>
      </c>
      <c r="L3171" s="206" t="str">
        <v/>
      </c>
      <c r="M3171" s="206" t="str">
        <v/>
      </c>
    </row>
    <row r="3172" spans="1:13" ht="14.4">
      <c r="A3172" s="201"/>
      <c r="B3172" s="209"/>
      <c r="C3172" s="201"/>
      <c r="D3172" s="201"/>
      <c r="E3172" s="202"/>
      <c r="F3172" s="210"/>
      <c r="G3172" s="210"/>
      <c r="H3172" s="206" t="s">
        <v>121</v>
      </c>
      <c r="I3172" s="206" t="s">
        <v>121</v>
      </c>
      <c r="J3172" s="206" t="s">
        <v>121</v>
      </c>
      <c r="K3172" s="206" t="s">
        <v>121</v>
      </c>
      <c r="L3172" s="206" t="str">
        <v/>
      </c>
      <c r="M3172" s="206" t="str">
        <v/>
      </c>
    </row>
    <row r="3173" spans="1:13" ht="14.4">
      <c r="A3173" s="201"/>
      <c r="B3173" s="209"/>
      <c r="C3173" s="201"/>
      <c r="D3173" s="201"/>
      <c r="E3173" s="202"/>
      <c r="F3173" s="210"/>
      <c r="G3173" s="210"/>
      <c r="H3173" s="206" t="s">
        <v>121</v>
      </c>
      <c r="I3173" s="206" t="s">
        <v>121</v>
      </c>
      <c r="J3173" s="206" t="s">
        <v>121</v>
      </c>
      <c r="K3173" s="206" t="s">
        <v>121</v>
      </c>
      <c r="L3173" s="206" t="str">
        <v/>
      </c>
      <c r="M3173" s="206" t="str">
        <v/>
      </c>
    </row>
    <row r="3174" spans="1:13" ht="14.4">
      <c r="A3174" s="201"/>
      <c r="B3174" s="209"/>
      <c r="C3174" s="201"/>
      <c r="D3174" s="201"/>
      <c r="E3174" s="202"/>
      <c r="F3174" s="210"/>
      <c r="G3174" s="210"/>
      <c r="H3174" s="206" t="s">
        <v>121</v>
      </c>
      <c r="I3174" s="206" t="s">
        <v>121</v>
      </c>
      <c r="J3174" s="206" t="s">
        <v>121</v>
      </c>
      <c r="K3174" s="206" t="s">
        <v>121</v>
      </c>
      <c r="L3174" s="206" t="str">
        <v/>
      </c>
      <c r="M3174" s="206" t="str">
        <v/>
      </c>
    </row>
    <row r="3175" spans="1:13" ht="14.4">
      <c r="A3175" s="201"/>
      <c r="B3175" s="209"/>
      <c r="C3175" s="201"/>
      <c r="D3175" s="201"/>
      <c r="E3175" s="202"/>
      <c r="F3175" s="210"/>
      <c r="G3175" s="210"/>
      <c r="H3175" s="206" t="s">
        <v>121</v>
      </c>
      <c r="I3175" s="206" t="s">
        <v>121</v>
      </c>
      <c r="J3175" s="206" t="s">
        <v>121</v>
      </c>
      <c r="K3175" s="206" t="s">
        <v>121</v>
      </c>
      <c r="L3175" s="206" t="str">
        <v/>
      </c>
      <c r="M3175" s="206" t="str">
        <v/>
      </c>
    </row>
    <row r="3176" spans="1:13" ht="14.4">
      <c r="A3176" s="201"/>
      <c r="B3176" s="209"/>
      <c r="C3176" s="201"/>
      <c r="D3176" s="201"/>
      <c r="E3176" s="202"/>
      <c r="F3176" s="210"/>
      <c r="G3176" s="210"/>
      <c r="H3176" s="206" t="s">
        <v>121</v>
      </c>
      <c r="I3176" s="206" t="s">
        <v>121</v>
      </c>
      <c r="J3176" s="206" t="s">
        <v>121</v>
      </c>
      <c r="K3176" s="206" t="s">
        <v>121</v>
      </c>
      <c r="L3176" s="206" t="str">
        <v/>
      </c>
      <c r="M3176" s="206" t="str">
        <v/>
      </c>
    </row>
    <row r="3177" spans="1:13" ht="14.4">
      <c r="A3177" s="201"/>
      <c r="B3177" s="209"/>
      <c r="C3177" s="201"/>
      <c r="D3177" s="201"/>
      <c r="E3177" s="202"/>
      <c r="F3177" s="210"/>
      <c r="G3177" s="210"/>
      <c r="H3177" s="206" t="s">
        <v>121</v>
      </c>
      <c r="I3177" s="206" t="s">
        <v>121</v>
      </c>
      <c r="J3177" s="206" t="s">
        <v>121</v>
      </c>
      <c r="K3177" s="206" t="s">
        <v>121</v>
      </c>
      <c r="L3177" s="206" t="str">
        <v/>
      </c>
      <c r="M3177" s="206" t="str">
        <v/>
      </c>
    </row>
    <row r="3178" spans="1:13" ht="14.4">
      <c r="A3178" s="201"/>
      <c r="B3178" s="209"/>
      <c r="C3178" s="201"/>
      <c r="D3178" s="201"/>
      <c r="E3178" s="202"/>
      <c r="F3178" s="210"/>
      <c r="G3178" s="210"/>
      <c r="H3178" s="206" t="s">
        <v>121</v>
      </c>
      <c r="I3178" s="206" t="s">
        <v>121</v>
      </c>
      <c r="J3178" s="206" t="s">
        <v>121</v>
      </c>
      <c r="K3178" s="206" t="s">
        <v>121</v>
      </c>
      <c r="L3178" s="206" t="str">
        <v/>
      </c>
      <c r="M3178" s="206" t="str">
        <v/>
      </c>
    </row>
    <row r="3179" spans="1:13" ht="14.4">
      <c r="A3179" s="201"/>
      <c r="B3179" s="209"/>
      <c r="C3179" s="201"/>
      <c r="D3179" s="201"/>
      <c r="E3179" s="202"/>
      <c r="F3179" s="210"/>
      <c r="G3179" s="210"/>
      <c r="H3179" s="206" t="s">
        <v>121</v>
      </c>
      <c r="I3179" s="206" t="s">
        <v>121</v>
      </c>
      <c r="J3179" s="206" t="s">
        <v>121</v>
      </c>
      <c r="K3179" s="206" t="s">
        <v>121</v>
      </c>
      <c r="L3179" s="206" t="str">
        <v/>
      </c>
      <c r="M3179" s="206" t="str">
        <v/>
      </c>
    </row>
    <row r="3180" spans="1:13" ht="14.4">
      <c r="A3180" s="201"/>
      <c r="B3180" s="209"/>
      <c r="C3180" s="201"/>
      <c r="D3180" s="201"/>
      <c r="E3180" s="202"/>
      <c r="F3180" s="210"/>
      <c r="G3180" s="210"/>
      <c r="H3180" s="206" t="s">
        <v>121</v>
      </c>
      <c r="I3180" s="206" t="s">
        <v>121</v>
      </c>
      <c r="J3180" s="206" t="s">
        <v>121</v>
      </c>
      <c r="K3180" s="206" t="s">
        <v>121</v>
      </c>
      <c r="L3180" s="206" t="str">
        <v/>
      </c>
      <c r="M3180" s="206" t="str">
        <v/>
      </c>
    </row>
    <row r="3181" spans="1:13" ht="14.4">
      <c r="A3181" s="201"/>
      <c r="B3181" s="209"/>
      <c r="C3181" s="201"/>
      <c r="D3181" s="201"/>
      <c r="E3181" s="202"/>
      <c r="F3181" s="210"/>
      <c r="G3181" s="210"/>
      <c r="H3181" s="206" t="s">
        <v>121</v>
      </c>
      <c r="I3181" s="206" t="s">
        <v>121</v>
      </c>
      <c r="J3181" s="206" t="s">
        <v>121</v>
      </c>
      <c r="K3181" s="206" t="s">
        <v>121</v>
      </c>
      <c r="L3181" s="206" t="str">
        <v/>
      </c>
      <c r="M3181" s="206" t="str">
        <v/>
      </c>
    </row>
    <row r="3182" spans="1:13" ht="14.4">
      <c r="A3182" s="201"/>
      <c r="B3182" s="209"/>
      <c r="C3182" s="201"/>
      <c r="D3182" s="201"/>
      <c r="E3182" s="202"/>
      <c r="F3182" s="210"/>
      <c r="G3182" s="210"/>
      <c r="H3182" s="206" t="s">
        <v>121</v>
      </c>
      <c r="I3182" s="206" t="s">
        <v>121</v>
      </c>
      <c r="J3182" s="206" t="s">
        <v>121</v>
      </c>
      <c r="K3182" s="206" t="s">
        <v>121</v>
      </c>
      <c r="L3182" s="206" t="str">
        <v/>
      </c>
      <c r="M3182" s="206" t="str">
        <v/>
      </c>
    </row>
    <row r="3183" spans="1:13" ht="14.4">
      <c r="A3183" s="201"/>
      <c r="B3183" s="209"/>
      <c r="C3183" s="201"/>
      <c r="D3183" s="201"/>
      <c r="E3183" s="202"/>
      <c r="F3183" s="210"/>
      <c r="G3183" s="210"/>
      <c r="H3183" s="206" t="s">
        <v>121</v>
      </c>
      <c r="I3183" s="206" t="s">
        <v>121</v>
      </c>
      <c r="J3183" s="206" t="s">
        <v>121</v>
      </c>
      <c r="K3183" s="206" t="s">
        <v>121</v>
      </c>
      <c r="L3183" s="206" t="str">
        <v/>
      </c>
      <c r="M3183" s="206" t="str">
        <v/>
      </c>
    </row>
    <row r="3184" spans="1:13" ht="14.4">
      <c r="A3184" s="201"/>
      <c r="B3184" s="209"/>
      <c r="C3184" s="201"/>
      <c r="D3184" s="201"/>
      <c r="E3184" s="202"/>
      <c r="F3184" s="210"/>
      <c r="G3184" s="210"/>
      <c r="H3184" s="206" t="s">
        <v>121</v>
      </c>
      <c r="I3184" s="206" t="s">
        <v>121</v>
      </c>
      <c r="J3184" s="206" t="s">
        <v>121</v>
      </c>
      <c r="K3184" s="206" t="s">
        <v>121</v>
      </c>
      <c r="L3184" s="206" t="str">
        <v/>
      </c>
      <c r="M3184" s="206" t="str">
        <v/>
      </c>
    </row>
    <row r="3185" spans="1:13" ht="14.4">
      <c r="A3185" s="201"/>
      <c r="B3185" s="209"/>
      <c r="C3185" s="201"/>
      <c r="D3185" s="201"/>
      <c r="E3185" s="202"/>
      <c r="F3185" s="210"/>
      <c r="G3185" s="210"/>
      <c r="H3185" s="206" t="s">
        <v>121</v>
      </c>
      <c r="I3185" s="206" t="s">
        <v>121</v>
      </c>
      <c r="J3185" s="206" t="s">
        <v>121</v>
      </c>
      <c r="K3185" s="206" t="s">
        <v>121</v>
      </c>
      <c r="L3185" s="206" t="str">
        <v/>
      </c>
      <c r="M3185" s="206" t="str">
        <v/>
      </c>
    </row>
    <row r="3186" spans="1:13" ht="14.4">
      <c r="A3186" s="201"/>
      <c r="B3186" s="209"/>
      <c r="C3186" s="201"/>
      <c r="D3186" s="201"/>
      <c r="E3186" s="202"/>
      <c r="F3186" s="210"/>
      <c r="G3186" s="210"/>
      <c r="H3186" s="206" t="s">
        <v>121</v>
      </c>
      <c r="I3186" s="206" t="s">
        <v>121</v>
      </c>
      <c r="J3186" s="206" t="s">
        <v>121</v>
      </c>
      <c r="K3186" s="206" t="s">
        <v>121</v>
      </c>
      <c r="L3186" s="206" t="str">
        <v/>
      </c>
      <c r="M3186" s="206" t="str">
        <v/>
      </c>
    </row>
    <row r="3187" spans="1:13" ht="14.4">
      <c r="A3187" s="201"/>
      <c r="B3187" s="209"/>
      <c r="C3187" s="201"/>
      <c r="D3187" s="201"/>
      <c r="E3187" s="202"/>
      <c r="F3187" s="210"/>
      <c r="G3187" s="210"/>
      <c r="H3187" s="206" t="s">
        <v>121</v>
      </c>
      <c r="I3187" s="206" t="s">
        <v>121</v>
      </c>
      <c r="J3187" s="206" t="s">
        <v>121</v>
      </c>
      <c r="K3187" s="206" t="s">
        <v>121</v>
      </c>
      <c r="L3187" s="206" t="str">
        <v/>
      </c>
      <c r="M3187" s="206" t="str">
        <v/>
      </c>
    </row>
    <row r="3188" spans="1:13" ht="14.4">
      <c r="A3188" s="201"/>
      <c r="B3188" s="209"/>
      <c r="C3188" s="201"/>
      <c r="D3188" s="201"/>
      <c r="E3188" s="202"/>
      <c r="F3188" s="210"/>
      <c r="G3188" s="210"/>
      <c r="H3188" s="206" t="s">
        <v>121</v>
      </c>
      <c r="I3188" s="206" t="s">
        <v>121</v>
      </c>
      <c r="J3188" s="206" t="s">
        <v>121</v>
      </c>
      <c r="K3188" s="206" t="s">
        <v>121</v>
      </c>
      <c r="L3188" s="206" t="str">
        <v/>
      </c>
      <c r="M3188" s="206" t="str">
        <v/>
      </c>
    </row>
    <row r="3189" spans="1:13" ht="14.4">
      <c r="A3189" s="201"/>
      <c r="B3189" s="209"/>
      <c r="C3189" s="201"/>
      <c r="D3189" s="201"/>
      <c r="E3189" s="202"/>
      <c r="F3189" s="210"/>
      <c r="G3189" s="210"/>
      <c r="H3189" s="206" t="s">
        <v>121</v>
      </c>
      <c r="I3189" s="206" t="s">
        <v>121</v>
      </c>
      <c r="J3189" s="206" t="s">
        <v>121</v>
      </c>
      <c r="K3189" s="206" t="s">
        <v>121</v>
      </c>
      <c r="L3189" s="206" t="str">
        <v/>
      </c>
      <c r="M3189" s="206" t="str">
        <v/>
      </c>
    </row>
    <row r="3190" spans="1:13" ht="14.4">
      <c r="A3190" s="201"/>
      <c r="B3190" s="209"/>
      <c r="C3190" s="201"/>
      <c r="D3190" s="201"/>
      <c r="E3190" s="202"/>
      <c r="F3190" s="210"/>
      <c r="G3190" s="210"/>
      <c r="H3190" s="206" t="s">
        <v>121</v>
      </c>
      <c r="I3190" s="206" t="s">
        <v>121</v>
      </c>
      <c r="J3190" s="206" t="s">
        <v>121</v>
      </c>
      <c r="K3190" s="206" t="s">
        <v>121</v>
      </c>
      <c r="L3190" s="206" t="str">
        <v/>
      </c>
      <c r="M3190" s="206" t="str">
        <v/>
      </c>
    </row>
    <row r="3191" spans="1:13" ht="14.4">
      <c r="A3191" s="201"/>
      <c r="B3191" s="209"/>
      <c r="C3191" s="201"/>
      <c r="D3191" s="201"/>
      <c r="E3191" s="202"/>
      <c r="F3191" s="210"/>
      <c r="G3191" s="210"/>
      <c r="H3191" s="206" t="s">
        <v>121</v>
      </c>
      <c r="I3191" s="206" t="s">
        <v>121</v>
      </c>
      <c r="J3191" s="206" t="s">
        <v>121</v>
      </c>
      <c r="K3191" s="206" t="s">
        <v>121</v>
      </c>
      <c r="L3191" s="206" t="str">
        <v/>
      </c>
      <c r="M3191" s="206" t="str">
        <v/>
      </c>
    </row>
    <row r="3192" spans="1:13" ht="14.4">
      <c r="A3192" s="201"/>
      <c r="B3192" s="209"/>
      <c r="C3192" s="201"/>
      <c r="D3192" s="201"/>
      <c r="E3192" s="202"/>
      <c r="F3192" s="210"/>
      <c r="G3192" s="210"/>
      <c r="H3192" s="206" t="s">
        <v>121</v>
      </c>
      <c r="I3192" s="206" t="s">
        <v>121</v>
      </c>
      <c r="J3192" s="206" t="s">
        <v>121</v>
      </c>
      <c r="K3192" s="206" t="s">
        <v>121</v>
      </c>
      <c r="L3192" s="206" t="str">
        <v/>
      </c>
      <c r="M3192" s="206" t="str">
        <v/>
      </c>
    </row>
    <row r="3193" spans="1:13" ht="14.4">
      <c r="A3193" s="201"/>
      <c r="B3193" s="209"/>
      <c r="C3193" s="201"/>
      <c r="D3193" s="201"/>
      <c r="E3193" s="202"/>
      <c r="F3193" s="210"/>
      <c r="G3193" s="210"/>
      <c r="H3193" s="206" t="s">
        <v>121</v>
      </c>
      <c r="I3193" s="206" t="s">
        <v>121</v>
      </c>
      <c r="J3193" s="206" t="s">
        <v>121</v>
      </c>
      <c r="K3193" s="206" t="s">
        <v>121</v>
      </c>
      <c r="L3193" s="206" t="str">
        <v/>
      </c>
      <c r="M3193" s="206" t="str">
        <v/>
      </c>
    </row>
    <row r="3194" spans="1:13" ht="14.4">
      <c r="A3194" s="201"/>
      <c r="B3194" s="209"/>
      <c r="C3194" s="201"/>
      <c r="D3194" s="201"/>
      <c r="E3194" s="202"/>
      <c r="F3194" s="210"/>
      <c r="G3194" s="210"/>
      <c r="H3194" s="206" t="s">
        <v>121</v>
      </c>
      <c r="I3194" s="206" t="s">
        <v>121</v>
      </c>
      <c r="J3194" s="206" t="s">
        <v>121</v>
      </c>
      <c r="K3194" s="206" t="s">
        <v>121</v>
      </c>
      <c r="L3194" s="206" t="str">
        <v/>
      </c>
      <c r="M3194" s="206" t="str">
        <v/>
      </c>
    </row>
    <row r="3195" spans="1:13" ht="14.4">
      <c r="A3195" s="201"/>
      <c r="B3195" s="209"/>
      <c r="C3195" s="201"/>
      <c r="D3195" s="201"/>
      <c r="E3195" s="202"/>
      <c r="F3195" s="210"/>
      <c r="G3195" s="210"/>
      <c r="H3195" s="206" t="s">
        <v>121</v>
      </c>
      <c r="I3195" s="206" t="s">
        <v>121</v>
      </c>
      <c r="J3195" s="206" t="s">
        <v>121</v>
      </c>
      <c r="K3195" s="206" t="s">
        <v>121</v>
      </c>
      <c r="L3195" s="206" t="str">
        <v/>
      </c>
      <c r="M3195" s="206" t="str">
        <v/>
      </c>
    </row>
    <row r="3196" spans="1:13" ht="14.4">
      <c r="A3196" s="201"/>
      <c r="B3196" s="209"/>
      <c r="C3196" s="201"/>
      <c r="D3196" s="201"/>
      <c r="E3196" s="202"/>
      <c r="F3196" s="210"/>
      <c r="G3196" s="210"/>
      <c r="H3196" s="206" t="s">
        <v>121</v>
      </c>
      <c r="I3196" s="206" t="s">
        <v>121</v>
      </c>
      <c r="J3196" s="206" t="s">
        <v>121</v>
      </c>
      <c r="K3196" s="206" t="s">
        <v>121</v>
      </c>
      <c r="L3196" s="206" t="str">
        <v/>
      </c>
      <c r="M3196" s="206" t="str">
        <v/>
      </c>
    </row>
    <row r="3197" spans="1:13" ht="14.4">
      <c r="A3197" s="201"/>
      <c r="B3197" s="209"/>
      <c r="C3197" s="201"/>
      <c r="D3197" s="201"/>
      <c r="E3197" s="202"/>
      <c r="F3197" s="210"/>
      <c r="G3197" s="210"/>
      <c r="H3197" s="206" t="s">
        <v>121</v>
      </c>
      <c r="I3197" s="206" t="s">
        <v>121</v>
      </c>
      <c r="J3197" s="206" t="s">
        <v>121</v>
      </c>
      <c r="K3197" s="206" t="s">
        <v>121</v>
      </c>
      <c r="L3197" s="206" t="str">
        <v/>
      </c>
      <c r="M3197" s="206" t="str">
        <v/>
      </c>
    </row>
    <row r="3198" spans="1:13" ht="14.4">
      <c r="A3198" s="201"/>
      <c r="B3198" s="209"/>
      <c r="C3198" s="201"/>
      <c r="D3198" s="201"/>
      <c r="E3198" s="202"/>
      <c r="F3198" s="210"/>
      <c r="G3198" s="210"/>
      <c r="H3198" s="206" t="s">
        <v>121</v>
      </c>
      <c r="I3198" s="206" t="s">
        <v>121</v>
      </c>
      <c r="J3198" s="206" t="s">
        <v>121</v>
      </c>
      <c r="K3198" s="206" t="s">
        <v>121</v>
      </c>
      <c r="L3198" s="206" t="str">
        <v/>
      </c>
      <c r="M3198" s="206" t="str">
        <v/>
      </c>
    </row>
    <row r="3199" spans="1:13" ht="14.4">
      <c r="A3199" s="201"/>
      <c r="B3199" s="209"/>
      <c r="C3199" s="201"/>
      <c r="D3199" s="201"/>
      <c r="E3199" s="202"/>
      <c r="F3199" s="210"/>
      <c r="G3199" s="210"/>
      <c r="H3199" s="206" t="s">
        <v>121</v>
      </c>
      <c r="I3199" s="206" t="s">
        <v>121</v>
      </c>
      <c r="J3199" s="206" t="s">
        <v>121</v>
      </c>
      <c r="K3199" s="206" t="s">
        <v>121</v>
      </c>
      <c r="L3199" s="206" t="str">
        <v/>
      </c>
      <c r="M3199" s="206" t="str">
        <v/>
      </c>
    </row>
    <row r="3200" spans="1:13" ht="14.4">
      <c r="A3200" s="201"/>
      <c r="B3200" s="209"/>
      <c r="C3200" s="201"/>
      <c r="D3200" s="201"/>
      <c r="E3200" s="202"/>
      <c r="F3200" s="210"/>
      <c r="G3200" s="210"/>
      <c r="H3200" s="206" t="s">
        <v>121</v>
      </c>
      <c r="I3200" s="206" t="s">
        <v>121</v>
      </c>
      <c r="J3200" s="206" t="s">
        <v>121</v>
      </c>
      <c r="K3200" s="206" t="s">
        <v>121</v>
      </c>
      <c r="L3200" s="206" t="str">
        <v/>
      </c>
      <c r="M3200" s="206" t="str">
        <v/>
      </c>
    </row>
    <row r="3201" spans="1:13" ht="14.4">
      <c r="A3201" s="201"/>
      <c r="B3201" s="209"/>
      <c r="C3201" s="201"/>
      <c r="D3201" s="201"/>
      <c r="E3201" s="202"/>
      <c r="F3201" s="210"/>
      <c r="G3201" s="210"/>
      <c r="H3201" s="206" t="s">
        <v>121</v>
      </c>
      <c r="I3201" s="206" t="s">
        <v>121</v>
      </c>
      <c r="J3201" s="206" t="s">
        <v>121</v>
      </c>
      <c r="K3201" s="206" t="s">
        <v>121</v>
      </c>
      <c r="L3201" s="206" t="str">
        <v/>
      </c>
      <c r="M3201" s="206" t="str">
        <v/>
      </c>
    </row>
    <row r="3202" spans="1:13" ht="14.4">
      <c r="A3202" s="201"/>
      <c r="B3202" s="209"/>
      <c r="C3202" s="201"/>
      <c r="D3202" s="201"/>
      <c r="E3202" s="202"/>
      <c r="F3202" s="210"/>
      <c r="G3202" s="210"/>
      <c r="H3202" s="206" t="s">
        <v>121</v>
      </c>
      <c r="I3202" s="206" t="s">
        <v>121</v>
      </c>
      <c r="J3202" s="206" t="s">
        <v>121</v>
      </c>
      <c r="K3202" s="206" t="s">
        <v>121</v>
      </c>
      <c r="L3202" s="206" t="str">
        <v/>
      </c>
      <c r="M3202" s="206" t="str">
        <v/>
      </c>
    </row>
    <row r="3203" spans="1:13" ht="14.4">
      <c r="A3203" s="201"/>
      <c r="B3203" s="209"/>
      <c r="C3203" s="201"/>
      <c r="D3203" s="201"/>
      <c r="E3203" s="202"/>
      <c r="F3203" s="210"/>
      <c r="G3203" s="210"/>
      <c r="H3203" s="206" t="s">
        <v>121</v>
      </c>
      <c r="I3203" s="206" t="s">
        <v>121</v>
      </c>
      <c r="J3203" s="206" t="s">
        <v>121</v>
      </c>
      <c r="K3203" s="206" t="s">
        <v>121</v>
      </c>
      <c r="L3203" s="206" t="str">
        <v/>
      </c>
      <c r="M3203" s="206" t="str">
        <v/>
      </c>
    </row>
    <row r="3204" spans="1:13" ht="14.4">
      <c r="A3204" s="201"/>
      <c r="B3204" s="209"/>
      <c r="C3204" s="201"/>
      <c r="D3204" s="201"/>
      <c r="E3204" s="202"/>
      <c r="F3204" s="210"/>
      <c r="G3204" s="210"/>
      <c r="H3204" s="206" t="s">
        <v>121</v>
      </c>
      <c r="I3204" s="206" t="s">
        <v>121</v>
      </c>
      <c r="J3204" s="206" t="s">
        <v>121</v>
      </c>
      <c r="K3204" s="206" t="s">
        <v>121</v>
      </c>
      <c r="L3204" s="206" t="str">
        <v/>
      </c>
      <c r="M3204" s="206" t="str">
        <v/>
      </c>
    </row>
    <row r="3205" spans="1:13" ht="14.4">
      <c r="A3205" s="201"/>
      <c r="B3205" s="209"/>
      <c r="C3205" s="201"/>
      <c r="D3205" s="201"/>
      <c r="E3205" s="202"/>
      <c r="F3205" s="210"/>
      <c r="G3205" s="210"/>
      <c r="H3205" s="206" t="s">
        <v>121</v>
      </c>
      <c r="I3205" s="206" t="s">
        <v>121</v>
      </c>
      <c r="J3205" s="206" t="s">
        <v>121</v>
      </c>
      <c r="K3205" s="206" t="s">
        <v>121</v>
      </c>
      <c r="L3205" s="206" t="str">
        <v/>
      </c>
      <c r="M3205" s="206" t="str">
        <v/>
      </c>
    </row>
    <row r="3206" spans="1:13" ht="14.4">
      <c r="A3206" s="201"/>
      <c r="B3206" s="209"/>
      <c r="C3206" s="201"/>
      <c r="D3206" s="201"/>
      <c r="E3206" s="202"/>
      <c r="F3206" s="210"/>
      <c r="G3206" s="210"/>
      <c r="H3206" s="206" t="s">
        <v>121</v>
      </c>
      <c r="I3206" s="206" t="s">
        <v>121</v>
      </c>
      <c r="J3206" s="206" t="s">
        <v>121</v>
      </c>
      <c r="K3206" s="206" t="s">
        <v>121</v>
      </c>
      <c r="L3206" s="206" t="str">
        <v/>
      </c>
      <c r="M3206" s="206" t="str">
        <v/>
      </c>
    </row>
    <row r="3207" spans="1:13" ht="14.4">
      <c r="A3207" s="201"/>
      <c r="B3207" s="209"/>
      <c r="C3207" s="201"/>
      <c r="D3207" s="201"/>
      <c r="E3207" s="202"/>
      <c r="F3207" s="210"/>
      <c r="G3207" s="210"/>
      <c r="H3207" s="206" t="s">
        <v>121</v>
      </c>
      <c r="I3207" s="206" t="s">
        <v>121</v>
      </c>
      <c r="J3207" s="206" t="s">
        <v>121</v>
      </c>
      <c r="K3207" s="206" t="s">
        <v>121</v>
      </c>
      <c r="L3207" s="206" t="str">
        <v/>
      </c>
      <c r="M3207" s="206" t="str">
        <v/>
      </c>
    </row>
    <row r="3208" spans="1:13" ht="14.4">
      <c r="A3208" s="201"/>
      <c r="B3208" s="209"/>
      <c r="C3208" s="201"/>
      <c r="D3208" s="201"/>
      <c r="E3208" s="202"/>
      <c r="F3208" s="210"/>
      <c r="G3208" s="210"/>
      <c r="H3208" s="206" t="s">
        <v>121</v>
      </c>
      <c r="I3208" s="206" t="s">
        <v>121</v>
      </c>
      <c r="J3208" s="206" t="s">
        <v>121</v>
      </c>
      <c r="K3208" s="206" t="s">
        <v>121</v>
      </c>
      <c r="L3208" s="206" t="str">
        <v/>
      </c>
      <c r="M3208" s="206" t="str">
        <v/>
      </c>
    </row>
    <row r="3209" spans="1:13" ht="14.4">
      <c r="A3209" s="201"/>
      <c r="B3209" s="209"/>
      <c r="C3209" s="201"/>
      <c r="D3209" s="201"/>
      <c r="E3209" s="202"/>
      <c r="F3209" s="210"/>
      <c r="G3209" s="210"/>
      <c r="H3209" s="206" t="s">
        <v>121</v>
      </c>
      <c r="I3209" s="206" t="s">
        <v>121</v>
      </c>
      <c r="J3209" s="206" t="s">
        <v>121</v>
      </c>
      <c r="K3209" s="206" t="s">
        <v>121</v>
      </c>
      <c r="L3209" s="206" t="str">
        <v/>
      </c>
      <c r="M3209" s="206" t="str">
        <v/>
      </c>
    </row>
    <row r="3210" spans="1:13" ht="14.4">
      <c r="A3210" s="201"/>
      <c r="B3210" s="209"/>
      <c r="C3210" s="201"/>
      <c r="D3210" s="201"/>
      <c r="E3210" s="202"/>
      <c r="F3210" s="210"/>
      <c r="G3210" s="210"/>
      <c r="H3210" s="206" t="s">
        <v>121</v>
      </c>
      <c r="I3210" s="206" t="s">
        <v>121</v>
      </c>
      <c r="J3210" s="206" t="s">
        <v>121</v>
      </c>
      <c r="K3210" s="206" t="s">
        <v>121</v>
      </c>
      <c r="L3210" s="206" t="str">
        <v/>
      </c>
      <c r="M3210" s="206" t="str">
        <v/>
      </c>
    </row>
    <row r="3211" spans="1:13" ht="14.4">
      <c r="A3211" s="201"/>
      <c r="B3211" s="209"/>
      <c r="C3211" s="201"/>
      <c r="D3211" s="201"/>
      <c r="E3211" s="202"/>
      <c r="F3211" s="210"/>
      <c r="G3211" s="210"/>
      <c r="H3211" s="206" t="s">
        <v>121</v>
      </c>
      <c r="I3211" s="206" t="s">
        <v>121</v>
      </c>
      <c r="J3211" s="206" t="s">
        <v>121</v>
      </c>
      <c r="K3211" s="206" t="s">
        <v>121</v>
      </c>
      <c r="L3211" s="206" t="str">
        <v/>
      </c>
      <c r="M3211" s="206" t="str">
        <v/>
      </c>
    </row>
    <row r="3212" spans="1:13" ht="14.4">
      <c r="A3212" s="201"/>
      <c r="B3212" s="209"/>
      <c r="C3212" s="201"/>
      <c r="D3212" s="201"/>
      <c r="E3212" s="202"/>
      <c r="F3212" s="210"/>
      <c r="G3212" s="210"/>
      <c r="H3212" s="206" t="s">
        <v>121</v>
      </c>
      <c r="I3212" s="206" t="s">
        <v>121</v>
      </c>
      <c r="J3212" s="206" t="s">
        <v>121</v>
      </c>
      <c r="K3212" s="206" t="s">
        <v>121</v>
      </c>
      <c r="L3212" s="206" t="str">
        <v/>
      </c>
      <c r="M3212" s="206" t="str">
        <v/>
      </c>
    </row>
    <row r="3213" spans="1:13" ht="14.4">
      <c r="A3213" s="201"/>
      <c r="B3213" s="209"/>
      <c r="C3213" s="201"/>
      <c r="D3213" s="201"/>
      <c r="E3213" s="202"/>
      <c r="F3213" s="210"/>
      <c r="G3213" s="210"/>
      <c r="H3213" s="206" t="s">
        <v>121</v>
      </c>
      <c r="I3213" s="206" t="s">
        <v>121</v>
      </c>
      <c r="J3213" s="206" t="s">
        <v>121</v>
      </c>
      <c r="K3213" s="206" t="s">
        <v>121</v>
      </c>
      <c r="L3213" s="206" t="str">
        <v/>
      </c>
      <c r="M3213" s="206" t="str">
        <v/>
      </c>
    </row>
    <row r="3214" spans="1:13" ht="14.4">
      <c r="A3214" s="201"/>
      <c r="B3214" s="209"/>
      <c r="C3214" s="201"/>
      <c r="D3214" s="201"/>
      <c r="E3214" s="202"/>
      <c r="F3214" s="210"/>
      <c r="G3214" s="210"/>
      <c r="H3214" s="206" t="s">
        <v>121</v>
      </c>
      <c r="I3214" s="206" t="s">
        <v>121</v>
      </c>
      <c r="J3214" s="206" t="s">
        <v>121</v>
      </c>
      <c r="K3214" s="206" t="s">
        <v>121</v>
      </c>
      <c r="L3214" s="206" t="str">
        <v/>
      </c>
      <c r="M3214" s="206" t="str">
        <v/>
      </c>
    </row>
    <row r="3215" spans="1:13" ht="14.4">
      <c r="A3215" s="201"/>
      <c r="B3215" s="209"/>
      <c r="C3215" s="201"/>
      <c r="D3215" s="201"/>
      <c r="E3215" s="202"/>
      <c r="F3215" s="210"/>
      <c r="G3215" s="210"/>
      <c r="H3215" s="206" t="s">
        <v>121</v>
      </c>
      <c r="I3215" s="206" t="s">
        <v>121</v>
      </c>
      <c r="J3215" s="206" t="s">
        <v>121</v>
      </c>
      <c r="K3215" s="206" t="s">
        <v>121</v>
      </c>
      <c r="L3215" s="206" t="str">
        <v/>
      </c>
      <c r="M3215" s="206" t="str">
        <v/>
      </c>
    </row>
    <row r="3216" spans="1:13" ht="14.4">
      <c r="A3216" s="201"/>
      <c r="B3216" s="209"/>
      <c r="C3216" s="201"/>
      <c r="D3216" s="201"/>
      <c r="E3216" s="202"/>
      <c r="F3216" s="210"/>
      <c r="G3216" s="210"/>
      <c r="H3216" s="206" t="s">
        <v>121</v>
      </c>
      <c r="I3216" s="206" t="s">
        <v>121</v>
      </c>
      <c r="J3216" s="206" t="s">
        <v>121</v>
      </c>
      <c r="K3216" s="206" t="s">
        <v>121</v>
      </c>
      <c r="L3216" s="206" t="str">
        <v/>
      </c>
      <c r="M3216" s="206" t="str">
        <v/>
      </c>
    </row>
    <row r="3217" spans="1:13" ht="14.4">
      <c r="A3217" s="201"/>
      <c r="B3217" s="209"/>
      <c r="C3217" s="201"/>
      <c r="D3217" s="201"/>
      <c r="E3217" s="202"/>
      <c r="F3217" s="210"/>
      <c r="G3217" s="210"/>
      <c r="H3217" s="206" t="s">
        <v>121</v>
      </c>
      <c r="I3217" s="206" t="s">
        <v>121</v>
      </c>
      <c r="J3217" s="206" t="s">
        <v>121</v>
      </c>
      <c r="K3217" s="206" t="s">
        <v>121</v>
      </c>
      <c r="L3217" s="206" t="str">
        <v/>
      </c>
      <c r="M3217" s="206" t="str">
        <v/>
      </c>
    </row>
    <row r="3218" spans="1:13" ht="14.4">
      <c r="A3218" s="201"/>
      <c r="B3218" s="209"/>
      <c r="C3218" s="201"/>
      <c r="D3218" s="201"/>
      <c r="E3218" s="202"/>
      <c r="F3218" s="210"/>
      <c r="G3218" s="210"/>
      <c r="H3218" s="206" t="s">
        <v>121</v>
      </c>
      <c r="I3218" s="206" t="s">
        <v>121</v>
      </c>
      <c r="J3218" s="206" t="s">
        <v>121</v>
      </c>
      <c r="K3218" s="206" t="s">
        <v>121</v>
      </c>
      <c r="L3218" s="206" t="str">
        <v/>
      </c>
      <c r="M3218" s="206" t="str">
        <v/>
      </c>
    </row>
    <row r="3219" spans="1:13" ht="14.4">
      <c r="A3219" s="201"/>
      <c r="B3219" s="209"/>
      <c r="C3219" s="201"/>
      <c r="D3219" s="201"/>
      <c r="E3219" s="202"/>
      <c r="F3219" s="210"/>
      <c r="G3219" s="210"/>
      <c r="H3219" s="206" t="s">
        <v>121</v>
      </c>
      <c r="I3219" s="206" t="s">
        <v>121</v>
      </c>
      <c r="J3219" s="206" t="s">
        <v>121</v>
      </c>
      <c r="K3219" s="206" t="s">
        <v>121</v>
      </c>
      <c r="L3219" s="206" t="str">
        <v/>
      </c>
      <c r="M3219" s="206" t="str">
        <v/>
      </c>
    </row>
    <row r="3220" spans="1:13" ht="14.4">
      <c r="A3220" s="201"/>
      <c r="B3220" s="209"/>
      <c r="C3220" s="201"/>
      <c r="D3220" s="201"/>
      <c r="E3220" s="202"/>
      <c r="F3220" s="210"/>
      <c r="G3220" s="210"/>
      <c r="H3220" s="206" t="s">
        <v>121</v>
      </c>
      <c r="I3220" s="206" t="s">
        <v>121</v>
      </c>
      <c r="J3220" s="206" t="s">
        <v>121</v>
      </c>
      <c r="K3220" s="206" t="s">
        <v>121</v>
      </c>
      <c r="L3220" s="206" t="str">
        <v/>
      </c>
      <c r="M3220" s="206" t="str">
        <v/>
      </c>
    </row>
    <row r="3221" spans="1:13" ht="14.4">
      <c r="A3221" s="201"/>
      <c r="B3221" s="209"/>
      <c r="C3221" s="201"/>
      <c r="D3221" s="201"/>
      <c r="E3221" s="202"/>
      <c r="F3221" s="210"/>
      <c r="G3221" s="210"/>
      <c r="H3221" s="206" t="s">
        <v>121</v>
      </c>
      <c r="I3221" s="206" t="s">
        <v>121</v>
      </c>
      <c r="J3221" s="206" t="s">
        <v>121</v>
      </c>
      <c r="K3221" s="206" t="s">
        <v>121</v>
      </c>
      <c r="L3221" s="206" t="str">
        <v/>
      </c>
      <c r="M3221" s="206" t="str">
        <v/>
      </c>
    </row>
    <row r="3222" spans="1:13" ht="14.4">
      <c r="A3222" s="201"/>
      <c r="B3222" s="209"/>
      <c r="C3222" s="201"/>
      <c r="D3222" s="201"/>
      <c r="E3222" s="202"/>
      <c r="F3222" s="210"/>
      <c r="G3222" s="210"/>
      <c r="H3222" s="206" t="s">
        <v>121</v>
      </c>
      <c r="I3222" s="206" t="s">
        <v>121</v>
      </c>
      <c r="J3222" s="206" t="s">
        <v>121</v>
      </c>
      <c r="K3222" s="206" t="s">
        <v>121</v>
      </c>
      <c r="L3222" s="206" t="str">
        <v/>
      </c>
      <c r="M3222" s="206" t="str">
        <v/>
      </c>
    </row>
    <row r="3223" spans="1:13" ht="14.4">
      <c r="A3223" s="201"/>
      <c r="B3223" s="209"/>
      <c r="C3223" s="201"/>
      <c r="D3223" s="201"/>
      <c r="E3223" s="202"/>
      <c r="F3223" s="210"/>
      <c r="G3223" s="210"/>
      <c r="H3223" s="206" t="s">
        <v>121</v>
      </c>
      <c r="I3223" s="206" t="s">
        <v>121</v>
      </c>
      <c r="J3223" s="206" t="s">
        <v>121</v>
      </c>
      <c r="K3223" s="206" t="s">
        <v>121</v>
      </c>
      <c r="L3223" s="206" t="str">
        <v/>
      </c>
      <c r="M3223" s="206" t="str">
        <v/>
      </c>
    </row>
    <row r="3224" spans="1:13" ht="14.4">
      <c r="A3224" s="201"/>
      <c r="B3224" s="209"/>
      <c r="C3224" s="201"/>
      <c r="D3224" s="201"/>
      <c r="E3224" s="202"/>
      <c r="F3224" s="210"/>
      <c r="G3224" s="210"/>
      <c r="H3224" s="206" t="s">
        <v>121</v>
      </c>
      <c r="I3224" s="206" t="s">
        <v>121</v>
      </c>
      <c r="J3224" s="206" t="s">
        <v>121</v>
      </c>
      <c r="K3224" s="206" t="s">
        <v>121</v>
      </c>
      <c r="L3224" s="206" t="str">
        <v/>
      </c>
      <c r="M3224" s="206" t="str">
        <v/>
      </c>
    </row>
    <row r="3225" spans="1:13" ht="14.4">
      <c r="A3225" s="201"/>
      <c r="B3225" s="209"/>
      <c r="C3225" s="201"/>
      <c r="D3225" s="201"/>
      <c r="E3225" s="202"/>
      <c r="F3225" s="210"/>
      <c r="G3225" s="210"/>
      <c r="H3225" s="206" t="s">
        <v>121</v>
      </c>
      <c r="I3225" s="206" t="s">
        <v>121</v>
      </c>
      <c r="J3225" s="206" t="s">
        <v>121</v>
      </c>
      <c r="K3225" s="206" t="s">
        <v>121</v>
      </c>
      <c r="L3225" s="206" t="str">
        <v/>
      </c>
      <c r="M3225" s="206" t="str">
        <v/>
      </c>
    </row>
    <row r="3226" spans="1:13" ht="14.4">
      <c r="A3226" s="201"/>
      <c r="B3226" s="209"/>
      <c r="C3226" s="201"/>
      <c r="D3226" s="201"/>
      <c r="E3226" s="202"/>
      <c r="F3226" s="210"/>
      <c r="G3226" s="210"/>
      <c r="H3226" s="206" t="s">
        <v>121</v>
      </c>
      <c r="I3226" s="206" t="s">
        <v>121</v>
      </c>
      <c r="J3226" s="206" t="s">
        <v>121</v>
      </c>
      <c r="K3226" s="206" t="s">
        <v>121</v>
      </c>
      <c r="L3226" s="206" t="str">
        <v/>
      </c>
      <c r="M3226" s="206" t="str">
        <v/>
      </c>
    </row>
    <row r="3227" spans="1:13" ht="14.4">
      <c r="A3227" s="201"/>
      <c r="B3227" s="209"/>
      <c r="C3227" s="201"/>
      <c r="D3227" s="201"/>
      <c r="E3227" s="202"/>
      <c r="F3227" s="210"/>
      <c r="G3227" s="210"/>
      <c r="H3227" s="206" t="s">
        <v>121</v>
      </c>
      <c r="I3227" s="206" t="s">
        <v>121</v>
      </c>
      <c r="J3227" s="206" t="s">
        <v>121</v>
      </c>
      <c r="K3227" s="206" t="s">
        <v>121</v>
      </c>
      <c r="L3227" s="206" t="str">
        <v/>
      </c>
      <c r="M3227" s="206" t="str">
        <v/>
      </c>
    </row>
    <row r="3228" spans="1:13" ht="14.4">
      <c r="A3228" s="201"/>
      <c r="B3228" s="209"/>
      <c r="C3228" s="201"/>
      <c r="D3228" s="201"/>
      <c r="E3228" s="202"/>
      <c r="F3228" s="210"/>
      <c r="G3228" s="210"/>
      <c r="H3228" s="206" t="s">
        <v>121</v>
      </c>
      <c r="I3228" s="206" t="s">
        <v>121</v>
      </c>
      <c r="J3228" s="206" t="s">
        <v>121</v>
      </c>
      <c r="K3228" s="206" t="s">
        <v>121</v>
      </c>
      <c r="L3228" s="206" t="str">
        <v/>
      </c>
      <c r="M3228" s="206" t="str">
        <v/>
      </c>
    </row>
    <row r="3229" spans="1:13" ht="14.4">
      <c r="A3229" s="201"/>
      <c r="B3229" s="209"/>
      <c r="C3229" s="201"/>
      <c r="D3229" s="201"/>
      <c r="E3229" s="202"/>
      <c r="F3229" s="210"/>
      <c r="G3229" s="210"/>
      <c r="H3229" s="206" t="s">
        <v>121</v>
      </c>
      <c r="I3229" s="206" t="s">
        <v>121</v>
      </c>
      <c r="J3229" s="206" t="s">
        <v>121</v>
      </c>
      <c r="K3229" s="206" t="s">
        <v>121</v>
      </c>
      <c r="L3229" s="206" t="str">
        <v/>
      </c>
      <c r="M3229" s="206" t="str">
        <v/>
      </c>
    </row>
    <row r="3230" spans="1:13" ht="14.4">
      <c r="A3230" s="201"/>
      <c r="B3230" s="209"/>
      <c r="C3230" s="201"/>
      <c r="D3230" s="201"/>
      <c r="E3230" s="202"/>
      <c r="F3230" s="210"/>
      <c r="G3230" s="210"/>
      <c r="H3230" s="206" t="s">
        <v>121</v>
      </c>
      <c r="I3230" s="206" t="s">
        <v>121</v>
      </c>
      <c r="J3230" s="206" t="s">
        <v>121</v>
      </c>
      <c r="K3230" s="206" t="s">
        <v>121</v>
      </c>
      <c r="L3230" s="206" t="str">
        <v/>
      </c>
      <c r="M3230" s="206" t="str">
        <v/>
      </c>
    </row>
    <row r="3231" spans="1:13" ht="14.4">
      <c r="A3231" s="201"/>
      <c r="B3231" s="209"/>
      <c r="C3231" s="201"/>
      <c r="D3231" s="201"/>
      <c r="E3231" s="202"/>
      <c r="F3231" s="210"/>
      <c r="G3231" s="210"/>
      <c r="H3231" s="206" t="s">
        <v>121</v>
      </c>
      <c r="I3231" s="206" t="s">
        <v>121</v>
      </c>
      <c r="J3231" s="206" t="s">
        <v>121</v>
      </c>
      <c r="K3231" s="206" t="s">
        <v>121</v>
      </c>
      <c r="L3231" s="206" t="str">
        <v/>
      </c>
      <c r="M3231" s="206" t="str">
        <v/>
      </c>
    </row>
    <row r="3232" spans="1:13" ht="14.4">
      <c r="A3232" s="201"/>
      <c r="B3232" s="209"/>
      <c r="C3232" s="201"/>
      <c r="D3232" s="201"/>
      <c r="E3232" s="202"/>
      <c r="F3232" s="210"/>
      <c r="G3232" s="210"/>
      <c r="H3232" s="206" t="s">
        <v>121</v>
      </c>
      <c r="I3232" s="206" t="s">
        <v>121</v>
      </c>
      <c r="J3232" s="206" t="s">
        <v>121</v>
      </c>
      <c r="K3232" s="206" t="s">
        <v>121</v>
      </c>
      <c r="L3232" s="206" t="str">
        <v/>
      </c>
      <c r="M3232" s="206" t="str">
        <v/>
      </c>
    </row>
    <row r="3233" spans="1:13" ht="14.4">
      <c r="A3233" s="201"/>
      <c r="B3233" s="209"/>
      <c r="C3233" s="201"/>
      <c r="D3233" s="201"/>
      <c r="E3233" s="202"/>
      <c r="F3233" s="210"/>
      <c r="G3233" s="210"/>
      <c r="H3233" s="206" t="s">
        <v>121</v>
      </c>
      <c r="I3233" s="206" t="s">
        <v>121</v>
      </c>
      <c r="J3233" s="206" t="s">
        <v>121</v>
      </c>
      <c r="K3233" s="206" t="s">
        <v>121</v>
      </c>
      <c r="L3233" s="206" t="str">
        <v/>
      </c>
      <c r="M3233" s="206" t="str">
        <v/>
      </c>
    </row>
    <row r="3234" spans="1:13" ht="14.4">
      <c r="A3234" s="201"/>
      <c r="B3234" s="209"/>
      <c r="C3234" s="201"/>
      <c r="D3234" s="201"/>
      <c r="E3234" s="202"/>
      <c r="F3234" s="210"/>
      <c r="G3234" s="210"/>
      <c r="H3234" s="206" t="s">
        <v>121</v>
      </c>
      <c r="I3234" s="206" t="s">
        <v>121</v>
      </c>
      <c r="J3234" s="206" t="s">
        <v>121</v>
      </c>
      <c r="K3234" s="206" t="s">
        <v>121</v>
      </c>
      <c r="L3234" s="206" t="str">
        <v/>
      </c>
      <c r="M3234" s="206" t="str">
        <v/>
      </c>
    </row>
    <row r="3235" spans="1:13" ht="14.4">
      <c r="A3235" s="201"/>
      <c r="B3235" s="209"/>
      <c r="C3235" s="201"/>
      <c r="D3235" s="201"/>
      <c r="E3235" s="202"/>
      <c r="F3235" s="210"/>
      <c r="G3235" s="210"/>
      <c r="H3235" s="206" t="s">
        <v>121</v>
      </c>
      <c r="I3235" s="206" t="s">
        <v>121</v>
      </c>
      <c r="J3235" s="206" t="s">
        <v>121</v>
      </c>
      <c r="K3235" s="206" t="s">
        <v>121</v>
      </c>
      <c r="L3235" s="206" t="str">
        <v/>
      </c>
      <c r="M3235" s="206" t="str">
        <v/>
      </c>
    </row>
    <row r="3236" spans="1:13" ht="14.4">
      <c r="A3236" s="201"/>
      <c r="B3236" s="209"/>
      <c r="C3236" s="201"/>
      <c r="D3236" s="201"/>
      <c r="E3236" s="202"/>
      <c r="F3236" s="210"/>
      <c r="G3236" s="210"/>
      <c r="H3236" s="206" t="s">
        <v>121</v>
      </c>
      <c r="I3236" s="206" t="s">
        <v>121</v>
      </c>
      <c r="J3236" s="206" t="s">
        <v>121</v>
      </c>
      <c r="K3236" s="206" t="s">
        <v>121</v>
      </c>
      <c r="L3236" s="206" t="str">
        <v/>
      </c>
      <c r="M3236" s="206" t="str">
        <v/>
      </c>
    </row>
    <row r="3237" spans="1:13" ht="14.4">
      <c r="A3237" s="201"/>
      <c r="B3237" s="209"/>
      <c r="C3237" s="201"/>
      <c r="D3237" s="201"/>
      <c r="E3237" s="202"/>
      <c r="F3237" s="210"/>
      <c r="G3237" s="210"/>
      <c r="H3237" s="206" t="s">
        <v>121</v>
      </c>
      <c r="I3237" s="206" t="s">
        <v>121</v>
      </c>
      <c r="J3237" s="206" t="s">
        <v>121</v>
      </c>
      <c r="K3237" s="206" t="s">
        <v>121</v>
      </c>
      <c r="L3237" s="206" t="str">
        <v/>
      </c>
      <c r="M3237" s="206" t="str">
        <v/>
      </c>
    </row>
    <row r="3238" spans="1:13" ht="14.4">
      <c r="A3238" s="201"/>
      <c r="B3238" s="209"/>
      <c r="C3238" s="201"/>
      <c r="D3238" s="201"/>
      <c r="E3238" s="202"/>
      <c r="F3238" s="210"/>
      <c r="G3238" s="210"/>
      <c r="H3238" s="206" t="s">
        <v>121</v>
      </c>
      <c r="I3238" s="206" t="s">
        <v>121</v>
      </c>
      <c r="J3238" s="206" t="s">
        <v>121</v>
      </c>
      <c r="K3238" s="206" t="s">
        <v>121</v>
      </c>
      <c r="L3238" s="206" t="str">
        <v/>
      </c>
      <c r="M3238" s="206" t="str">
        <v/>
      </c>
    </row>
    <row r="3239" spans="1:13" ht="14.4">
      <c r="A3239" s="201"/>
      <c r="B3239" s="209"/>
      <c r="C3239" s="201"/>
      <c r="D3239" s="201"/>
      <c r="E3239" s="202"/>
      <c r="F3239" s="210"/>
      <c r="G3239" s="210"/>
      <c r="H3239" s="206" t="s">
        <v>121</v>
      </c>
      <c r="I3239" s="206" t="s">
        <v>121</v>
      </c>
      <c r="J3239" s="206" t="s">
        <v>121</v>
      </c>
      <c r="K3239" s="206" t="s">
        <v>121</v>
      </c>
      <c r="L3239" s="206" t="str">
        <v/>
      </c>
      <c r="M3239" s="206" t="str">
        <v/>
      </c>
    </row>
    <row r="3240" spans="1:13" ht="14.4">
      <c r="A3240" s="201"/>
      <c r="B3240" s="209"/>
      <c r="C3240" s="201"/>
      <c r="D3240" s="201"/>
      <c r="E3240" s="202"/>
      <c r="F3240" s="210"/>
      <c r="G3240" s="210"/>
      <c r="H3240" s="206" t="s">
        <v>121</v>
      </c>
      <c r="I3240" s="206" t="s">
        <v>121</v>
      </c>
      <c r="J3240" s="206" t="s">
        <v>121</v>
      </c>
      <c r="K3240" s="206" t="s">
        <v>121</v>
      </c>
      <c r="L3240" s="206" t="str">
        <v/>
      </c>
      <c r="M3240" s="206" t="str">
        <v/>
      </c>
    </row>
    <row r="3241" spans="1:13" ht="14.4">
      <c r="A3241" s="201"/>
      <c r="B3241" s="209"/>
      <c r="C3241" s="201"/>
      <c r="D3241" s="201"/>
      <c r="E3241" s="202"/>
      <c r="F3241" s="210"/>
      <c r="G3241" s="210"/>
      <c r="H3241" s="206" t="s">
        <v>121</v>
      </c>
      <c r="I3241" s="206" t="s">
        <v>121</v>
      </c>
      <c r="J3241" s="206" t="s">
        <v>121</v>
      </c>
      <c r="K3241" s="206" t="s">
        <v>121</v>
      </c>
      <c r="L3241" s="206" t="str">
        <v/>
      </c>
      <c r="M3241" s="206" t="str">
        <v/>
      </c>
    </row>
    <row r="3242" spans="1:13" ht="14.4">
      <c r="A3242" s="201"/>
      <c r="B3242" s="209"/>
      <c r="C3242" s="201"/>
      <c r="D3242" s="201"/>
      <c r="E3242" s="202"/>
      <c r="F3242" s="210"/>
      <c r="G3242" s="210"/>
      <c r="H3242" s="206" t="s">
        <v>121</v>
      </c>
      <c r="I3242" s="206" t="s">
        <v>121</v>
      </c>
      <c r="J3242" s="206" t="s">
        <v>121</v>
      </c>
      <c r="K3242" s="206" t="s">
        <v>121</v>
      </c>
      <c r="L3242" s="206" t="str">
        <v/>
      </c>
      <c r="M3242" s="206" t="str">
        <v/>
      </c>
    </row>
    <row r="3243" spans="1:13" ht="14.4">
      <c r="A3243" s="201"/>
      <c r="B3243" s="209"/>
      <c r="C3243" s="201"/>
      <c r="D3243" s="201"/>
      <c r="E3243" s="202"/>
      <c r="F3243" s="210"/>
      <c r="G3243" s="210"/>
      <c r="H3243" s="206" t="s">
        <v>121</v>
      </c>
      <c r="I3243" s="206" t="s">
        <v>121</v>
      </c>
      <c r="J3243" s="206" t="s">
        <v>121</v>
      </c>
      <c r="K3243" s="206" t="s">
        <v>121</v>
      </c>
      <c r="L3243" s="206" t="str">
        <v/>
      </c>
      <c r="M3243" s="206" t="str">
        <v/>
      </c>
    </row>
    <row r="3244" spans="1:13" ht="14.4">
      <c r="A3244" s="201"/>
      <c r="B3244" s="209"/>
      <c r="C3244" s="201"/>
      <c r="D3244" s="201"/>
      <c r="E3244" s="202"/>
      <c r="F3244" s="210"/>
      <c r="G3244" s="210"/>
      <c r="H3244" s="206" t="s">
        <v>121</v>
      </c>
      <c r="I3244" s="206" t="s">
        <v>121</v>
      </c>
      <c r="J3244" s="206" t="s">
        <v>121</v>
      </c>
      <c r="K3244" s="206" t="s">
        <v>121</v>
      </c>
      <c r="L3244" s="206" t="str">
        <v/>
      </c>
      <c r="M3244" s="206" t="str">
        <v/>
      </c>
    </row>
    <row r="3245" spans="1:13" ht="14.4">
      <c r="A3245" s="201"/>
      <c r="B3245" s="209"/>
      <c r="C3245" s="201"/>
      <c r="D3245" s="201"/>
      <c r="E3245" s="202"/>
      <c r="F3245" s="210"/>
      <c r="G3245" s="210"/>
      <c r="H3245" s="206" t="s">
        <v>121</v>
      </c>
      <c r="I3245" s="206" t="s">
        <v>121</v>
      </c>
      <c r="J3245" s="206" t="s">
        <v>121</v>
      </c>
      <c r="K3245" s="206" t="s">
        <v>121</v>
      </c>
      <c r="L3245" s="206" t="str">
        <v/>
      </c>
      <c r="M3245" s="206" t="str">
        <v/>
      </c>
    </row>
    <row r="3246" spans="1:13" ht="14.4">
      <c r="A3246" s="201"/>
      <c r="B3246" s="209"/>
      <c r="C3246" s="201"/>
      <c r="D3246" s="201"/>
      <c r="E3246" s="202"/>
      <c r="F3246" s="210"/>
      <c r="G3246" s="210"/>
      <c r="H3246" s="206" t="s">
        <v>121</v>
      </c>
      <c r="I3246" s="206" t="s">
        <v>121</v>
      </c>
      <c r="J3246" s="206" t="s">
        <v>121</v>
      </c>
      <c r="K3246" s="206" t="s">
        <v>121</v>
      </c>
      <c r="L3246" s="206" t="str">
        <v/>
      </c>
      <c r="M3246" s="206" t="str">
        <v/>
      </c>
    </row>
    <row r="3247" spans="1:13" ht="14.4">
      <c r="A3247" s="201"/>
      <c r="B3247" s="209"/>
      <c r="C3247" s="201"/>
      <c r="D3247" s="201"/>
      <c r="E3247" s="202"/>
      <c r="F3247" s="210"/>
      <c r="G3247" s="210"/>
      <c r="H3247" s="206" t="s">
        <v>121</v>
      </c>
      <c r="I3247" s="206" t="s">
        <v>121</v>
      </c>
      <c r="J3247" s="206" t="s">
        <v>121</v>
      </c>
      <c r="K3247" s="206" t="s">
        <v>121</v>
      </c>
      <c r="L3247" s="206" t="str">
        <v/>
      </c>
      <c r="M3247" s="206" t="str">
        <v/>
      </c>
    </row>
    <row r="3248" spans="1:13" ht="14.4">
      <c r="A3248" s="201"/>
      <c r="B3248" s="209"/>
      <c r="C3248" s="201"/>
      <c r="D3248" s="201"/>
      <c r="E3248" s="202"/>
      <c r="F3248" s="210"/>
      <c r="G3248" s="210"/>
      <c r="H3248" s="206" t="s">
        <v>121</v>
      </c>
      <c r="I3248" s="206" t="s">
        <v>121</v>
      </c>
      <c r="J3248" s="206" t="s">
        <v>121</v>
      </c>
      <c r="K3248" s="206" t="s">
        <v>121</v>
      </c>
      <c r="L3248" s="206" t="str">
        <v/>
      </c>
      <c r="M3248" s="206" t="str">
        <v/>
      </c>
    </row>
    <row r="3249" spans="1:13" ht="14.4">
      <c r="A3249" s="201"/>
      <c r="B3249" s="209"/>
      <c r="C3249" s="201"/>
      <c r="D3249" s="201"/>
      <c r="E3249" s="202"/>
      <c r="F3249" s="210"/>
      <c r="G3249" s="210"/>
      <c r="H3249" s="206" t="s">
        <v>121</v>
      </c>
      <c r="I3249" s="206" t="s">
        <v>121</v>
      </c>
      <c r="J3249" s="206" t="s">
        <v>121</v>
      </c>
      <c r="K3249" s="206" t="s">
        <v>121</v>
      </c>
      <c r="L3249" s="206" t="str">
        <v/>
      </c>
      <c r="M3249" s="206" t="str">
        <v/>
      </c>
    </row>
    <row r="3250" spans="1:13" ht="14.4">
      <c r="A3250" s="201"/>
      <c r="B3250" s="209"/>
      <c r="C3250" s="201"/>
      <c r="D3250" s="201"/>
      <c r="E3250" s="202"/>
      <c r="F3250" s="210"/>
      <c r="G3250" s="210"/>
      <c r="H3250" s="206" t="s">
        <v>121</v>
      </c>
      <c r="I3250" s="206" t="s">
        <v>121</v>
      </c>
      <c r="J3250" s="206" t="s">
        <v>121</v>
      </c>
      <c r="K3250" s="206" t="s">
        <v>121</v>
      </c>
      <c r="L3250" s="206" t="str">
        <v/>
      </c>
      <c r="M3250" s="206" t="str">
        <v/>
      </c>
    </row>
    <row r="3251" spans="1:13" ht="14.4">
      <c r="A3251" s="201"/>
      <c r="B3251" s="209"/>
      <c r="C3251" s="201"/>
      <c r="D3251" s="201"/>
      <c r="E3251" s="202"/>
      <c r="F3251" s="210"/>
      <c r="G3251" s="210"/>
      <c r="H3251" s="206" t="s">
        <v>121</v>
      </c>
      <c r="I3251" s="206" t="s">
        <v>121</v>
      </c>
      <c r="J3251" s="206" t="s">
        <v>121</v>
      </c>
      <c r="K3251" s="206" t="s">
        <v>121</v>
      </c>
      <c r="L3251" s="206" t="str">
        <v/>
      </c>
      <c r="M3251" s="206" t="str">
        <v/>
      </c>
    </row>
    <row r="3252" spans="1:13" ht="14.4">
      <c r="A3252" s="201"/>
      <c r="B3252" s="209"/>
      <c r="C3252" s="201"/>
      <c r="D3252" s="201"/>
      <c r="E3252" s="202"/>
      <c r="F3252" s="210"/>
      <c r="G3252" s="210"/>
      <c r="H3252" s="206" t="s">
        <v>121</v>
      </c>
      <c r="I3252" s="206" t="s">
        <v>121</v>
      </c>
      <c r="J3252" s="206" t="s">
        <v>121</v>
      </c>
      <c r="K3252" s="206" t="s">
        <v>121</v>
      </c>
      <c r="L3252" s="206" t="str">
        <v/>
      </c>
      <c r="M3252" s="206" t="str">
        <v/>
      </c>
    </row>
    <row r="3253" spans="1:13" ht="14.4">
      <c r="A3253" s="201"/>
      <c r="B3253" s="209"/>
      <c r="C3253" s="201"/>
      <c r="D3253" s="201"/>
      <c r="E3253" s="202"/>
      <c r="F3253" s="210"/>
      <c r="G3253" s="210"/>
      <c r="H3253" s="206" t="s">
        <v>121</v>
      </c>
      <c r="I3253" s="206" t="s">
        <v>121</v>
      </c>
      <c r="J3253" s="206" t="s">
        <v>121</v>
      </c>
      <c r="K3253" s="206" t="s">
        <v>121</v>
      </c>
      <c r="L3253" s="206" t="str">
        <v/>
      </c>
      <c r="M3253" s="206" t="str">
        <v/>
      </c>
    </row>
    <row r="3254" spans="1:13" ht="14.4">
      <c r="A3254" s="201"/>
      <c r="B3254" s="209"/>
      <c r="C3254" s="201"/>
      <c r="D3254" s="201"/>
      <c r="E3254" s="202"/>
      <c r="F3254" s="210"/>
      <c r="G3254" s="210"/>
      <c r="H3254" s="206" t="s">
        <v>121</v>
      </c>
      <c r="I3254" s="206" t="s">
        <v>121</v>
      </c>
      <c r="J3254" s="206" t="s">
        <v>121</v>
      </c>
      <c r="K3254" s="206" t="s">
        <v>121</v>
      </c>
      <c r="L3254" s="206" t="str">
        <v/>
      </c>
      <c r="M3254" s="206" t="str">
        <v/>
      </c>
    </row>
    <row r="3255" spans="1:13" ht="14.4">
      <c r="A3255" s="201"/>
      <c r="B3255" s="209"/>
      <c r="C3255" s="201"/>
      <c r="D3255" s="201"/>
      <c r="E3255" s="202"/>
      <c r="F3255" s="210"/>
      <c r="G3255" s="210"/>
      <c r="H3255" s="206" t="s">
        <v>121</v>
      </c>
      <c r="I3255" s="206" t="s">
        <v>121</v>
      </c>
      <c r="J3255" s="206" t="s">
        <v>121</v>
      </c>
      <c r="K3255" s="206" t="s">
        <v>121</v>
      </c>
      <c r="L3255" s="206" t="str">
        <v/>
      </c>
      <c r="M3255" s="206" t="str">
        <v/>
      </c>
    </row>
    <row r="3256" spans="1:13" ht="14.4">
      <c r="A3256" s="201"/>
      <c r="B3256" s="209"/>
      <c r="C3256" s="201"/>
      <c r="D3256" s="201"/>
      <c r="E3256" s="202"/>
      <c r="F3256" s="210"/>
      <c r="G3256" s="210"/>
      <c r="H3256" s="206" t="s">
        <v>121</v>
      </c>
      <c r="I3256" s="206" t="s">
        <v>121</v>
      </c>
      <c r="J3256" s="206" t="s">
        <v>121</v>
      </c>
      <c r="K3256" s="206" t="s">
        <v>121</v>
      </c>
      <c r="L3256" s="206" t="str">
        <v/>
      </c>
      <c r="M3256" s="206" t="str">
        <v/>
      </c>
    </row>
    <row r="3257" spans="1:13" ht="14.4">
      <c r="A3257" s="201"/>
      <c r="B3257" s="209"/>
      <c r="C3257" s="201"/>
      <c r="D3257" s="201"/>
      <c r="E3257" s="202"/>
      <c r="F3257" s="210"/>
      <c r="G3257" s="210"/>
      <c r="H3257" s="206" t="s">
        <v>121</v>
      </c>
      <c r="I3257" s="206" t="s">
        <v>121</v>
      </c>
      <c r="J3257" s="206" t="s">
        <v>121</v>
      </c>
      <c r="K3257" s="206" t="s">
        <v>121</v>
      </c>
      <c r="L3257" s="206" t="str">
        <v/>
      </c>
      <c r="M3257" s="206" t="str">
        <v/>
      </c>
    </row>
    <row r="3258" spans="1:13" ht="14.4">
      <c r="A3258" s="201"/>
      <c r="B3258" s="209"/>
      <c r="C3258" s="201"/>
      <c r="D3258" s="201"/>
      <c r="E3258" s="202"/>
      <c r="F3258" s="210"/>
      <c r="G3258" s="210"/>
      <c r="H3258" s="206" t="s">
        <v>121</v>
      </c>
      <c r="I3258" s="206" t="s">
        <v>121</v>
      </c>
      <c r="J3258" s="206" t="s">
        <v>121</v>
      </c>
      <c r="K3258" s="206" t="s">
        <v>121</v>
      </c>
      <c r="L3258" s="206" t="str">
        <v/>
      </c>
      <c r="M3258" s="206" t="str">
        <v/>
      </c>
    </row>
    <row r="3259" spans="1:13" ht="14.4">
      <c r="A3259" s="201"/>
      <c r="B3259" s="209"/>
      <c r="C3259" s="201"/>
      <c r="D3259" s="201"/>
      <c r="E3259" s="202"/>
      <c r="F3259" s="210"/>
      <c r="G3259" s="210"/>
      <c r="H3259" s="206" t="s">
        <v>121</v>
      </c>
      <c r="I3259" s="206" t="s">
        <v>121</v>
      </c>
      <c r="J3259" s="206" t="s">
        <v>121</v>
      </c>
      <c r="K3259" s="206" t="s">
        <v>121</v>
      </c>
      <c r="L3259" s="206" t="str">
        <v/>
      </c>
      <c r="M3259" s="206" t="str">
        <v/>
      </c>
    </row>
    <row r="3260" spans="1:13" ht="14.4">
      <c r="A3260" s="201"/>
      <c r="B3260" s="209"/>
      <c r="C3260" s="201"/>
      <c r="D3260" s="201"/>
      <c r="E3260" s="202"/>
      <c r="F3260" s="210"/>
      <c r="G3260" s="210"/>
      <c r="H3260" s="206" t="s">
        <v>121</v>
      </c>
      <c r="I3260" s="206" t="s">
        <v>121</v>
      </c>
      <c r="J3260" s="206" t="s">
        <v>121</v>
      </c>
      <c r="K3260" s="206" t="s">
        <v>121</v>
      </c>
      <c r="L3260" s="206" t="str">
        <v/>
      </c>
      <c r="M3260" s="206" t="str">
        <v/>
      </c>
    </row>
    <row r="3261" spans="1:13" ht="14.4">
      <c r="A3261" s="201"/>
      <c r="B3261" s="209"/>
      <c r="C3261" s="201"/>
      <c r="D3261" s="201"/>
      <c r="E3261" s="202"/>
      <c r="F3261" s="210"/>
      <c r="G3261" s="210"/>
      <c r="H3261" s="206" t="s">
        <v>121</v>
      </c>
      <c r="I3261" s="206" t="s">
        <v>121</v>
      </c>
      <c r="J3261" s="206" t="s">
        <v>121</v>
      </c>
      <c r="K3261" s="206" t="s">
        <v>121</v>
      </c>
      <c r="L3261" s="206" t="str">
        <v/>
      </c>
      <c r="M3261" s="206" t="str">
        <v/>
      </c>
    </row>
    <row r="3262" spans="1:13" ht="14.4">
      <c r="A3262" s="201"/>
      <c r="B3262" s="209"/>
      <c r="C3262" s="201"/>
      <c r="D3262" s="201"/>
      <c r="E3262" s="202"/>
      <c r="F3262" s="210"/>
      <c r="G3262" s="210"/>
      <c r="H3262" s="206" t="s">
        <v>121</v>
      </c>
      <c r="I3262" s="206" t="s">
        <v>121</v>
      </c>
      <c r="J3262" s="206" t="s">
        <v>121</v>
      </c>
      <c r="K3262" s="206" t="s">
        <v>121</v>
      </c>
      <c r="L3262" s="206" t="str">
        <v/>
      </c>
      <c r="M3262" s="206" t="str">
        <v/>
      </c>
    </row>
    <row r="3263" spans="1:13" ht="14.4">
      <c r="A3263" s="201"/>
      <c r="B3263" s="209"/>
      <c r="C3263" s="201"/>
      <c r="D3263" s="201"/>
      <c r="E3263" s="202"/>
      <c r="F3263" s="210"/>
      <c r="G3263" s="210"/>
      <c r="H3263" s="206" t="s">
        <v>121</v>
      </c>
      <c r="I3263" s="206" t="s">
        <v>121</v>
      </c>
      <c r="J3263" s="206" t="s">
        <v>121</v>
      </c>
      <c r="K3263" s="206" t="s">
        <v>121</v>
      </c>
      <c r="L3263" s="206" t="str">
        <v/>
      </c>
      <c r="M3263" s="206" t="str">
        <v/>
      </c>
    </row>
    <row r="3264" spans="1:13" ht="14.4">
      <c r="A3264" s="201"/>
      <c r="B3264" s="209"/>
      <c r="C3264" s="201"/>
      <c r="D3264" s="201"/>
      <c r="E3264" s="202"/>
      <c r="F3264" s="210"/>
      <c r="G3264" s="210"/>
      <c r="H3264" s="206" t="s">
        <v>121</v>
      </c>
      <c r="I3264" s="206" t="s">
        <v>121</v>
      </c>
      <c r="J3264" s="206" t="s">
        <v>121</v>
      </c>
      <c r="K3264" s="206" t="s">
        <v>121</v>
      </c>
      <c r="L3264" s="206" t="str">
        <v/>
      </c>
      <c r="M3264" s="206" t="str">
        <v/>
      </c>
    </row>
    <row r="3265" spans="1:13" ht="14.4">
      <c r="A3265" s="201"/>
      <c r="B3265" s="209"/>
      <c r="C3265" s="201"/>
      <c r="D3265" s="201"/>
      <c r="E3265" s="202"/>
      <c r="F3265" s="210"/>
      <c r="G3265" s="210"/>
      <c r="H3265" s="206" t="s">
        <v>121</v>
      </c>
      <c r="I3265" s="206" t="s">
        <v>121</v>
      </c>
      <c r="J3265" s="206" t="s">
        <v>121</v>
      </c>
      <c r="K3265" s="206" t="s">
        <v>121</v>
      </c>
      <c r="L3265" s="206" t="str">
        <v/>
      </c>
      <c r="M3265" s="206" t="str">
        <v/>
      </c>
    </row>
    <row r="3266" spans="1:13" ht="14.4">
      <c r="A3266" s="201"/>
      <c r="B3266" s="209"/>
      <c r="C3266" s="201"/>
      <c r="D3266" s="201"/>
      <c r="E3266" s="202"/>
      <c r="F3266" s="210"/>
      <c r="G3266" s="210"/>
      <c r="H3266" s="206" t="s">
        <v>121</v>
      </c>
      <c r="I3266" s="206" t="s">
        <v>121</v>
      </c>
      <c r="J3266" s="206" t="s">
        <v>121</v>
      </c>
      <c r="K3266" s="206" t="s">
        <v>121</v>
      </c>
      <c r="L3266" s="206" t="str">
        <v/>
      </c>
      <c r="M3266" s="206" t="str">
        <v/>
      </c>
    </row>
    <row r="3267" spans="1:13" ht="14.4">
      <c r="A3267" s="201"/>
      <c r="B3267" s="209"/>
      <c r="C3267" s="201"/>
      <c r="D3267" s="201"/>
      <c r="E3267" s="202"/>
      <c r="F3267" s="210"/>
      <c r="G3267" s="210"/>
      <c r="H3267" s="206" t="s">
        <v>121</v>
      </c>
      <c r="I3267" s="206" t="s">
        <v>121</v>
      </c>
      <c r="J3267" s="206" t="s">
        <v>121</v>
      </c>
      <c r="K3267" s="206" t="s">
        <v>121</v>
      </c>
      <c r="L3267" s="206" t="str">
        <v/>
      </c>
      <c r="M3267" s="206" t="str">
        <v/>
      </c>
    </row>
    <row r="3268" spans="1:13" ht="14.4">
      <c r="A3268" s="201"/>
      <c r="B3268" s="209"/>
      <c r="C3268" s="201"/>
      <c r="D3268" s="201"/>
      <c r="E3268" s="202"/>
      <c r="F3268" s="210"/>
      <c r="G3268" s="210"/>
      <c r="H3268" s="206" t="s">
        <v>121</v>
      </c>
      <c r="I3268" s="206" t="s">
        <v>121</v>
      </c>
      <c r="J3268" s="206" t="s">
        <v>121</v>
      </c>
      <c r="K3268" s="206" t="s">
        <v>121</v>
      </c>
      <c r="L3268" s="206" t="str">
        <v/>
      </c>
      <c r="M3268" s="206" t="str">
        <v/>
      </c>
    </row>
    <row r="3269" spans="1:13" ht="14.4">
      <c r="A3269" s="201"/>
      <c r="B3269" s="209"/>
      <c r="C3269" s="201"/>
      <c r="D3269" s="201"/>
      <c r="E3269" s="202"/>
      <c r="F3269" s="210"/>
      <c r="G3269" s="210"/>
      <c r="H3269" s="206" t="s">
        <v>121</v>
      </c>
      <c r="I3269" s="206" t="s">
        <v>121</v>
      </c>
      <c r="J3269" s="206" t="s">
        <v>121</v>
      </c>
      <c r="K3269" s="206" t="s">
        <v>121</v>
      </c>
      <c r="L3269" s="206" t="str">
        <v/>
      </c>
      <c r="M3269" s="206" t="str">
        <v/>
      </c>
    </row>
    <row r="3270" spans="1:13" ht="14.4">
      <c r="A3270" s="201"/>
      <c r="B3270" s="209"/>
      <c r="C3270" s="201"/>
      <c r="D3270" s="201"/>
      <c r="E3270" s="202"/>
      <c r="F3270" s="210"/>
      <c r="G3270" s="210"/>
      <c r="H3270" s="206" t="s">
        <v>121</v>
      </c>
      <c r="I3270" s="206" t="s">
        <v>121</v>
      </c>
      <c r="J3270" s="206" t="s">
        <v>121</v>
      </c>
      <c r="K3270" s="206" t="s">
        <v>121</v>
      </c>
      <c r="L3270" s="206" t="str">
        <v/>
      </c>
      <c r="M3270" s="206" t="str">
        <v/>
      </c>
    </row>
    <row r="3271" spans="1:13" ht="14.4">
      <c r="A3271" s="201"/>
      <c r="B3271" s="209"/>
      <c r="C3271" s="201"/>
      <c r="D3271" s="201"/>
      <c r="E3271" s="202"/>
      <c r="F3271" s="210"/>
      <c r="G3271" s="210"/>
      <c r="H3271" s="206" t="s">
        <v>121</v>
      </c>
      <c r="I3271" s="206" t="s">
        <v>121</v>
      </c>
      <c r="J3271" s="206" t="s">
        <v>121</v>
      </c>
      <c r="K3271" s="206" t="s">
        <v>121</v>
      </c>
      <c r="L3271" s="206" t="str">
        <v/>
      </c>
      <c r="M3271" s="206" t="str">
        <v/>
      </c>
    </row>
    <row r="3272" spans="1:13" ht="14.4">
      <c r="A3272" s="201"/>
      <c r="B3272" s="209"/>
      <c r="C3272" s="201"/>
      <c r="D3272" s="201"/>
      <c r="E3272" s="202"/>
      <c r="F3272" s="210"/>
      <c r="G3272" s="210"/>
      <c r="H3272" s="206" t="s">
        <v>121</v>
      </c>
      <c r="I3272" s="206" t="s">
        <v>121</v>
      </c>
      <c r="J3272" s="206" t="s">
        <v>121</v>
      </c>
      <c r="K3272" s="206" t="s">
        <v>121</v>
      </c>
      <c r="L3272" s="206" t="str">
        <v/>
      </c>
      <c r="M3272" s="206" t="str">
        <v/>
      </c>
    </row>
    <row r="3273" spans="1:13" ht="14.4">
      <c r="A3273" s="201"/>
      <c r="B3273" s="209"/>
      <c r="C3273" s="201"/>
      <c r="D3273" s="201"/>
      <c r="E3273" s="202"/>
      <c r="F3273" s="210"/>
      <c r="G3273" s="210"/>
      <c r="H3273" s="206" t="s">
        <v>121</v>
      </c>
      <c r="I3273" s="206" t="s">
        <v>121</v>
      </c>
      <c r="J3273" s="206" t="s">
        <v>121</v>
      </c>
      <c r="K3273" s="206" t="s">
        <v>121</v>
      </c>
      <c r="L3273" s="206" t="str">
        <v/>
      </c>
      <c r="M3273" s="206" t="str">
        <v/>
      </c>
    </row>
    <row r="3274" spans="1:13" ht="14.4">
      <c r="A3274" s="201"/>
      <c r="B3274" s="209"/>
      <c r="C3274" s="201"/>
      <c r="D3274" s="201"/>
      <c r="E3274" s="202"/>
      <c r="F3274" s="210"/>
      <c r="G3274" s="210"/>
      <c r="H3274" s="206" t="s">
        <v>121</v>
      </c>
      <c r="I3274" s="206" t="s">
        <v>121</v>
      </c>
      <c r="J3274" s="206" t="s">
        <v>121</v>
      </c>
      <c r="K3274" s="206" t="s">
        <v>121</v>
      </c>
      <c r="L3274" s="206" t="str">
        <v/>
      </c>
      <c r="M3274" s="206" t="str">
        <v/>
      </c>
    </row>
    <row r="3275" spans="1:13" ht="14.4">
      <c r="A3275" s="201"/>
      <c r="B3275" s="209"/>
      <c r="C3275" s="201"/>
      <c r="D3275" s="201"/>
      <c r="E3275" s="202"/>
      <c r="F3275" s="210"/>
      <c r="G3275" s="210"/>
      <c r="H3275" s="206" t="s">
        <v>121</v>
      </c>
      <c r="I3275" s="206" t="s">
        <v>121</v>
      </c>
      <c r="J3275" s="206" t="s">
        <v>121</v>
      </c>
      <c r="K3275" s="206" t="s">
        <v>121</v>
      </c>
      <c r="L3275" s="206" t="str">
        <v/>
      </c>
      <c r="M3275" s="206" t="str">
        <v/>
      </c>
    </row>
    <row r="3276" spans="1:13" ht="14.4">
      <c r="A3276" s="201"/>
      <c r="B3276" s="209"/>
      <c r="C3276" s="201"/>
      <c r="D3276" s="201"/>
      <c r="E3276" s="202"/>
      <c r="F3276" s="210"/>
      <c r="G3276" s="210"/>
      <c r="H3276" s="206" t="s">
        <v>121</v>
      </c>
      <c r="I3276" s="206" t="s">
        <v>121</v>
      </c>
      <c r="J3276" s="206" t="s">
        <v>121</v>
      </c>
      <c r="K3276" s="206" t="s">
        <v>121</v>
      </c>
      <c r="L3276" s="206" t="str">
        <v/>
      </c>
      <c r="M3276" s="206" t="str">
        <v/>
      </c>
    </row>
    <row r="3277" spans="1:13" ht="14.4">
      <c r="A3277" s="201"/>
      <c r="B3277" s="209"/>
      <c r="C3277" s="201"/>
      <c r="D3277" s="201"/>
      <c r="E3277" s="202"/>
      <c r="F3277" s="210"/>
      <c r="G3277" s="210"/>
      <c r="H3277" s="206" t="s">
        <v>121</v>
      </c>
      <c r="I3277" s="206" t="s">
        <v>121</v>
      </c>
      <c r="J3277" s="206" t="s">
        <v>121</v>
      </c>
      <c r="K3277" s="206" t="s">
        <v>121</v>
      </c>
      <c r="L3277" s="206" t="str">
        <v/>
      </c>
      <c r="M3277" s="206" t="str">
        <v/>
      </c>
    </row>
    <row r="3278" spans="1:13" ht="14.4">
      <c r="A3278" s="201"/>
      <c r="B3278" s="209"/>
      <c r="C3278" s="201"/>
      <c r="D3278" s="201"/>
      <c r="E3278" s="202"/>
      <c r="F3278" s="210"/>
      <c r="G3278" s="210"/>
      <c r="H3278" s="206" t="s">
        <v>121</v>
      </c>
      <c r="I3278" s="206" t="s">
        <v>121</v>
      </c>
      <c r="J3278" s="206" t="s">
        <v>121</v>
      </c>
      <c r="K3278" s="206" t="s">
        <v>121</v>
      </c>
      <c r="L3278" s="206" t="str">
        <v/>
      </c>
      <c r="M3278" s="206" t="str">
        <v/>
      </c>
    </row>
    <row r="3279" spans="1:13" ht="14.4">
      <c r="A3279" s="201"/>
      <c r="B3279" s="209"/>
      <c r="C3279" s="201"/>
      <c r="D3279" s="201"/>
      <c r="E3279" s="202"/>
      <c r="F3279" s="210"/>
      <c r="G3279" s="210"/>
      <c r="H3279" s="206" t="s">
        <v>121</v>
      </c>
      <c r="I3279" s="206" t="s">
        <v>121</v>
      </c>
      <c r="J3279" s="206" t="s">
        <v>121</v>
      </c>
      <c r="K3279" s="206" t="s">
        <v>121</v>
      </c>
      <c r="L3279" s="206" t="str">
        <v/>
      </c>
      <c r="M3279" s="206" t="str">
        <v/>
      </c>
    </row>
    <row r="3280" spans="1:13" ht="14.4">
      <c r="A3280" s="201"/>
      <c r="B3280" s="209"/>
      <c r="C3280" s="201"/>
      <c r="D3280" s="201"/>
      <c r="E3280" s="202"/>
      <c r="F3280" s="210"/>
      <c r="G3280" s="210"/>
      <c r="H3280" s="206" t="s">
        <v>121</v>
      </c>
      <c r="I3280" s="206" t="s">
        <v>121</v>
      </c>
      <c r="J3280" s="206" t="s">
        <v>121</v>
      </c>
      <c r="K3280" s="206" t="s">
        <v>121</v>
      </c>
      <c r="L3280" s="206" t="str">
        <v/>
      </c>
      <c r="M3280" s="206" t="str">
        <v/>
      </c>
    </row>
    <row r="3281" spans="1:13" ht="14.4">
      <c r="A3281" s="201"/>
      <c r="B3281" s="209"/>
      <c r="C3281" s="201"/>
      <c r="D3281" s="201"/>
      <c r="E3281" s="202"/>
      <c r="F3281" s="210"/>
      <c r="G3281" s="210"/>
      <c r="H3281" s="206" t="s">
        <v>121</v>
      </c>
      <c r="I3281" s="206" t="s">
        <v>121</v>
      </c>
      <c r="J3281" s="206" t="s">
        <v>121</v>
      </c>
      <c r="K3281" s="206" t="s">
        <v>121</v>
      </c>
      <c r="L3281" s="206" t="str">
        <v/>
      </c>
      <c r="M3281" s="206" t="str">
        <v/>
      </c>
    </row>
    <row r="3282" spans="1:13" ht="14.4">
      <c r="A3282" s="201"/>
      <c r="B3282" s="209"/>
      <c r="C3282" s="201"/>
      <c r="D3282" s="201"/>
      <c r="E3282" s="202"/>
      <c r="F3282" s="210"/>
      <c r="G3282" s="210"/>
      <c r="H3282" s="206" t="s">
        <v>121</v>
      </c>
      <c r="I3282" s="206" t="s">
        <v>121</v>
      </c>
      <c r="J3282" s="206" t="s">
        <v>121</v>
      </c>
      <c r="K3282" s="206" t="s">
        <v>121</v>
      </c>
      <c r="L3282" s="206" t="str">
        <v/>
      </c>
      <c r="M3282" s="206" t="str">
        <v/>
      </c>
    </row>
    <row r="3283" spans="1:13" ht="14.4">
      <c r="A3283" s="201"/>
      <c r="B3283" s="209"/>
      <c r="C3283" s="201"/>
      <c r="D3283" s="201"/>
      <c r="E3283" s="202"/>
      <c r="F3283" s="210"/>
      <c r="G3283" s="210"/>
      <c r="H3283" s="206" t="s">
        <v>121</v>
      </c>
      <c r="I3283" s="206" t="s">
        <v>121</v>
      </c>
      <c r="J3283" s="206" t="s">
        <v>121</v>
      </c>
      <c r="K3283" s="206" t="s">
        <v>121</v>
      </c>
      <c r="L3283" s="206" t="str">
        <v/>
      </c>
      <c r="M3283" s="206" t="str">
        <v/>
      </c>
    </row>
    <row r="3284" spans="1:13" ht="14.4">
      <c r="A3284" s="201"/>
      <c r="B3284" s="209"/>
      <c r="C3284" s="201"/>
      <c r="D3284" s="201"/>
      <c r="E3284" s="202"/>
      <c r="F3284" s="210"/>
      <c r="G3284" s="210"/>
      <c r="H3284" s="206" t="s">
        <v>121</v>
      </c>
      <c r="I3284" s="206" t="s">
        <v>121</v>
      </c>
      <c r="J3284" s="206" t="s">
        <v>121</v>
      </c>
      <c r="K3284" s="206" t="s">
        <v>121</v>
      </c>
      <c r="L3284" s="206" t="str">
        <v/>
      </c>
      <c r="M3284" s="206" t="str">
        <v/>
      </c>
    </row>
    <row r="3285" spans="1:13" ht="14.4">
      <c r="A3285" s="201"/>
      <c r="B3285" s="209"/>
      <c r="C3285" s="201"/>
      <c r="D3285" s="201"/>
      <c r="E3285" s="202"/>
      <c r="F3285" s="210"/>
      <c r="G3285" s="210"/>
      <c r="H3285" s="206" t="s">
        <v>121</v>
      </c>
      <c r="I3285" s="206" t="s">
        <v>121</v>
      </c>
      <c r="J3285" s="206" t="s">
        <v>121</v>
      </c>
      <c r="K3285" s="206" t="s">
        <v>121</v>
      </c>
      <c r="L3285" s="206" t="str">
        <v/>
      </c>
      <c r="M3285" s="206" t="str">
        <v/>
      </c>
    </row>
    <row r="3286" spans="1:13" ht="14.4">
      <c r="A3286" s="201"/>
      <c r="B3286" s="209"/>
      <c r="C3286" s="201"/>
      <c r="D3286" s="201"/>
      <c r="E3286" s="202"/>
      <c r="F3286" s="210"/>
      <c r="G3286" s="210"/>
      <c r="H3286" s="206" t="s">
        <v>121</v>
      </c>
      <c r="I3286" s="206" t="s">
        <v>121</v>
      </c>
      <c r="J3286" s="206" t="s">
        <v>121</v>
      </c>
      <c r="K3286" s="206" t="s">
        <v>121</v>
      </c>
      <c r="L3286" s="206" t="str">
        <v/>
      </c>
      <c r="M3286" s="206" t="str">
        <v/>
      </c>
    </row>
    <row r="3287" spans="1:13" ht="14.4">
      <c r="A3287" s="201"/>
      <c r="B3287" s="209"/>
      <c r="C3287" s="201"/>
      <c r="D3287" s="201"/>
      <c r="E3287" s="202"/>
      <c r="F3287" s="210"/>
      <c r="G3287" s="210"/>
      <c r="H3287" s="206" t="s">
        <v>121</v>
      </c>
      <c r="I3287" s="206" t="s">
        <v>121</v>
      </c>
      <c r="J3287" s="206" t="s">
        <v>121</v>
      </c>
      <c r="K3287" s="206" t="s">
        <v>121</v>
      </c>
      <c r="L3287" s="206" t="str">
        <v/>
      </c>
      <c r="M3287" s="206" t="str">
        <v/>
      </c>
    </row>
    <row r="3288" spans="1:13" ht="14.4">
      <c r="A3288" s="201"/>
      <c r="B3288" s="209"/>
      <c r="C3288" s="201"/>
      <c r="D3288" s="201"/>
      <c r="E3288" s="202"/>
      <c r="F3288" s="210"/>
      <c r="G3288" s="210"/>
      <c r="H3288" s="206" t="s">
        <v>121</v>
      </c>
      <c r="I3288" s="206" t="s">
        <v>121</v>
      </c>
      <c r="J3288" s="206" t="s">
        <v>121</v>
      </c>
      <c r="K3288" s="206" t="s">
        <v>121</v>
      </c>
      <c r="L3288" s="206" t="str">
        <v/>
      </c>
      <c r="M3288" s="206" t="str">
        <v/>
      </c>
    </row>
    <row r="3289" spans="1:13" ht="14.4">
      <c r="A3289" s="201"/>
      <c r="B3289" s="209"/>
      <c r="C3289" s="201"/>
      <c r="D3289" s="201"/>
      <c r="E3289" s="202"/>
      <c r="F3289" s="210"/>
      <c r="G3289" s="210"/>
      <c r="H3289" s="206" t="s">
        <v>121</v>
      </c>
      <c r="I3289" s="206" t="s">
        <v>121</v>
      </c>
      <c r="J3289" s="206" t="s">
        <v>121</v>
      </c>
      <c r="K3289" s="206" t="s">
        <v>121</v>
      </c>
      <c r="L3289" s="206" t="str">
        <v/>
      </c>
      <c r="M3289" s="206" t="str">
        <v/>
      </c>
    </row>
    <row r="3290" spans="1:13" ht="14.4">
      <c r="A3290" s="201"/>
      <c r="B3290" s="209"/>
      <c r="C3290" s="201"/>
      <c r="D3290" s="201"/>
      <c r="E3290" s="202"/>
      <c r="F3290" s="210"/>
      <c r="G3290" s="210"/>
      <c r="H3290" s="206" t="s">
        <v>121</v>
      </c>
      <c r="I3290" s="206" t="s">
        <v>121</v>
      </c>
      <c r="J3290" s="206" t="s">
        <v>121</v>
      </c>
      <c r="K3290" s="206" t="s">
        <v>121</v>
      </c>
      <c r="L3290" s="206" t="str">
        <v/>
      </c>
      <c r="M3290" s="206" t="str">
        <v/>
      </c>
    </row>
    <row r="3291" spans="1:13" ht="14.4">
      <c r="A3291" s="201"/>
      <c r="B3291" s="209"/>
      <c r="C3291" s="201"/>
      <c r="D3291" s="201"/>
      <c r="E3291" s="202"/>
      <c r="F3291" s="210"/>
      <c r="G3291" s="210"/>
      <c r="H3291" s="206" t="s">
        <v>121</v>
      </c>
      <c r="I3291" s="206" t="s">
        <v>121</v>
      </c>
      <c r="J3291" s="206" t="s">
        <v>121</v>
      </c>
      <c r="K3291" s="206" t="s">
        <v>121</v>
      </c>
      <c r="L3291" s="206" t="str">
        <v/>
      </c>
      <c r="M3291" s="206" t="str">
        <v/>
      </c>
    </row>
    <row r="3292" spans="1:13" ht="14.4">
      <c r="A3292" s="201"/>
      <c r="B3292" s="209"/>
      <c r="C3292" s="201"/>
      <c r="D3292" s="201"/>
      <c r="E3292" s="202"/>
      <c r="F3292" s="210"/>
      <c r="G3292" s="210"/>
      <c r="H3292" s="206" t="s">
        <v>121</v>
      </c>
      <c r="I3292" s="206" t="s">
        <v>121</v>
      </c>
      <c r="J3292" s="206" t="s">
        <v>121</v>
      </c>
      <c r="K3292" s="206" t="s">
        <v>121</v>
      </c>
      <c r="L3292" s="206" t="str">
        <v/>
      </c>
      <c r="M3292" s="206" t="str">
        <v/>
      </c>
    </row>
    <row r="3293" spans="1:13" ht="14.4">
      <c r="A3293" s="201"/>
      <c r="B3293" s="209"/>
      <c r="C3293" s="201"/>
      <c r="D3293" s="201"/>
      <c r="E3293" s="202"/>
      <c r="F3293" s="210"/>
      <c r="G3293" s="210"/>
      <c r="H3293" s="206" t="s">
        <v>121</v>
      </c>
      <c r="I3293" s="206" t="s">
        <v>121</v>
      </c>
      <c r="J3293" s="206" t="s">
        <v>121</v>
      </c>
      <c r="K3293" s="206" t="s">
        <v>121</v>
      </c>
      <c r="L3293" s="206" t="str">
        <v/>
      </c>
      <c r="M3293" s="206" t="str">
        <v/>
      </c>
    </row>
    <row r="3294" spans="1:13" ht="14.4">
      <c r="A3294" s="201"/>
      <c r="B3294" s="209"/>
      <c r="C3294" s="201"/>
      <c r="D3294" s="201"/>
      <c r="E3294" s="202"/>
      <c r="F3294" s="210"/>
      <c r="G3294" s="210"/>
      <c r="H3294" s="206" t="s">
        <v>121</v>
      </c>
      <c r="I3294" s="206" t="s">
        <v>121</v>
      </c>
      <c r="J3294" s="206" t="s">
        <v>121</v>
      </c>
      <c r="K3294" s="206" t="s">
        <v>121</v>
      </c>
      <c r="L3294" s="206" t="str">
        <v/>
      </c>
      <c r="M3294" s="206" t="str">
        <v/>
      </c>
    </row>
    <row r="3295" spans="1:13" ht="14.4">
      <c r="A3295" s="201"/>
      <c r="B3295" s="209"/>
      <c r="C3295" s="201"/>
      <c r="D3295" s="201"/>
      <c r="E3295" s="202"/>
      <c r="F3295" s="210"/>
      <c r="G3295" s="210"/>
      <c r="H3295" s="206" t="s">
        <v>121</v>
      </c>
      <c r="I3295" s="206" t="s">
        <v>121</v>
      </c>
      <c r="J3295" s="206" t="s">
        <v>121</v>
      </c>
      <c r="K3295" s="206" t="s">
        <v>121</v>
      </c>
      <c r="L3295" s="206" t="str">
        <v/>
      </c>
      <c r="M3295" s="206" t="str">
        <v/>
      </c>
    </row>
    <row r="3296" spans="1:13" ht="14.4">
      <c r="A3296" s="201"/>
      <c r="B3296" s="209"/>
      <c r="C3296" s="201"/>
      <c r="D3296" s="201"/>
      <c r="E3296" s="202"/>
      <c r="F3296" s="210"/>
      <c r="G3296" s="210"/>
      <c r="H3296" s="206" t="s">
        <v>121</v>
      </c>
      <c r="I3296" s="206" t="s">
        <v>121</v>
      </c>
      <c r="J3296" s="206" t="s">
        <v>121</v>
      </c>
      <c r="K3296" s="206" t="s">
        <v>121</v>
      </c>
      <c r="L3296" s="206" t="str">
        <v/>
      </c>
      <c r="M3296" s="206" t="str">
        <v/>
      </c>
    </row>
    <row r="3297" spans="1:13" ht="14.4">
      <c r="A3297" s="201"/>
      <c r="B3297" s="209"/>
      <c r="C3297" s="201"/>
      <c r="D3297" s="201"/>
      <c r="E3297" s="202"/>
      <c r="F3297" s="210"/>
      <c r="G3297" s="210"/>
      <c r="H3297" s="206" t="s">
        <v>121</v>
      </c>
      <c r="I3297" s="206" t="s">
        <v>121</v>
      </c>
      <c r="J3297" s="206" t="s">
        <v>121</v>
      </c>
      <c r="K3297" s="206" t="s">
        <v>121</v>
      </c>
      <c r="L3297" s="206" t="str">
        <v/>
      </c>
      <c r="M3297" s="206" t="str">
        <v/>
      </c>
    </row>
    <row r="3298" spans="1:13" ht="14.4">
      <c r="A3298" s="201"/>
      <c r="B3298" s="209"/>
      <c r="C3298" s="201"/>
      <c r="D3298" s="201"/>
      <c r="E3298" s="202"/>
      <c r="F3298" s="210"/>
      <c r="G3298" s="210"/>
      <c r="H3298" s="206" t="s">
        <v>121</v>
      </c>
      <c r="I3298" s="206" t="s">
        <v>121</v>
      </c>
      <c r="J3298" s="206" t="s">
        <v>121</v>
      </c>
      <c r="K3298" s="206" t="s">
        <v>121</v>
      </c>
      <c r="L3298" s="206" t="str">
        <v/>
      </c>
      <c r="M3298" s="206" t="str">
        <v/>
      </c>
    </row>
    <row r="3299" spans="1:13" ht="14.4">
      <c r="A3299" s="201"/>
      <c r="B3299" s="209"/>
      <c r="C3299" s="201"/>
      <c r="D3299" s="201"/>
      <c r="E3299" s="202"/>
      <c r="F3299" s="210"/>
      <c r="G3299" s="210"/>
      <c r="H3299" s="206" t="s">
        <v>121</v>
      </c>
      <c r="I3299" s="206" t="s">
        <v>121</v>
      </c>
      <c r="J3299" s="206" t="s">
        <v>121</v>
      </c>
      <c r="K3299" s="206" t="s">
        <v>121</v>
      </c>
      <c r="L3299" s="206" t="str">
        <v/>
      </c>
      <c r="M3299" s="206" t="str">
        <v/>
      </c>
    </row>
    <row r="3300" spans="1:13" ht="14.4">
      <c r="A3300" s="201"/>
      <c r="B3300" s="209"/>
      <c r="C3300" s="201"/>
      <c r="D3300" s="201"/>
      <c r="E3300" s="202"/>
      <c r="F3300" s="210"/>
      <c r="G3300" s="210"/>
      <c r="H3300" s="206" t="s">
        <v>121</v>
      </c>
      <c r="I3300" s="206" t="s">
        <v>121</v>
      </c>
      <c r="J3300" s="206" t="s">
        <v>121</v>
      </c>
      <c r="K3300" s="206" t="s">
        <v>121</v>
      </c>
      <c r="L3300" s="206" t="str">
        <v/>
      </c>
      <c r="M3300" s="206" t="str">
        <v/>
      </c>
    </row>
    <row r="3301" spans="1:13" ht="14.4">
      <c r="A3301" s="201"/>
      <c r="B3301" s="209"/>
      <c r="C3301" s="201"/>
      <c r="D3301" s="201"/>
      <c r="E3301" s="202"/>
      <c r="F3301" s="210"/>
      <c r="G3301" s="210"/>
      <c r="H3301" s="206" t="s">
        <v>121</v>
      </c>
      <c r="I3301" s="206" t="s">
        <v>121</v>
      </c>
      <c r="J3301" s="206" t="s">
        <v>121</v>
      </c>
      <c r="K3301" s="206" t="s">
        <v>121</v>
      </c>
      <c r="L3301" s="206" t="str">
        <v/>
      </c>
      <c r="M3301" s="206" t="str">
        <v/>
      </c>
    </row>
    <row r="3302" spans="1:13" ht="14.4">
      <c r="A3302" s="201"/>
      <c r="B3302" s="209"/>
      <c r="C3302" s="201"/>
      <c r="D3302" s="201"/>
      <c r="E3302" s="202"/>
      <c r="F3302" s="210"/>
      <c r="G3302" s="210"/>
      <c r="H3302" s="206" t="s">
        <v>121</v>
      </c>
      <c r="I3302" s="206" t="s">
        <v>121</v>
      </c>
      <c r="J3302" s="206" t="s">
        <v>121</v>
      </c>
      <c r="K3302" s="206" t="s">
        <v>121</v>
      </c>
      <c r="L3302" s="206" t="str">
        <v/>
      </c>
      <c r="M3302" s="206" t="str">
        <v/>
      </c>
    </row>
    <row r="3303" spans="1:13" ht="14.4">
      <c r="A3303" s="201"/>
      <c r="B3303" s="209"/>
      <c r="C3303" s="201"/>
      <c r="D3303" s="201"/>
      <c r="E3303" s="202"/>
      <c r="F3303" s="210"/>
      <c r="G3303" s="210"/>
      <c r="H3303" s="206" t="s">
        <v>121</v>
      </c>
      <c r="I3303" s="206" t="s">
        <v>121</v>
      </c>
      <c r="J3303" s="206" t="s">
        <v>121</v>
      </c>
      <c r="K3303" s="206" t="s">
        <v>121</v>
      </c>
      <c r="L3303" s="206" t="str">
        <v/>
      </c>
      <c r="M3303" s="206" t="str">
        <v/>
      </c>
    </row>
    <row r="3304" spans="1:13" ht="14.4">
      <c r="A3304" s="201"/>
      <c r="B3304" s="209"/>
      <c r="C3304" s="201"/>
      <c r="D3304" s="201"/>
      <c r="E3304" s="202"/>
      <c r="F3304" s="210"/>
      <c r="G3304" s="210"/>
      <c r="H3304" s="206" t="s">
        <v>121</v>
      </c>
      <c r="I3304" s="206" t="s">
        <v>121</v>
      </c>
      <c r="J3304" s="206" t="s">
        <v>121</v>
      </c>
      <c r="K3304" s="206" t="s">
        <v>121</v>
      </c>
      <c r="L3304" s="206" t="str">
        <v/>
      </c>
      <c r="M3304" s="206" t="str">
        <v/>
      </c>
    </row>
    <row r="3305" spans="1:13" ht="14.4">
      <c r="A3305" s="201"/>
      <c r="B3305" s="209"/>
      <c r="C3305" s="201"/>
      <c r="D3305" s="201"/>
      <c r="E3305" s="202"/>
      <c r="F3305" s="210"/>
      <c r="G3305" s="210"/>
      <c r="H3305" s="206" t="s">
        <v>121</v>
      </c>
      <c r="I3305" s="206" t="s">
        <v>121</v>
      </c>
      <c r="J3305" s="206" t="s">
        <v>121</v>
      </c>
      <c r="K3305" s="206" t="s">
        <v>121</v>
      </c>
      <c r="L3305" s="206" t="str">
        <v/>
      </c>
      <c r="M3305" s="206" t="str">
        <v/>
      </c>
    </row>
    <row r="3306" spans="1:13" ht="14.4">
      <c r="A3306" s="201"/>
      <c r="B3306" s="209"/>
      <c r="C3306" s="201"/>
      <c r="D3306" s="201"/>
      <c r="E3306" s="202"/>
      <c r="F3306" s="210"/>
      <c r="G3306" s="210"/>
      <c r="H3306" s="206" t="s">
        <v>121</v>
      </c>
      <c r="I3306" s="206" t="s">
        <v>121</v>
      </c>
      <c r="J3306" s="206" t="s">
        <v>121</v>
      </c>
      <c r="K3306" s="206" t="s">
        <v>121</v>
      </c>
      <c r="L3306" s="206" t="str">
        <v/>
      </c>
      <c r="M3306" s="206" t="str">
        <v/>
      </c>
    </row>
    <row r="3307" spans="1:13" ht="14.4">
      <c r="A3307" s="201"/>
      <c r="B3307" s="209"/>
      <c r="C3307" s="201"/>
      <c r="D3307" s="201"/>
      <c r="E3307" s="202"/>
      <c r="F3307" s="210"/>
      <c r="G3307" s="210"/>
      <c r="H3307" s="206" t="s">
        <v>121</v>
      </c>
      <c r="I3307" s="206" t="s">
        <v>121</v>
      </c>
      <c r="J3307" s="206" t="s">
        <v>121</v>
      </c>
      <c r="K3307" s="206" t="s">
        <v>121</v>
      </c>
      <c r="L3307" s="206" t="str">
        <v/>
      </c>
      <c r="M3307" s="206" t="str">
        <v/>
      </c>
    </row>
    <row r="3308" spans="1:13" ht="14.4">
      <c r="A3308" s="201"/>
      <c r="B3308" s="209"/>
      <c r="C3308" s="201"/>
      <c r="D3308" s="201"/>
      <c r="E3308" s="202"/>
      <c r="F3308" s="210"/>
      <c r="G3308" s="210"/>
      <c r="H3308" s="206" t="s">
        <v>121</v>
      </c>
      <c r="I3308" s="206" t="s">
        <v>121</v>
      </c>
      <c r="J3308" s="206" t="s">
        <v>121</v>
      </c>
      <c r="K3308" s="206" t="s">
        <v>121</v>
      </c>
      <c r="L3308" s="206" t="str">
        <v/>
      </c>
      <c r="M3308" s="206" t="str">
        <v/>
      </c>
    </row>
    <row r="3309" spans="1:13" ht="14.4">
      <c r="A3309" s="201"/>
      <c r="B3309" s="209"/>
      <c r="C3309" s="201"/>
      <c r="D3309" s="201"/>
      <c r="E3309" s="202"/>
      <c r="F3309" s="210"/>
      <c r="G3309" s="210"/>
      <c r="H3309" s="206" t="s">
        <v>121</v>
      </c>
      <c r="I3309" s="206" t="s">
        <v>121</v>
      </c>
      <c r="J3309" s="206" t="s">
        <v>121</v>
      </c>
      <c r="K3309" s="206" t="s">
        <v>121</v>
      </c>
      <c r="L3309" s="206" t="str">
        <v/>
      </c>
      <c r="M3309" s="206" t="str">
        <v/>
      </c>
    </row>
    <row r="3310" spans="1:13" ht="14.4">
      <c r="A3310" s="201"/>
      <c r="B3310" s="209"/>
      <c r="C3310" s="201"/>
      <c r="D3310" s="201"/>
      <c r="E3310" s="202"/>
      <c r="F3310" s="210"/>
      <c r="G3310" s="210"/>
      <c r="H3310" s="206" t="s">
        <v>121</v>
      </c>
      <c r="I3310" s="206" t="s">
        <v>121</v>
      </c>
      <c r="J3310" s="206" t="s">
        <v>121</v>
      </c>
      <c r="K3310" s="206" t="s">
        <v>121</v>
      </c>
      <c r="L3310" s="206" t="str">
        <v/>
      </c>
      <c r="M3310" s="206" t="str">
        <v/>
      </c>
    </row>
    <row r="3311" spans="1:13" ht="14.4">
      <c r="A3311" s="201"/>
      <c r="B3311" s="209"/>
      <c r="C3311" s="201"/>
      <c r="D3311" s="201"/>
      <c r="E3311" s="202"/>
      <c r="F3311" s="210"/>
      <c r="G3311" s="210"/>
      <c r="H3311" s="206" t="s">
        <v>121</v>
      </c>
      <c r="I3311" s="206" t="s">
        <v>121</v>
      </c>
      <c r="J3311" s="206" t="s">
        <v>121</v>
      </c>
      <c r="K3311" s="206" t="s">
        <v>121</v>
      </c>
      <c r="L3311" s="206" t="str">
        <v/>
      </c>
      <c r="M3311" s="206" t="str">
        <v/>
      </c>
    </row>
    <row r="3312" spans="1:13" ht="14.4">
      <c r="A3312" s="201"/>
      <c r="B3312" s="209"/>
      <c r="C3312" s="201"/>
      <c r="D3312" s="201"/>
      <c r="E3312" s="202"/>
      <c r="F3312" s="210"/>
      <c r="G3312" s="210"/>
      <c r="H3312" s="206" t="s">
        <v>121</v>
      </c>
      <c r="I3312" s="206" t="s">
        <v>121</v>
      </c>
      <c r="J3312" s="206" t="s">
        <v>121</v>
      </c>
      <c r="K3312" s="206" t="s">
        <v>121</v>
      </c>
      <c r="L3312" s="206" t="str">
        <v/>
      </c>
      <c r="M3312" s="206" t="str">
        <v/>
      </c>
    </row>
    <row r="3313" spans="1:13" ht="14.4">
      <c r="A3313" s="201"/>
      <c r="B3313" s="209"/>
      <c r="C3313" s="201"/>
      <c r="D3313" s="201"/>
      <c r="E3313" s="202"/>
      <c r="F3313" s="210"/>
      <c r="G3313" s="210"/>
      <c r="H3313" s="206" t="s">
        <v>121</v>
      </c>
      <c r="I3313" s="206" t="s">
        <v>121</v>
      </c>
      <c r="J3313" s="206" t="s">
        <v>121</v>
      </c>
      <c r="K3313" s="206" t="s">
        <v>121</v>
      </c>
      <c r="L3313" s="206" t="str">
        <v/>
      </c>
      <c r="M3313" s="206" t="str">
        <v/>
      </c>
    </row>
    <row r="3314" spans="1:13" ht="14.4">
      <c r="A3314" s="201"/>
      <c r="B3314" s="209"/>
      <c r="C3314" s="201"/>
      <c r="D3314" s="201"/>
      <c r="E3314" s="202"/>
      <c r="F3314" s="210"/>
      <c r="G3314" s="210"/>
      <c r="H3314" s="206" t="s">
        <v>121</v>
      </c>
      <c r="I3314" s="206" t="s">
        <v>121</v>
      </c>
      <c r="J3314" s="206" t="s">
        <v>121</v>
      </c>
      <c r="K3314" s="206" t="s">
        <v>121</v>
      </c>
      <c r="L3314" s="206" t="str">
        <v/>
      </c>
      <c r="M3314" s="206" t="str">
        <v/>
      </c>
    </row>
    <row r="3315" spans="1:13" ht="14.4">
      <c r="A3315" s="201"/>
      <c r="B3315" s="209"/>
      <c r="C3315" s="201"/>
      <c r="D3315" s="201"/>
      <c r="E3315" s="202"/>
      <c r="F3315" s="210"/>
      <c r="G3315" s="210"/>
      <c r="H3315" s="206" t="s">
        <v>121</v>
      </c>
      <c r="I3315" s="206" t="s">
        <v>121</v>
      </c>
      <c r="J3315" s="206" t="s">
        <v>121</v>
      </c>
      <c r="K3315" s="206" t="s">
        <v>121</v>
      </c>
      <c r="L3315" s="206" t="str">
        <v/>
      </c>
      <c r="M3315" s="206" t="str">
        <v/>
      </c>
    </row>
    <row r="3316" spans="1:13" ht="14.4">
      <c r="A3316" s="201"/>
      <c r="B3316" s="209"/>
      <c r="C3316" s="201"/>
      <c r="D3316" s="201"/>
      <c r="E3316" s="202"/>
      <c r="F3316" s="210"/>
      <c r="G3316" s="210"/>
      <c r="H3316" s="206" t="s">
        <v>121</v>
      </c>
      <c r="I3316" s="206" t="s">
        <v>121</v>
      </c>
      <c r="J3316" s="206" t="s">
        <v>121</v>
      </c>
      <c r="K3316" s="206" t="s">
        <v>121</v>
      </c>
      <c r="L3316" s="206" t="str">
        <v/>
      </c>
      <c r="M3316" s="206" t="str">
        <v/>
      </c>
    </row>
    <row r="3317" spans="1:13" ht="14.4">
      <c r="A3317" s="201"/>
      <c r="B3317" s="209"/>
      <c r="C3317" s="201"/>
      <c r="D3317" s="201"/>
      <c r="E3317" s="202"/>
      <c r="F3317" s="210"/>
      <c r="G3317" s="210"/>
      <c r="H3317" s="206" t="s">
        <v>121</v>
      </c>
      <c r="I3317" s="206" t="s">
        <v>121</v>
      </c>
      <c r="J3317" s="206" t="s">
        <v>121</v>
      </c>
      <c r="K3317" s="206" t="s">
        <v>121</v>
      </c>
      <c r="L3317" s="206" t="str">
        <v/>
      </c>
      <c r="M3317" s="206" t="str">
        <v/>
      </c>
    </row>
    <row r="3318" spans="1:13" ht="14.4">
      <c r="A3318" s="201"/>
      <c r="B3318" s="209"/>
      <c r="C3318" s="201"/>
      <c r="D3318" s="201"/>
      <c r="E3318" s="202"/>
      <c r="F3318" s="210"/>
      <c r="G3318" s="210"/>
      <c r="H3318" s="206" t="s">
        <v>121</v>
      </c>
      <c r="I3318" s="206" t="s">
        <v>121</v>
      </c>
      <c r="J3318" s="206" t="s">
        <v>121</v>
      </c>
      <c r="K3318" s="206" t="s">
        <v>121</v>
      </c>
      <c r="L3318" s="206" t="str">
        <v/>
      </c>
      <c r="M3318" s="206" t="str">
        <v/>
      </c>
    </row>
    <row r="3319" spans="1:13" ht="14.4">
      <c r="A3319" s="201"/>
      <c r="B3319" s="209"/>
      <c r="C3319" s="201"/>
      <c r="D3319" s="201"/>
      <c r="E3319" s="202"/>
      <c r="F3319" s="210"/>
      <c r="G3319" s="210"/>
      <c r="H3319" s="206" t="s">
        <v>121</v>
      </c>
      <c r="I3319" s="206" t="s">
        <v>121</v>
      </c>
      <c r="J3319" s="206" t="s">
        <v>121</v>
      </c>
      <c r="K3319" s="206" t="s">
        <v>121</v>
      </c>
      <c r="L3319" s="206" t="str">
        <v/>
      </c>
      <c r="M3319" s="206" t="str">
        <v/>
      </c>
    </row>
    <row r="3320" spans="1:13" ht="14.4">
      <c r="A3320" s="201"/>
      <c r="B3320" s="209"/>
      <c r="C3320" s="201"/>
      <c r="D3320" s="201"/>
      <c r="E3320" s="202"/>
      <c r="F3320" s="210"/>
      <c r="G3320" s="210"/>
      <c r="H3320" s="206" t="s">
        <v>121</v>
      </c>
      <c r="I3320" s="206" t="s">
        <v>121</v>
      </c>
      <c r="J3320" s="206" t="s">
        <v>121</v>
      </c>
      <c r="K3320" s="206" t="s">
        <v>121</v>
      </c>
      <c r="L3320" s="206" t="str">
        <v/>
      </c>
      <c r="M3320" s="206" t="str">
        <v/>
      </c>
    </row>
    <row r="3321" spans="1:13" ht="14.4">
      <c r="A3321" s="201"/>
      <c r="B3321" s="209"/>
      <c r="C3321" s="201"/>
      <c r="D3321" s="201"/>
      <c r="E3321" s="202"/>
      <c r="F3321" s="210"/>
      <c r="G3321" s="210"/>
      <c r="H3321" s="206" t="s">
        <v>121</v>
      </c>
      <c r="I3321" s="206" t="s">
        <v>121</v>
      </c>
      <c r="J3321" s="206" t="s">
        <v>121</v>
      </c>
      <c r="K3321" s="206" t="s">
        <v>121</v>
      </c>
      <c r="L3321" s="206" t="str">
        <v/>
      </c>
      <c r="M3321" s="206" t="str">
        <v/>
      </c>
    </row>
    <row r="3322" spans="1:13" ht="14.4">
      <c r="A3322" s="201"/>
      <c r="B3322" s="209"/>
      <c r="C3322" s="201"/>
      <c r="D3322" s="201"/>
      <c r="E3322" s="202"/>
      <c r="F3322" s="210"/>
      <c r="G3322" s="210"/>
      <c r="H3322" s="206" t="s">
        <v>121</v>
      </c>
      <c r="I3322" s="206" t="s">
        <v>121</v>
      </c>
      <c r="J3322" s="206" t="s">
        <v>121</v>
      </c>
      <c r="K3322" s="206" t="s">
        <v>121</v>
      </c>
      <c r="L3322" s="206" t="str">
        <v/>
      </c>
      <c r="M3322" s="206" t="str">
        <v/>
      </c>
    </row>
    <row r="3323" spans="1:13" ht="14.4">
      <c r="A3323" s="201"/>
      <c r="B3323" s="209"/>
      <c r="C3323" s="201"/>
      <c r="D3323" s="201"/>
      <c r="E3323" s="202"/>
      <c r="F3323" s="210"/>
      <c r="G3323" s="210"/>
      <c r="H3323" s="206" t="s">
        <v>121</v>
      </c>
      <c r="I3323" s="206" t="s">
        <v>121</v>
      </c>
      <c r="J3323" s="206" t="s">
        <v>121</v>
      </c>
      <c r="K3323" s="206" t="s">
        <v>121</v>
      </c>
      <c r="L3323" s="206" t="str">
        <v/>
      </c>
      <c r="M3323" s="206" t="str">
        <v/>
      </c>
    </row>
    <row r="3324" spans="1:13" ht="14.4">
      <c r="A3324" s="201"/>
      <c r="B3324" s="209"/>
      <c r="C3324" s="201"/>
      <c r="D3324" s="201"/>
      <c r="E3324" s="202"/>
      <c r="F3324" s="210"/>
      <c r="G3324" s="210"/>
      <c r="H3324" s="206" t="s">
        <v>121</v>
      </c>
      <c r="I3324" s="206" t="s">
        <v>121</v>
      </c>
      <c r="J3324" s="206" t="s">
        <v>121</v>
      </c>
      <c r="K3324" s="206" t="s">
        <v>121</v>
      </c>
      <c r="L3324" s="206" t="str">
        <v/>
      </c>
      <c r="M3324" s="206" t="str">
        <v/>
      </c>
    </row>
    <row r="3325" spans="1:13" ht="14.4">
      <c r="A3325" s="201"/>
      <c r="B3325" s="209"/>
      <c r="C3325" s="201"/>
      <c r="D3325" s="201"/>
      <c r="E3325" s="202"/>
      <c r="F3325" s="210"/>
      <c r="G3325" s="210"/>
      <c r="H3325" s="206" t="s">
        <v>121</v>
      </c>
      <c r="I3325" s="206" t="s">
        <v>121</v>
      </c>
      <c r="J3325" s="206" t="s">
        <v>121</v>
      </c>
      <c r="K3325" s="206" t="s">
        <v>121</v>
      </c>
      <c r="L3325" s="206" t="str">
        <v/>
      </c>
      <c r="M3325" s="206" t="str">
        <v/>
      </c>
    </row>
    <row r="3326" spans="1:13" ht="14.4">
      <c r="A3326" s="201"/>
      <c r="B3326" s="209"/>
      <c r="C3326" s="201"/>
      <c r="D3326" s="201"/>
      <c r="E3326" s="202"/>
      <c r="F3326" s="210"/>
      <c r="G3326" s="210"/>
      <c r="H3326" s="206" t="s">
        <v>121</v>
      </c>
      <c r="I3326" s="206" t="s">
        <v>121</v>
      </c>
      <c r="J3326" s="206" t="s">
        <v>121</v>
      </c>
      <c r="K3326" s="206" t="s">
        <v>121</v>
      </c>
      <c r="L3326" s="206" t="str">
        <v/>
      </c>
      <c r="M3326" s="206" t="str">
        <v/>
      </c>
    </row>
    <row r="3327" spans="1:13" ht="14.4">
      <c r="A3327" s="201"/>
      <c r="B3327" s="209"/>
      <c r="C3327" s="201"/>
      <c r="D3327" s="201"/>
      <c r="E3327" s="202"/>
      <c r="F3327" s="210"/>
      <c r="G3327" s="210"/>
      <c r="H3327" s="206" t="s">
        <v>121</v>
      </c>
      <c r="I3327" s="206" t="s">
        <v>121</v>
      </c>
      <c r="J3327" s="206" t="s">
        <v>121</v>
      </c>
      <c r="K3327" s="206" t="s">
        <v>121</v>
      </c>
      <c r="L3327" s="206" t="str">
        <v/>
      </c>
      <c r="M3327" s="206" t="str">
        <v/>
      </c>
    </row>
    <row r="3328" spans="1:13" ht="14.4">
      <c r="A3328" s="201"/>
      <c r="B3328" s="209"/>
      <c r="C3328" s="201"/>
      <c r="D3328" s="201"/>
      <c r="E3328" s="202"/>
      <c r="F3328" s="210"/>
      <c r="G3328" s="210"/>
      <c r="H3328" s="206" t="s">
        <v>121</v>
      </c>
      <c r="I3328" s="206" t="s">
        <v>121</v>
      </c>
      <c r="J3328" s="206" t="s">
        <v>121</v>
      </c>
      <c r="K3328" s="206" t="s">
        <v>121</v>
      </c>
      <c r="L3328" s="206" t="str">
        <v/>
      </c>
      <c r="M3328" s="206" t="str">
        <v/>
      </c>
    </row>
    <row r="3329" spans="1:13" ht="14.4">
      <c r="A3329" s="201"/>
      <c r="B3329" s="209"/>
      <c r="C3329" s="201"/>
      <c r="D3329" s="201"/>
      <c r="E3329" s="202"/>
      <c r="F3329" s="210"/>
      <c r="G3329" s="210"/>
      <c r="H3329" s="206" t="s">
        <v>121</v>
      </c>
      <c r="I3329" s="206" t="s">
        <v>121</v>
      </c>
      <c r="J3329" s="206" t="s">
        <v>121</v>
      </c>
      <c r="K3329" s="206" t="s">
        <v>121</v>
      </c>
      <c r="L3329" s="206" t="str">
        <v/>
      </c>
      <c r="M3329" s="206" t="str">
        <v/>
      </c>
    </row>
    <row r="3330" spans="1:13" ht="14.4">
      <c r="A3330" s="201"/>
      <c r="B3330" s="209"/>
      <c r="C3330" s="201"/>
      <c r="D3330" s="201"/>
      <c r="E3330" s="202"/>
      <c r="F3330" s="210"/>
      <c r="G3330" s="210"/>
      <c r="H3330" s="206" t="s">
        <v>121</v>
      </c>
      <c r="I3330" s="206" t="s">
        <v>121</v>
      </c>
      <c r="J3330" s="206" t="s">
        <v>121</v>
      </c>
      <c r="K3330" s="206" t="s">
        <v>121</v>
      </c>
      <c r="L3330" s="206" t="str">
        <v/>
      </c>
      <c r="M3330" s="206" t="str">
        <v/>
      </c>
    </row>
    <row r="3331" spans="1:13" ht="14.4">
      <c r="A3331" s="201"/>
      <c r="B3331" s="209"/>
      <c r="C3331" s="201"/>
      <c r="D3331" s="201"/>
      <c r="E3331" s="202"/>
      <c r="F3331" s="210"/>
      <c r="G3331" s="210"/>
      <c r="H3331" s="206" t="s">
        <v>121</v>
      </c>
      <c r="I3331" s="206" t="s">
        <v>121</v>
      </c>
      <c r="J3331" s="206" t="s">
        <v>121</v>
      </c>
      <c r="K3331" s="206" t="s">
        <v>121</v>
      </c>
      <c r="L3331" s="206" t="str">
        <v/>
      </c>
      <c r="M3331" s="206" t="str">
        <v/>
      </c>
    </row>
    <row r="3332" spans="1:13" ht="14.4">
      <c r="A3332" s="201"/>
      <c r="B3332" s="209"/>
      <c r="C3332" s="201"/>
      <c r="D3332" s="201"/>
      <c r="E3332" s="202"/>
      <c r="F3332" s="210"/>
      <c r="G3332" s="210"/>
      <c r="H3332" s="206" t="s">
        <v>121</v>
      </c>
      <c r="I3332" s="206" t="s">
        <v>121</v>
      </c>
      <c r="J3332" s="206" t="s">
        <v>121</v>
      </c>
      <c r="K3332" s="206" t="s">
        <v>121</v>
      </c>
      <c r="L3332" s="206" t="str">
        <v/>
      </c>
      <c r="M3332" s="206" t="str">
        <v/>
      </c>
    </row>
    <row r="3333" spans="1:13" ht="14.4">
      <c r="A3333" s="201"/>
      <c r="B3333" s="209"/>
      <c r="C3333" s="201"/>
      <c r="D3333" s="201"/>
      <c r="E3333" s="202"/>
      <c r="F3333" s="210"/>
      <c r="G3333" s="210"/>
      <c r="H3333" s="206" t="s">
        <v>121</v>
      </c>
      <c r="I3333" s="206" t="s">
        <v>121</v>
      </c>
      <c r="J3333" s="206" t="s">
        <v>121</v>
      </c>
      <c r="K3333" s="206" t="s">
        <v>121</v>
      </c>
      <c r="L3333" s="206" t="str">
        <v/>
      </c>
      <c r="M3333" s="206" t="str">
        <v/>
      </c>
    </row>
    <row r="3334" spans="1:13" ht="14.4">
      <c r="A3334" s="201"/>
      <c r="B3334" s="209"/>
      <c r="C3334" s="201"/>
      <c r="D3334" s="201"/>
      <c r="E3334" s="202"/>
      <c r="F3334" s="210"/>
      <c r="G3334" s="210"/>
      <c r="H3334" s="206" t="s">
        <v>121</v>
      </c>
      <c r="I3334" s="206" t="s">
        <v>121</v>
      </c>
      <c r="J3334" s="206" t="s">
        <v>121</v>
      </c>
      <c r="K3334" s="206" t="s">
        <v>121</v>
      </c>
      <c r="L3334" s="206" t="str">
        <v/>
      </c>
      <c r="M3334" s="206" t="str">
        <v/>
      </c>
    </row>
    <row r="3335" spans="1:13" ht="14.4">
      <c r="A3335" s="201"/>
      <c r="B3335" s="209"/>
      <c r="C3335" s="201"/>
      <c r="D3335" s="201"/>
      <c r="E3335" s="202"/>
      <c r="F3335" s="210"/>
      <c r="G3335" s="210"/>
      <c r="H3335" s="206" t="s">
        <v>121</v>
      </c>
      <c r="I3335" s="206" t="s">
        <v>121</v>
      </c>
      <c r="J3335" s="206" t="s">
        <v>121</v>
      </c>
      <c r="K3335" s="206" t="s">
        <v>121</v>
      </c>
      <c r="L3335" s="206" t="str">
        <v/>
      </c>
      <c r="M3335" s="206" t="str">
        <v/>
      </c>
    </row>
    <row r="3336" spans="1:13" ht="14.4">
      <c r="A3336" s="201"/>
      <c r="B3336" s="209"/>
      <c r="C3336" s="201"/>
      <c r="D3336" s="201"/>
      <c r="E3336" s="202"/>
      <c r="F3336" s="210"/>
      <c r="G3336" s="210"/>
      <c r="H3336" s="206" t="s">
        <v>121</v>
      </c>
      <c r="I3336" s="206" t="s">
        <v>121</v>
      </c>
      <c r="J3336" s="206" t="s">
        <v>121</v>
      </c>
      <c r="K3336" s="206" t="s">
        <v>121</v>
      </c>
      <c r="L3336" s="206" t="str">
        <v/>
      </c>
      <c r="M3336" s="206" t="str">
        <v/>
      </c>
    </row>
    <row r="3337" spans="1:13" ht="14.4">
      <c r="A3337" s="201"/>
      <c r="B3337" s="209"/>
      <c r="C3337" s="201"/>
      <c r="D3337" s="201"/>
      <c r="E3337" s="202"/>
      <c r="F3337" s="210"/>
      <c r="G3337" s="210"/>
      <c r="H3337" s="206" t="s">
        <v>121</v>
      </c>
      <c r="I3337" s="206" t="s">
        <v>121</v>
      </c>
      <c r="J3337" s="206" t="s">
        <v>121</v>
      </c>
      <c r="K3337" s="206" t="s">
        <v>121</v>
      </c>
      <c r="L3337" s="206" t="str">
        <v/>
      </c>
      <c r="M3337" s="206" t="str">
        <v/>
      </c>
    </row>
    <row r="3338" spans="1:13" ht="14.4">
      <c r="A3338" s="201"/>
      <c r="B3338" s="209"/>
      <c r="C3338" s="201"/>
      <c r="D3338" s="201"/>
      <c r="E3338" s="202"/>
      <c r="F3338" s="210"/>
      <c r="G3338" s="210"/>
      <c r="H3338" s="206" t="s">
        <v>121</v>
      </c>
      <c r="I3338" s="206" t="s">
        <v>121</v>
      </c>
      <c r="J3338" s="206" t="s">
        <v>121</v>
      </c>
      <c r="K3338" s="206" t="s">
        <v>121</v>
      </c>
      <c r="L3338" s="206" t="str">
        <v/>
      </c>
      <c r="M3338" s="206" t="str">
        <v/>
      </c>
    </row>
    <row r="3339" spans="1:13" ht="14.4">
      <c r="A3339" s="201"/>
      <c r="B3339" s="209"/>
      <c r="C3339" s="201"/>
      <c r="D3339" s="201"/>
      <c r="E3339" s="202"/>
      <c r="F3339" s="210"/>
      <c r="G3339" s="210"/>
      <c r="H3339" s="206" t="s">
        <v>121</v>
      </c>
      <c r="I3339" s="206" t="s">
        <v>121</v>
      </c>
      <c r="J3339" s="206" t="s">
        <v>121</v>
      </c>
      <c r="K3339" s="206" t="s">
        <v>121</v>
      </c>
      <c r="L3339" s="206" t="str">
        <v/>
      </c>
      <c r="M3339" s="206" t="str">
        <v/>
      </c>
    </row>
    <row r="3340" spans="1:13" ht="14.4">
      <c r="A3340" s="201"/>
      <c r="B3340" s="209"/>
      <c r="C3340" s="201"/>
      <c r="D3340" s="201"/>
      <c r="E3340" s="202"/>
      <c r="F3340" s="210"/>
      <c r="G3340" s="210"/>
      <c r="H3340" s="206" t="s">
        <v>121</v>
      </c>
      <c r="I3340" s="206" t="s">
        <v>121</v>
      </c>
      <c r="J3340" s="206" t="s">
        <v>121</v>
      </c>
      <c r="K3340" s="206" t="s">
        <v>121</v>
      </c>
      <c r="L3340" s="206" t="str">
        <v/>
      </c>
      <c r="M3340" s="206" t="str">
        <v/>
      </c>
    </row>
    <row r="3341" spans="1:13" ht="14.4">
      <c r="A3341" s="201"/>
      <c r="B3341" s="209"/>
      <c r="C3341" s="201"/>
      <c r="D3341" s="201"/>
      <c r="E3341" s="202"/>
      <c r="F3341" s="210"/>
      <c r="G3341" s="210"/>
      <c r="H3341" s="206" t="s">
        <v>121</v>
      </c>
      <c r="I3341" s="206" t="s">
        <v>121</v>
      </c>
      <c r="J3341" s="206" t="s">
        <v>121</v>
      </c>
      <c r="K3341" s="206" t="s">
        <v>121</v>
      </c>
      <c r="L3341" s="206" t="str">
        <v/>
      </c>
      <c r="M3341" s="206" t="str">
        <v/>
      </c>
    </row>
    <row r="3342" spans="1:13" ht="14.4">
      <c r="A3342" s="201"/>
      <c r="B3342" s="209"/>
      <c r="C3342" s="201"/>
      <c r="D3342" s="201"/>
      <c r="E3342" s="202"/>
      <c r="F3342" s="210"/>
      <c r="G3342" s="210"/>
      <c r="H3342" s="206" t="s">
        <v>121</v>
      </c>
      <c r="I3342" s="206" t="s">
        <v>121</v>
      </c>
      <c r="J3342" s="206" t="s">
        <v>121</v>
      </c>
      <c r="K3342" s="206" t="s">
        <v>121</v>
      </c>
      <c r="L3342" s="206" t="str">
        <v/>
      </c>
      <c r="M3342" s="206" t="str">
        <v/>
      </c>
    </row>
    <row r="3343" spans="1:13" ht="14.4">
      <c r="A3343" s="201"/>
      <c r="B3343" s="209"/>
      <c r="C3343" s="201"/>
      <c r="D3343" s="201"/>
      <c r="E3343" s="202"/>
      <c r="F3343" s="210"/>
      <c r="G3343" s="210"/>
      <c r="H3343" s="206" t="s">
        <v>121</v>
      </c>
      <c r="I3343" s="206" t="s">
        <v>121</v>
      </c>
      <c r="J3343" s="206" t="s">
        <v>121</v>
      </c>
      <c r="K3343" s="206" t="s">
        <v>121</v>
      </c>
      <c r="L3343" s="206" t="str">
        <v/>
      </c>
      <c r="M3343" s="206" t="str">
        <v/>
      </c>
    </row>
    <row r="3344" spans="1:13" ht="14.4">
      <c r="A3344" s="201"/>
      <c r="B3344" s="209"/>
      <c r="C3344" s="201"/>
      <c r="D3344" s="201"/>
      <c r="E3344" s="202"/>
      <c r="F3344" s="210"/>
      <c r="G3344" s="210"/>
      <c r="H3344" s="206" t="s">
        <v>121</v>
      </c>
      <c r="I3344" s="206" t="s">
        <v>121</v>
      </c>
      <c r="J3344" s="206" t="s">
        <v>121</v>
      </c>
      <c r="K3344" s="206" t="s">
        <v>121</v>
      </c>
      <c r="L3344" s="206" t="str">
        <v/>
      </c>
      <c r="M3344" s="206" t="str">
        <v/>
      </c>
    </row>
    <row r="3345" spans="1:13" ht="14.4">
      <c r="A3345" s="201"/>
      <c r="B3345" s="209"/>
      <c r="C3345" s="201"/>
      <c r="D3345" s="201"/>
      <c r="E3345" s="202"/>
      <c r="F3345" s="210"/>
      <c r="G3345" s="210"/>
      <c r="H3345" s="206" t="s">
        <v>121</v>
      </c>
      <c r="I3345" s="206" t="s">
        <v>121</v>
      </c>
      <c r="J3345" s="206" t="s">
        <v>121</v>
      </c>
      <c r="K3345" s="206" t="s">
        <v>121</v>
      </c>
      <c r="L3345" s="206" t="str">
        <v/>
      </c>
      <c r="M3345" s="206" t="str">
        <v/>
      </c>
    </row>
    <row r="3346" spans="1:13" ht="14.4">
      <c r="A3346" s="201"/>
      <c r="B3346" s="209"/>
      <c r="C3346" s="201"/>
      <c r="D3346" s="201"/>
      <c r="E3346" s="202"/>
      <c r="F3346" s="210"/>
      <c r="G3346" s="210"/>
      <c r="H3346" s="206" t="s">
        <v>121</v>
      </c>
      <c r="I3346" s="206" t="s">
        <v>121</v>
      </c>
      <c r="J3346" s="206" t="s">
        <v>121</v>
      </c>
      <c r="K3346" s="206" t="s">
        <v>121</v>
      </c>
      <c r="L3346" s="206" t="str">
        <v/>
      </c>
      <c r="M3346" s="206" t="str">
        <v/>
      </c>
    </row>
    <row r="3347" spans="1:13" ht="14.4">
      <c r="A3347" s="201"/>
      <c r="B3347" s="209"/>
      <c r="C3347" s="201"/>
      <c r="D3347" s="201"/>
      <c r="E3347" s="202"/>
      <c r="F3347" s="210"/>
      <c r="G3347" s="210"/>
      <c r="H3347" s="206" t="s">
        <v>121</v>
      </c>
      <c r="I3347" s="206" t="s">
        <v>121</v>
      </c>
      <c r="J3347" s="206" t="s">
        <v>121</v>
      </c>
      <c r="K3347" s="206" t="s">
        <v>121</v>
      </c>
      <c r="L3347" s="206" t="str">
        <v/>
      </c>
      <c r="M3347" s="206" t="str">
        <v/>
      </c>
    </row>
    <row r="3348" spans="1:13" ht="14.4">
      <c r="A3348" s="201"/>
      <c r="B3348" s="209"/>
      <c r="C3348" s="201"/>
      <c r="D3348" s="201"/>
      <c r="E3348" s="202"/>
      <c r="F3348" s="210"/>
      <c r="G3348" s="210"/>
      <c r="H3348" s="206" t="s">
        <v>121</v>
      </c>
      <c r="I3348" s="206" t="s">
        <v>121</v>
      </c>
      <c r="J3348" s="206" t="s">
        <v>121</v>
      </c>
      <c r="K3348" s="206" t="s">
        <v>121</v>
      </c>
      <c r="L3348" s="206" t="str">
        <v/>
      </c>
      <c r="M3348" s="206" t="str">
        <v/>
      </c>
    </row>
    <row r="3349" spans="1:13" ht="14.4">
      <c r="A3349" s="201"/>
      <c r="B3349" s="209"/>
      <c r="C3349" s="201"/>
      <c r="D3349" s="201"/>
      <c r="E3349" s="202"/>
      <c r="F3349" s="210"/>
      <c r="G3349" s="210"/>
      <c r="H3349" s="206" t="s">
        <v>121</v>
      </c>
      <c r="I3349" s="206" t="s">
        <v>121</v>
      </c>
      <c r="J3349" s="206" t="s">
        <v>121</v>
      </c>
      <c r="K3349" s="206" t="s">
        <v>121</v>
      </c>
      <c r="L3349" s="206" t="str">
        <v/>
      </c>
      <c r="M3349" s="206" t="str">
        <v/>
      </c>
    </row>
    <row r="3350" spans="1:13" ht="14.4">
      <c r="A3350" s="201"/>
      <c r="B3350" s="209"/>
      <c r="C3350" s="201"/>
      <c r="D3350" s="201"/>
      <c r="E3350" s="202"/>
      <c r="F3350" s="210"/>
      <c r="G3350" s="210"/>
      <c r="H3350" s="206" t="s">
        <v>121</v>
      </c>
      <c r="I3350" s="206" t="s">
        <v>121</v>
      </c>
      <c r="J3350" s="206" t="s">
        <v>121</v>
      </c>
      <c r="K3350" s="206" t="s">
        <v>121</v>
      </c>
      <c r="L3350" s="206" t="str">
        <v/>
      </c>
      <c r="M3350" s="206" t="str">
        <v/>
      </c>
    </row>
    <row r="3351" spans="1:13" ht="14.4">
      <c r="A3351" s="201"/>
      <c r="B3351" s="209"/>
      <c r="C3351" s="201"/>
      <c r="D3351" s="201"/>
      <c r="E3351" s="202"/>
      <c r="F3351" s="210"/>
      <c r="G3351" s="210"/>
      <c r="H3351" s="206" t="s">
        <v>121</v>
      </c>
      <c r="I3351" s="206" t="s">
        <v>121</v>
      </c>
      <c r="J3351" s="206" t="s">
        <v>121</v>
      </c>
      <c r="K3351" s="206" t="s">
        <v>121</v>
      </c>
      <c r="L3351" s="206" t="str">
        <v/>
      </c>
      <c r="M3351" s="206" t="str">
        <v/>
      </c>
    </row>
    <row r="3352" spans="1:13" ht="14.4">
      <c r="A3352" s="201"/>
      <c r="B3352" s="209"/>
      <c r="C3352" s="201"/>
      <c r="D3352" s="201"/>
      <c r="E3352" s="202"/>
      <c r="F3352" s="210"/>
      <c r="G3352" s="210"/>
      <c r="H3352" s="206" t="s">
        <v>121</v>
      </c>
      <c r="I3352" s="206" t="s">
        <v>121</v>
      </c>
      <c r="J3352" s="206" t="s">
        <v>121</v>
      </c>
      <c r="K3352" s="206" t="s">
        <v>121</v>
      </c>
      <c r="L3352" s="206" t="str">
        <v/>
      </c>
      <c r="M3352" s="206" t="str">
        <v/>
      </c>
    </row>
    <row r="3353" spans="1:13" ht="14.4">
      <c r="A3353" s="201"/>
      <c r="B3353" s="209"/>
      <c r="C3353" s="201"/>
      <c r="D3353" s="201"/>
      <c r="E3353" s="202"/>
      <c r="F3353" s="210"/>
      <c r="G3353" s="210"/>
      <c r="H3353" s="206" t="s">
        <v>121</v>
      </c>
      <c r="I3353" s="206" t="s">
        <v>121</v>
      </c>
      <c r="J3353" s="206" t="s">
        <v>121</v>
      </c>
      <c r="K3353" s="206" t="s">
        <v>121</v>
      </c>
      <c r="L3353" s="206" t="str">
        <v/>
      </c>
      <c r="M3353" s="206" t="str">
        <v/>
      </c>
    </row>
    <row r="3354" spans="1:13" ht="14.4">
      <c r="A3354" s="201"/>
      <c r="B3354" s="209"/>
      <c r="C3354" s="201"/>
      <c r="D3354" s="201"/>
      <c r="E3354" s="202"/>
      <c r="F3354" s="210"/>
      <c r="G3354" s="210"/>
      <c r="H3354" s="206" t="s">
        <v>121</v>
      </c>
      <c r="I3354" s="206" t="s">
        <v>121</v>
      </c>
      <c r="J3354" s="206" t="s">
        <v>121</v>
      </c>
      <c r="K3354" s="206" t="s">
        <v>121</v>
      </c>
      <c r="L3354" s="206" t="str">
        <v/>
      </c>
      <c r="M3354" s="206" t="str">
        <v/>
      </c>
    </row>
    <row r="3355" spans="1:13" ht="14.4">
      <c r="A3355" s="201"/>
      <c r="B3355" s="209"/>
      <c r="C3355" s="201"/>
      <c r="D3355" s="201"/>
      <c r="E3355" s="202"/>
      <c r="F3355" s="210"/>
      <c r="G3355" s="210"/>
      <c r="H3355" s="206" t="s">
        <v>121</v>
      </c>
      <c r="I3355" s="206" t="s">
        <v>121</v>
      </c>
      <c r="J3355" s="206" t="s">
        <v>121</v>
      </c>
      <c r="K3355" s="206" t="s">
        <v>121</v>
      </c>
      <c r="L3355" s="206" t="str">
        <v/>
      </c>
      <c r="M3355" s="206" t="str">
        <v/>
      </c>
    </row>
    <row r="3356" spans="1:13" ht="14.4">
      <c r="A3356" s="201"/>
      <c r="B3356" s="209"/>
      <c r="C3356" s="201"/>
      <c r="D3356" s="201"/>
      <c r="E3356" s="202"/>
      <c r="F3356" s="210"/>
      <c r="G3356" s="210"/>
      <c r="H3356" s="206" t="s">
        <v>121</v>
      </c>
      <c r="I3356" s="206" t="s">
        <v>121</v>
      </c>
      <c r="J3356" s="206" t="s">
        <v>121</v>
      </c>
      <c r="K3356" s="206" t="s">
        <v>121</v>
      </c>
      <c r="L3356" s="206" t="str">
        <v/>
      </c>
      <c r="M3356" s="206" t="str">
        <v/>
      </c>
    </row>
    <row r="3357" spans="1:13" ht="14.4">
      <c r="A3357" s="201"/>
      <c r="B3357" s="209"/>
      <c r="C3357" s="201"/>
      <c r="D3357" s="201"/>
      <c r="E3357" s="202"/>
      <c r="F3357" s="210"/>
      <c r="G3357" s="210"/>
      <c r="H3357" s="206" t="s">
        <v>121</v>
      </c>
      <c r="I3357" s="206" t="s">
        <v>121</v>
      </c>
      <c r="J3357" s="206" t="s">
        <v>121</v>
      </c>
      <c r="K3357" s="206" t="s">
        <v>121</v>
      </c>
      <c r="L3357" s="206" t="str">
        <v/>
      </c>
      <c r="M3357" s="206" t="str">
        <v/>
      </c>
    </row>
    <row r="3358" spans="1:13" ht="14.4">
      <c r="A3358" s="201"/>
      <c r="B3358" s="209"/>
      <c r="C3358" s="201"/>
      <c r="D3358" s="201"/>
      <c r="E3358" s="202"/>
      <c r="F3358" s="210"/>
      <c r="G3358" s="210"/>
      <c r="H3358" s="206" t="s">
        <v>121</v>
      </c>
      <c r="I3358" s="206" t="s">
        <v>121</v>
      </c>
      <c r="J3358" s="206" t="s">
        <v>121</v>
      </c>
      <c r="K3358" s="206" t="s">
        <v>121</v>
      </c>
      <c r="L3358" s="206" t="str">
        <v/>
      </c>
      <c r="M3358" s="206" t="str">
        <v/>
      </c>
    </row>
    <row r="3359" spans="1:13" ht="14.4">
      <c r="A3359" s="201"/>
      <c r="B3359" s="209"/>
      <c r="C3359" s="201"/>
      <c r="D3359" s="201"/>
      <c r="E3359" s="202"/>
      <c r="F3359" s="210"/>
      <c r="G3359" s="210"/>
      <c r="H3359" s="206" t="s">
        <v>121</v>
      </c>
      <c r="I3359" s="206" t="s">
        <v>121</v>
      </c>
      <c r="J3359" s="206" t="s">
        <v>121</v>
      </c>
      <c r="K3359" s="206" t="s">
        <v>121</v>
      </c>
      <c r="L3359" s="206" t="str">
        <v/>
      </c>
      <c r="M3359" s="206" t="str">
        <v/>
      </c>
    </row>
    <row r="3360" spans="1:13" ht="14.4">
      <c r="A3360" s="201"/>
      <c r="B3360" s="209"/>
      <c r="C3360" s="201"/>
      <c r="D3360" s="201"/>
      <c r="E3360" s="202"/>
      <c r="F3360" s="210"/>
      <c r="G3360" s="210"/>
      <c r="H3360" s="206" t="s">
        <v>121</v>
      </c>
      <c r="I3360" s="206" t="s">
        <v>121</v>
      </c>
      <c r="J3360" s="206" t="s">
        <v>121</v>
      </c>
      <c r="K3360" s="206" t="s">
        <v>121</v>
      </c>
      <c r="L3360" s="206" t="str">
        <v/>
      </c>
      <c r="M3360" s="206" t="str">
        <v/>
      </c>
    </row>
    <row r="3361" spans="1:13" ht="14.4">
      <c r="A3361" s="201"/>
      <c r="B3361" s="209"/>
      <c r="C3361" s="201"/>
      <c r="D3361" s="201"/>
      <c r="E3361" s="202"/>
      <c r="F3361" s="210"/>
      <c r="G3361" s="210"/>
      <c r="H3361" s="206" t="s">
        <v>121</v>
      </c>
      <c r="I3361" s="206" t="s">
        <v>121</v>
      </c>
      <c r="J3361" s="206" t="s">
        <v>121</v>
      </c>
      <c r="K3361" s="206" t="s">
        <v>121</v>
      </c>
      <c r="L3361" s="206" t="str">
        <v/>
      </c>
      <c r="M3361" s="206" t="str">
        <v/>
      </c>
    </row>
    <row r="3362" spans="1:13" ht="14.4">
      <c r="A3362" s="201"/>
      <c r="B3362" s="209"/>
      <c r="C3362" s="201"/>
      <c r="D3362" s="201"/>
      <c r="E3362" s="202"/>
      <c r="F3362" s="210"/>
      <c r="G3362" s="210"/>
      <c r="H3362" s="206" t="s">
        <v>121</v>
      </c>
      <c r="I3362" s="206" t="s">
        <v>121</v>
      </c>
      <c r="J3362" s="206" t="s">
        <v>121</v>
      </c>
      <c r="K3362" s="206" t="s">
        <v>121</v>
      </c>
      <c r="L3362" s="206" t="str">
        <v/>
      </c>
      <c r="M3362" s="206" t="str">
        <v/>
      </c>
    </row>
    <row r="3363" spans="1:13" ht="14.4">
      <c r="A3363" s="201"/>
      <c r="B3363" s="209"/>
      <c r="C3363" s="201"/>
      <c r="D3363" s="201"/>
      <c r="E3363" s="202"/>
      <c r="F3363" s="210"/>
      <c r="G3363" s="210"/>
      <c r="H3363" s="206" t="s">
        <v>121</v>
      </c>
      <c r="I3363" s="206" t="s">
        <v>121</v>
      </c>
      <c r="J3363" s="206" t="s">
        <v>121</v>
      </c>
      <c r="K3363" s="206" t="s">
        <v>121</v>
      </c>
      <c r="L3363" s="206" t="str">
        <v/>
      </c>
      <c r="M3363" s="206" t="str">
        <v/>
      </c>
    </row>
    <row r="3364" spans="1:13" ht="14.4">
      <c r="A3364" s="201"/>
      <c r="B3364" s="209"/>
      <c r="C3364" s="201"/>
      <c r="D3364" s="201"/>
      <c r="E3364" s="202"/>
      <c r="F3364" s="210"/>
      <c r="G3364" s="210"/>
      <c r="H3364" s="206" t="s">
        <v>121</v>
      </c>
      <c r="I3364" s="206" t="s">
        <v>121</v>
      </c>
      <c r="J3364" s="206" t="s">
        <v>121</v>
      </c>
      <c r="K3364" s="206" t="s">
        <v>121</v>
      </c>
      <c r="L3364" s="206" t="str">
        <v/>
      </c>
      <c r="M3364" s="206" t="str">
        <v/>
      </c>
    </row>
    <row r="3365" spans="1:13" ht="14.4">
      <c r="A3365" s="201"/>
      <c r="B3365" s="209"/>
      <c r="C3365" s="201"/>
      <c r="D3365" s="201"/>
      <c r="E3365" s="202"/>
      <c r="F3365" s="210"/>
      <c r="G3365" s="210"/>
      <c r="H3365" s="206" t="s">
        <v>121</v>
      </c>
      <c r="I3365" s="206" t="s">
        <v>121</v>
      </c>
      <c r="J3365" s="206" t="s">
        <v>121</v>
      </c>
      <c r="K3365" s="206" t="s">
        <v>121</v>
      </c>
      <c r="L3365" s="206" t="str">
        <v/>
      </c>
      <c r="M3365" s="206" t="str">
        <v/>
      </c>
    </row>
    <row r="3366" spans="1:13" ht="14.4">
      <c r="A3366" s="201"/>
      <c r="B3366" s="209"/>
      <c r="C3366" s="201"/>
      <c r="D3366" s="201"/>
      <c r="E3366" s="202"/>
      <c r="F3366" s="210"/>
      <c r="G3366" s="210"/>
      <c r="H3366" s="206" t="s">
        <v>121</v>
      </c>
      <c r="I3366" s="206" t="s">
        <v>121</v>
      </c>
      <c r="J3366" s="206" t="s">
        <v>121</v>
      </c>
      <c r="K3366" s="206" t="s">
        <v>121</v>
      </c>
      <c r="L3366" s="206" t="str">
        <v/>
      </c>
      <c r="M3366" s="206" t="str">
        <v/>
      </c>
    </row>
    <row r="3367" spans="1:13" ht="14.4">
      <c r="A3367" s="201"/>
      <c r="B3367" s="209"/>
      <c r="C3367" s="201"/>
      <c r="D3367" s="201"/>
      <c r="E3367" s="202"/>
      <c r="F3367" s="210"/>
      <c r="G3367" s="210"/>
      <c r="H3367" s="206" t="s">
        <v>121</v>
      </c>
      <c r="I3367" s="206" t="s">
        <v>121</v>
      </c>
      <c r="J3367" s="206" t="s">
        <v>121</v>
      </c>
      <c r="K3367" s="206" t="s">
        <v>121</v>
      </c>
      <c r="L3367" s="206" t="str">
        <v/>
      </c>
      <c r="M3367" s="206" t="str">
        <v/>
      </c>
    </row>
    <row r="3368" spans="1:13" ht="14.4">
      <c r="A3368" s="201"/>
      <c r="B3368" s="209"/>
      <c r="C3368" s="201"/>
      <c r="D3368" s="201"/>
      <c r="E3368" s="202"/>
      <c r="F3368" s="210"/>
      <c r="G3368" s="210"/>
      <c r="H3368" s="206" t="s">
        <v>121</v>
      </c>
      <c r="I3368" s="206" t="s">
        <v>121</v>
      </c>
      <c r="J3368" s="206" t="s">
        <v>121</v>
      </c>
      <c r="K3368" s="206" t="s">
        <v>121</v>
      </c>
      <c r="L3368" s="206" t="str">
        <v/>
      </c>
      <c r="M3368" s="206" t="str">
        <v/>
      </c>
    </row>
    <row r="3369" spans="1:13" ht="14.4">
      <c r="A3369" s="201"/>
      <c r="B3369" s="209"/>
      <c r="C3369" s="201"/>
      <c r="D3369" s="201"/>
      <c r="E3369" s="202"/>
      <c r="F3369" s="210"/>
      <c r="G3369" s="210"/>
      <c r="H3369" s="206" t="s">
        <v>121</v>
      </c>
      <c r="I3369" s="206" t="s">
        <v>121</v>
      </c>
      <c r="J3369" s="206" t="s">
        <v>121</v>
      </c>
      <c r="K3369" s="206" t="s">
        <v>121</v>
      </c>
      <c r="L3369" s="206" t="str">
        <v/>
      </c>
      <c r="M3369" s="206" t="str">
        <v/>
      </c>
    </row>
    <row r="3370" spans="1:13" ht="14.4">
      <c r="A3370" s="201"/>
      <c r="B3370" s="209"/>
      <c r="C3370" s="201"/>
      <c r="D3370" s="201"/>
      <c r="E3370" s="202"/>
      <c r="F3370" s="210"/>
      <c r="G3370" s="210"/>
      <c r="H3370" s="206" t="s">
        <v>121</v>
      </c>
      <c r="I3370" s="206" t="s">
        <v>121</v>
      </c>
      <c r="J3370" s="206" t="s">
        <v>121</v>
      </c>
      <c r="K3370" s="206" t="s">
        <v>121</v>
      </c>
      <c r="L3370" s="206" t="str">
        <v/>
      </c>
      <c r="M3370" s="206" t="str">
        <v/>
      </c>
    </row>
    <row r="3371" spans="1:13" ht="14.4">
      <c r="A3371" s="201"/>
      <c r="B3371" s="209"/>
      <c r="C3371" s="201"/>
      <c r="D3371" s="201"/>
      <c r="E3371" s="202"/>
      <c r="F3371" s="210"/>
      <c r="G3371" s="210"/>
      <c r="H3371" s="206" t="s">
        <v>121</v>
      </c>
      <c r="I3371" s="206" t="s">
        <v>121</v>
      </c>
      <c r="J3371" s="206" t="s">
        <v>121</v>
      </c>
      <c r="K3371" s="206" t="s">
        <v>121</v>
      </c>
      <c r="L3371" s="206" t="str">
        <v/>
      </c>
      <c r="M3371" s="206" t="str">
        <v/>
      </c>
    </row>
    <row r="3372" spans="1:13" ht="14.4">
      <c r="A3372" s="201"/>
      <c r="B3372" s="209"/>
      <c r="C3372" s="201"/>
      <c r="D3372" s="201"/>
      <c r="E3372" s="202"/>
      <c r="F3372" s="210"/>
      <c r="G3372" s="210"/>
      <c r="H3372" s="206" t="s">
        <v>121</v>
      </c>
      <c r="I3372" s="206" t="s">
        <v>121</v>
      </c>
      <c r="J3372" s="206" t="s">
        <v>121</v>
      </c>
      <c r="K3372" s="206" t="s">
        <v>121</v>
      </c>
      <c r="L3372" s="206" t="str">
        <v/>
      </c>
      <c r="M3372" s="206" t="str">
        <v/>
      </c>
    </row>
    <row r="3373" spans="1:13" ht="14.4">
      <c r="A3373" s="201"/>
      <c r="B3373" s="209"/>
      <c r="C3373" s="201"/>
      <c r="D3373" s="201"/>
      <c r="E3373" s="202"/>
      <c r="F3373" s="210"/>
      <c r="G3373" s="210"/>
      <c r="H3373" s="206" t="s">
        <v>121</v>
      </c>
      <c r="I3373" s="206" t="s">
        <v>121</v>
      </c>
      <c r="J3373" s="206" t="s">
        <v>121</v>
      </c>
      <c r="K3373" s="206" t="s">
        <v>121</v>
      </c>
      <c r="L3373" s="206" t="str">
        <v/>
      </c>
      <c r="M3373" s="206" t="str">
        <v/>
      </c>
    </row>
    <row r="3374" spans="1:13" ht="14.4">
      <c r="A3374" s="201"/>
      <c r="B3374" s="209"/>
      <c r="C3374" s="201"/>
      <c r="D3374" s="201"/>
      <c r="E3374" s="202"/>
      <c r="F3374" s="210"/>
      <c r="G3374" s="210"/>
      <c r="H3374" s="206" t="s">
        <v>121</v>
      </c>
      <c r="I3374" s="206" t="s">
        <v>121</v>
      </c>
      <c r="J3374" s="206" t="s">
        <v>121</v>
      </c>
      <c r="K3374" s="206" t="s">
        <v>121</v>
      </c>
      <c r="L3374" s="206" t="str">
        <v/>
      </c>
      <c r="M3374" s="206" t="str">
        <v/>
      </c>
    </row>
    <row r="3375" spans="1:13" ht="14.4">
      <c r="A3375" s="201"/>
      <c r="B3375" s="209"/>
      <c r="C3375" s="201"/>
      <c r="D3375" s="201"/>
      <c r="E3375" s="202"/>
      <c r="F3375" s="210"/>
      <c r="G3375" s="210"/>
      <c r="H3375" s="206" t="s">
        <v>121</v>
      </c>
      <c r="I3375" s="206" t="s">
        <v>121</v>
      </c>
      <c r="J3375" s="206" t="s">
        <v>121</v>
      </c>
      <c r="K3375" s="206" t="s">
        <v>121</v>
      </c>
      <c r="L3375" s="206" t="str">
        <v/>
      </c>
      <c r="M3375" s="206" t="str">
        <v/>
      </c>
    </row>
    <row r="3376" spans="1:13" ht="14.4">
      <c r="A3376" s="201"/>
      <c r="B3376" s="209"/>
      <c r="C3376" s="201"/>
      <c r="D3376" s="201"/>
      <c r="E3376" s="202"/>
      <c r="F3376" s="210"/>
      <c r="G3376" s="210"/>
      <c r="H3376" s="206" t="s">
        <v>121</v>
      </c>
      <c r="I3376" s="206" t="s">
        <v>121</v>
      </c>
      <c r="J3376" s="206" t="s">
        <v>121</v>
      </c>
      <c r="K3376" s="206" t="s">
        <v>121</v>
      </c>
      <c r="L3376" s="206" t="str">
        <v/>
      </c>
      <c r="M3376" s="206" t="str">
        <v/>
      </c>
    </row>
    <row r="3377" spans="1:13" ht="14.4">
      <c r="A3377" s="201"/>
      <c r="B3377" s="209"/>
      <c r="C3377" s="201"/>
      <c r="D3377" s="201"/>
      <c r="E3377" s="202"/>
      <c r="F3377" s="210"/>
      <c r="G3377" s="210"/>
      <c r="H3377" s="206" t="s">
        <v>121</v>
      </c>
      <c r="I3377" s="206" t="s">
        <v>121</v>
      </c>
      <c r="J3377" s="206" t="s">
        <v>121</v>
      </c>
      <c r="K3377" s="206" t="s">
        <v>121</v>
      </c>
      <c r="L3377" s="206" t="str">
        <v/>
      </c>
      <c r="M3377" s="206" t="str">
        <v/>
      </c>
    </row>
    <row r="3378" spans="1:13" ht="14.4">
      <c r="A3378" s="201"/>
      <c r="B3378" s="209"/>
      <c r="C3378" s="201"/>
      <c r="D3378" s="201"/>
      <c r="E3378" s="202"/>
      <c r="F3378" s="210"/>
      <c r="G3378" s="210"/>
      <c r="H3378" s="206" t="s">
        <v>121</v>
      </c>
      <c r="I3378" s="206" t="s">
        <v>121</v>
      </c>
      <c r="J3378" s="206" t="s">
        <v>121</v>
      </c>
      <c r="K3378" s="206" t="s">
        <v>121</v>
      </c>
      <c r="L3378" s="206" t="str">
        <v/>
      </c>
      <c r="M3378" s="206" t="str">
        <v/>
      </c>
    </row>
    <row r="3379" spans="1:13" ht="14.4">
      <c r="A3379" s="201"/>
      <c r="B3379" s="209"/>
      <c r="C3379" s="201"/>
      <c r="D3379" s="201"/>
      <c r="E3379" s="202"/>
      <c r="F3379" s="210"/>
      <c r="G3379" s="210"/>
      <c r="H3379" s="206" t="s">
        <v>121</v>
      </c>
      <c r="I3379" s="206" t="s">
        <v>121</v>
      </c>
      <c r="J3379" s="206" t="s">
        <v>121</v>
      </c>
      <c r="K3379" s="206" t="s">
        <v>121</v>
      </c>
      <c r="L3379" s="206" t="str">
        <v/>
      </c>
      <c r="M3379" s="206" t="str">
        <v/>
      </c>
    </row>
    <row r="3380" spans="1:13" ht="14.4">
      <c r="A3380" s="201"/>
      <c r="B3380" s="209"/>
      <c r="C3380" s="201"/>
      <c r="D3380" s="201"/>
      <c r="E3380" s="202"/>
      <c r="F3380" s="210"/>
      <c r="G3380" s="210"/>
      <c r="H3380" s="206" t="s">
        <v>121</v>
      </c>
      <c r="I3380" s="206" t="s">
        <v>121</v>
      </c>
      <c r="J3380" s="206" t="s">
        <v>121</v>
      </c>
      <c r="K3380" s="206" t="s">
        <v>121</v>
      </c>
      <c r="L3380" s="206" t="str">
        <v/>
      </c>
      <c r="M3380" s="206" t="str">
        <v/>
      </c>
    </row>
    <row r="3381" spans="1:13" ht="14.4">
      <c r="A3381" s="201"/>
      <c r="B3381" s="209"/>
      <c r="C3381" s="201"/>
      <c r="D3381" s="201"/>
      <c r="E3381" s="202"/>
      <c r="F3381" s="210"/>
      <c r="G3381" s="210"/>
      <c r="H3381" s="206" t="s">
        <v>121</v>
      </c>
      <c r="I3381" s="206" t="s">
        <v>121</v>
      </c>
      <c r="J3381" s="206" t="s">
        <v>121</v>
      </c>
      <c r="K3381" s="206" t="s">
        <v>121</v>
      </c>
      <c r="L3381" s="206" t="str">
        <v/>
      </c>
      <c r="M3381" s="206" t="str">
        <v/>
      </c>
    </row>
    <row r="3382" spans="1:13" ht="14.4">
      <c r="A3382" s="201"/>
      <c r="B3382" s="209"/>
      <c r="C3382" s="201"/>
      <c r="D3382" s="201"/>
      <c r="E3382" s="202"/>
      <c r="F3382" s="210"/>
      <c r="G3382" s="210"/>
      <c r="H3382" s="206" t="s">
        <v>121</v>
      </c>
      <c r="I3382" s="206" t="s">
        <v>121</v>
      </c>
      <c r="J3382" s="206" t="s">
        <v>121</v>
      </c>
      <c r="K3382" s="206" t="s">
        <v>121</v>
      </c>
      <c r="L3382" s="206" t="str">
        <v/>
      </c>
      <c r="M3382" s="206" t="str">
        <v/>
      </c>
    </row>
    <row r="3383" spans="1:13" ht="14.4">
      <c r="A3383" s="201"/>
      <c r="B3383" s="209"/>
      <c r="C3383" s="201"/>
      <c r="D3383" s="201"/>
      <c r="E3383" s="202"/>
      <c r="F3383" s="210"/>
      <c r="G3383" s="210"/>
      <c r="H3383" s="206" t="s">
        <v>121</v>
      </c>
      <c r="I3383" s="206" t="s">
        <v>121</v>
      </c>
      <c r="J3383" s="206" t="s">
        <v>121</v>
      </c>
      <c r="K3383" s="206" t="s">
        <v>121</v>
      </c>
      <c r="L3383" s="206" t="str">
        <v/>
      </c>
      <c r="M3383" s="206" t="str">
        <v/>
      </c>
    </row>
    <row r="3384" spans="1:13" ht="14.4">
      <c r="A3384" s="201"/>
      <c r="B3384" s="209"/>
      <c r="C3384" s="201"/>
      <c r="D3384" s="201"/>
      <c r="E3384" s="202"/>
      <c r="F3384" s="210"/>
      <c r="G3384" s="210"/>
      <c r="H3384" s="206" t="s">
        <v>121</v>
      </c>
      <c r="I3384" s="206" t="s">
        <v>121</v>
      </c>
      <c r="J3384" s="206" t="s">
        <v>121</v>
      </c>
      <c r="K3384" s="206" t="s">
        <v>121</v>
      </c>
      <c r="L3384" s="206" t="str">
        <v/>
      </c>
      <c r="M3384" s="206" t="str">
        <v/>
      </c>
    </row>
    <row r="3385" spans="1:13" ht="14.4">
      <c r="A3385" s="201"/>
      <c r="B3385" s="209"/>
      <c r="C3385" s="201"/>
      <c r="D3385" s="201"/>
      <c r="E3385" s="202"/>
      <c r="F3385" s="210"/>
      <c r="G3385" s="210"/>
      <c r="H3385" s="206" t="s">
        <v>121</v>
      </c>
      <c r="I3385" s="206" t="s">
        <v>121</v>
      </c>
      <c r="J3385" s="206" t="s">
        <v>121</v>
      </c>
      <c r="K3385" s="206" t="s">
        <v>121</v>
      </c>
      <c r="L3385" s="206" t="str">
        <v/>
      </c>
      <c r="M3385" s="206" t="str">
        <v/>
      </c>
    </row>
    <row r="3386" spans="1:13" ht="14.4">
      <c r="A3386" s="201"/>
      <c r="B3386" s="209"/>
      <c r="C3386" s="201"/>
      <c r="D3386" s="201"/>
      <c r="E3386" s="202"/>
      <c r="F3386" s="210"/>
      <c r="G3386" s="210"/>
      <c r="H3386" s="206" t="s">
        <v>121</v>
      </c>
      <c r="I3386" s="206" t="s">
        <v>121</v>
      </c>
      <c r="J3386" s="206" t="s">
        <v>121</v>
      </c>
      <c r="K3386" s="206" t="s">
        <v>121</v>
      </c>
      <c r="L3386" s="206" t="str">
        <v/>
      </c>
      <c r="M3386" s="206" t="str">
        <v/>
      </c>
    </row>
    <row r="3387" spans="1:13" ht="14.4">
      <c r="A3387" s="201"/>
      <c r="B3387" s="209"/>
      <c r="C3387" s="201"/>
      <c r="D3387" s="201"/>
      <c r="E3387" s="202"/>
      <c r="F3387" s="210"/>
      <c r="G3387" s="210"/>
      <c r="H3387" s="206" t="s">
        <v>121</v>
      </c>
      <c r="I3387" s="206" t="s">
        <v>121</v>
      </c>
      <c r="J3387" s="206" t="s">
        <v>121</v>
      </c>
      <c r="K3387" s="206" t="s">
        <v>121</v>
      </c>
      <c r="L3387" s="206" t="str">
        <v/>
      </c>
      <c r="M3387" s="206" t="str">
        <v/>
      </c>
    </row>
    <row r="3388" spans="1:13" ht="14.4">
      <c r="A3388" s="201"/>
      <c r="B3388" s="209"/>
      <c r="C3388" s="201"/>
      <c r="D3388" s="201"/>
      <c r="E3388" s="202"/>
      <c r="F3388" s="210"/>
      <c r="G3388" s="210"/>
      <c r="H3388" s="206" t="s">
        <v>121</v>
      </c>
      <c r="I3388" s="206" t="s">
        <v>121</v>
      </c>
      <c r="J3388" s="206" t="s">
        <v>121</v>
      </c>
      <c r="K3388" s="206" t="s">
        <v>121</v>
      </c>
      <c r="L3388" s="206" t="str">
        <v/>
      </c>
      <c r="M3388" s="206" t="str">
        <v/>
      </c>
    </row>
    <row r="3389" spans="1:13" ht="14.4">
      <c r="A3389" s="201"/>
      <c r="B3389" s="209"/>
      <c r="C3389" s="201"/>
      <c r="D3389" s="201"/>
      <c r="E3389" s="202"/>
      <c r="F3389" s="210"/>
      <c r="G3389" s="210"/>
      <c r="H3389" s="206" t="s">
        <v>121</v>
      </c>
      <c r="I3389" s="206" t="s">
        <v>121</v>
      </c>
      <c r="J3389" s="206" t="s">
        <v>121</v>
      </c>
      <c r="K3389" s="206" t="s">
        <v>121</v>
      </c>
      <c r="L3389" s="206" t="str">
        <v/>
      </c>
      <c r="M3389" s="206" t="str">
        <v/>
      </c>
    </row>
    <row r="3390" spans="1:13" ht="14.4">
      <c r="A3390" s="201"/>
      <c r="B3390" s="209"/>
      <c r="C3390" s="201"/>
      <c r="D3390" s="201"/>
      <c r="E3390" s="202"/>
      <c r="F3390" s="210"/>
      <c r="G3390" s="210"/>
      <c r="H3390" s="206" t="s">
        <v>121</v>
      </c>
      <c r="I3390" s="206" t="s">
        <v>121</v>
      </c>
      <c r="J3390" s="206" t="s">
        <v>121</v>
      </c>
      <c r="K3390" s="206" t="s">
        <v>121</v>
      </c>
      <c r="L3390" s="206" t="str">
        <v/>
      </c>
      <c r="M3390" s="206" t="str">
        <v/>
      </c>
    </row>
    <row r="3391" spans="1:13" ht="14.4">
      <c r="A3391" s="201"/>
      <c r="B3391" s="209"/>
      <c r="C3391" s="201"/>
      <c r="D3391" s="201"/>
      <c r="E3391" s="202"/>
      <c r="F3391" s="210"/>
      <c r="G3391" s="210"/>
      <c r="H3391" s="206" t="s">
        <v>121</v>
      </c>
      <c r="I3391" s="206" t="s">
        <v>121</v>
      </c>
      <c r="J3391" s="206" t="s">
        <v>121</v>
      </c>
      <c r="K3391" s="206" t="s">
        <v>121</v>
      </c>
      <c r="L3391" s="206" t="str">
        <v/>
      </c>
      <c r="M3391" s="206" t="str">
        <v/>
      </c>
    </row>
    <row r="3392" spans="1:13" ht="14.4">
      <c r="A3392" s="201"/>
      <c r="B3392" s="209"/>
      <c r="C3392" s="201"/>
      <c r="D3392" s="201"/>
      <c r="E3392" s="202"/>
      <c r="F3392" s="210"/>
      <c r="G3392" s="210"/>
      <c r="H3392" s="206" t="s">
        <v>121</v>
      </c>
      <c r="I3392" s="206" t="s">
        <v>121</v>
      </c>
      <c r="J3392" s="206" t="s">
        <v>121</v>
      </c>
      <c r="K3392" s="206" t="s">
        <v>121</v>
      </c>
      <c r="L3392" s="206" t="str">
        <v/>
      </c>
      <c r="M3392" s="206" t="str">
        <v/>
      </c>
    </row>
    <row r="3393" spans="1:13" ht="14.4">
      <c r="A3393" s="201"/>
      <c r="B3393" s="209"/>
      <c r="C3393" s="201"/>
      <c r="D3393" s="201"/>
      <c r="E3393" s="202"/>
      <c r="F3393" s="210"/>
      <c r="G3393" s="210"/>
      <c r="H3393" s="206" t="s">
        <v>121</v>
      </c>
      <c r="I3393" s="206" t="s">
        <v>121</v>
      </c>
      <c r="J3393" s="206" t="s">
        <v>121</v>
      </c>
      <c r="K3393" s="206" t="s">
        <v>121</v>
      </c>
      <c r="L3393" s="206" t="str">
        <v/>
      </c>
      <c r="M3393" s="206" t="str">
        <v/>
      </c>
    </row>
    <row r="3394" spans="1:13" ht="14.4">
      <c r="A3394" s="201"/>
      <c r="B3394" s="209"/>
      <c r="C3394" s="201"/>
      <c r="D3394" s="201"/>
      <c r="E3394" s="202"/>
      <c r="F3394" s="210"/>
      <c r="G3394" s="210"/>
      <c r="H3394" s="206" t="s">
        <v>121</v>
      </c>
      <c r="I3394" s="206" t="s">
        <v>121</v>
      </c>
      <c r="J3394" s="206" t="s">
        <v>121</v>
      </c>
      <c r="K3394" s="206" t="s">
        <v>121</v>
      </c>
      <c r="L3394" s="206" t="str">
        <v/>
      </c>
      <c r="M3394" s="206" t="str">
        <v/>
      </c>
    </row>
    <row r="3395" spans="1:13" ht="14.4">
      <c r="A3395" s="201"/>
      <c r="B3395" s="209"/>
      <c r="C3395" s="201"/>
      <c r="D3395" s="201"/>
      <c r="E3395" s="202"/>
      <c r="F3395" s="210"/>
      <c r="G3395" s="210"/>
      <c r="H3395" s="206" t="s">
        <v>121</v>
      </c>
      <c r="I3395" s="206" t="s">
        <v>121</v>
      </c>
      <c r="J3395" s="206" t="s">
        <v>121</v>
      </c>
      <c r="K3395" s="206" t="s">
        <v>121</v>
      </c>
      <c r="L3395" s="206" t="str">
        <v/>
      </c>
      <c r="M3395" s="206" t="str">
        <v/>
      </c>
    </row>
    <row r="3396" spans="1:13" ht="14.4">
      <c r="A3396" s="201"/>
      <c r="B3396" s="209"/>
      <c r="C3396" s="201"/>
      <c r="D3396" s="201"/>
      <c r="E3396" s="202"/>
      <c r="F3396" s="210"/>
      <c r="G3396" s="210"/>
      <c r="H3396" s="206" t="s">
        <v>121</v>
      </c>
      <c r="I3396" s="206" t="s">
        <v>121</v>
      </c>
      <c r="J3396" s="206" t="s">
        <v>121</v>
      </c>
      <c r="K3396" s="206" t="s">
        <v>121</v>
      </c>
      <c r="L3396" s="206" t="str">
        <v/>
      </c>
      <c r="M3396" s="206" t="str">
        <v/>
      </c>
    </row>
    <row r="3397" spans="1:13" ht="14.4">
      <c r="A3397" s="201"/>
      <c r="B3397" s="209"/>
      <c r="C3397" s="201"/>
      <c r="D3397" s="201"/>
      <c r="E3397" s="202"/>
      <c r="F3397" s="210"/>
      <c r="G3397" s="210"/>
      <c r="H3397" s="206" t="s">
        <v>121</v>
      </c>
      <c r="I3397" s="206" t="s">
        <v>121</v>
      </c>
      <c r="J3397" s="206" t="s">
        <v>121</v>
      </c>
      <c r="K3397" s="206" t="s">
        <v>121</v>
      </c>
      <c r="L3397" s="206" t="str">
        <v/>
      </c>
      <c r="M3397" s="206" t="str">
        <v/>
      </c>
    </row>
    <row r="3398" spans="1:13" ht="14.4">
      <c r="A3398" s="201"/>
      <c r="B3398" s="209"/>
      <c r="C3398" s="201"/>
      <c r="D3398" s="201"/>
      <c r="E3398" s="202"/>
      <c r="F3398" s="210"/>
      <c r="G3398" s="210"/>
      <c r="H3398" s="206" t="s">
        <v>121</v>
      </c>
      <c r="I3398" s="206" t="s">
        <v>121</v>
      </c>
      <c r="J3398" s="206" t="s">
        <v>121</v>
      </c>
      <c r="K3398" s="206" t="s">
        <v>121</v>
      </c>
      <c r="L3398" s="206" t="str">
        <v/>
      </c>
      <c r="M3398" s="206" t="str">
        <v/>
      </c>
    </row>
    <row r="3399" spans="1:13" ht="14.4">
      <c r="A3399" s="201"/>
      <c r="B3399" s="209"/>
      <c r="C3399" s="201"/>
      <c r="D3399" s="201"/>
      <c r="E3399" s="202"/>
      <c r="F3399" s="210"/>
      <c r="G3399" s="210"/>
      <c r="H3399" s="206" t="s">
        <v>121</v>
      </c>
      <c r="I3399" s="206" t="s">
        <v>121</v>
      </c>
      <c r="J3399" s="206" t="s">
        <v>121</v>
      </c>
      <c r="K3399" s="206" t="s">
        <v>121</v>
      </c>
      <c r="L3399" s="206" t="str">
        <v/>
      </c>
      <c r="M3399" s="206" t="str">
        <v/>
      </c>
    </row>
    <row r="3400" spans="1:13" ht="14.4">
      <c r="A3400" s="201"/>
      <c r="B3400" s="209"/>
      <c r="C3400" s="201"/>
      <c r="D3400" s="201"/>
      <c r="E3400" s="202"/>
      <c r="F3400" s="210"/>
      <c r="G3400" s="210"/>
      <c r="H3400" s="206" t="s">
        <v>121</v>
      </c>
      <c r="I3400" s="206" t="s">
        <v>121</v>
      </c>
      <c r="J3400" s="206" t="s">
        <v>121</v>
      </c>
      <c r="K3400" s="206" t="s">
        <v>121</v>
      </c>
      <c r="L3400" s="206" t="str">
        <v/>
      </c>
      <c r="M3400" s="206" t="str">
        <v/>
      </c>
    </row>
    <row r="3401" spans="1:13" ht="14.4">
      <c r="A3401" s="201"/>
      <c r="B3401" s="209"/>
      <c r="C3401" s="201"/>
      <c r="D3401" s="201"/>
      <c r="E3401" s="202"/>
      <c r="F3401" s="210"/>
      <c r="G3401" s="210"/>
      <c r="H3401" s="206" t="s">
        <v>121</v>
      </c>
      <c r="I3401" s="206" t="s">
        <v>121</v>
      </c>
      <c r="J3401" s="206" t="s">
        <v>121</v>
      </c>
      <c r="K3401" s="206" t="s">
        <v>121</v>
      </c>
      <c r="L3401" s="206" t="str">
        <v/>
      </c>
      <c r="M3401" s="206" t="str">
        <v/>
      </c>
    </row>
    <row r="3402" spans="1:13" ht="14.4">
      <c r="A3402" s="201"/>
      <c r="B3402" s="209"/>
      <c r="C3402" s="201"/>
      <c r="D3402" s="201"/>
      <c r="E3402" s="202"/>
      <c r="F3402" s="210"/>
      <c r="G3402" s="210"/>
      <c r="H3402" s="206" t="s">
        <v>121</v>
      </c>
      <c r="I3402" s="206" t="s">
        <v>121</v>
      </c>
      <c r="J3402" s="206" t="s">
        <v>121</v>
      </c>
      <c r="K3402" s="206" t="s">
        <v>121</v>
      </c>
      <c r="L3402" s="206" t="str">
        <v/>
      </c>
      <c r="M3402" s="206" t="str">
        <v/>
      </c>
    </row>
    <row r="3403" spans="1:13" ht="14.4">
      <c r="A3403" s="201"/>
      <c r="B3403" s="209"/>
      <c r="C3403" s="201"/>
      <c r="D3403" s="201"/>
      <c r="E3403" s="202"/>
      <c r="F3403" s="210"/>
      <c r="G3403" s="210"/>
      <c r="H3403" s="206" t="s">
        <v>121</v>
      </c>
      <c r="I3403" s="206" t="s">
        <v>121</v>
      </c>
      <c r="J3403" s="206" t="s">
        <v>121</v>
      </c>
      <c r="K3403" s="206" t="s">
        <v>121</v>
      </c>
      <c r="L3403" s="206" t="str">
        <v/>
      </c>
      <c r="M3403" s="206" t="str">
        <v/>
      </c>
    </row>
    <row r="3404" spans="1:13" ht="14.4">
      <c r="A3404" s="201"/>
      <c r="B3404" s="209"/>
      <c r="C3404" s="201"/>
      <c r="D3404" s="201"/>
      <c r="E3404" s="202"/>
      <c r="F3404" s="210"/>
      <c r="G3404" s="210"/>
      <c r="H3404" s="206" t="s">
        <v>121</v>
      </c>
      <c r="I3404" s="206" t="s">
        <v>121</v>
      </c>
      <c r="J3404" s="206" t="s">
        <v>121</v>
      </c>
      <c r="K3404" s="206" t="s">
        <v>121</v>
      </c>
      <c r="L3404" s="206" t="str">
        <v/>
      </c>
      <c r="M3404" s="206" t="str">
        <v/>
      </c>
    </row>
    <row r="3405" spans="1:13" ht="14.4">
      <c r="A3405" s="201"/>
      <c r="B3405" s="209"/>
      <c r="C3405" s="201"/>
      <c r="D3405" s="201"/>
      <c r="E3405" s="202"/>
      <c r="F3405" s="210"/>
      <c r="G3405" s="210"/>
      <c r="H3405" s="206" t="s">
        <v>121</v>
      </c>
      <c r="I3405" s="206" t="s">
        <v>121</v>
      </c>
      <c r="J3405" s="206" t="s">
        <v>121</v>
      </c>
      <c r="K3405" s="206" t="s">
        <v>121</v>
      </c>
      <c r="L3405" s="206" t="str">
        <v/>
      </c>
      <c r="M3405" s="206" t="str">
        <v/>
      </c>
    </row>
    <row r="3406" spans="1:13" ht="14.4">
      <c r="A3406" s="201"/>
      <c r="B3406" s="209"/>
      <c r="C3406" s="201"/>
      <c r="D3406" s="201"/>
      <c r="E3406" s="202"/>
      <c r="F3406" s="210"/>
      <c r="G3406" s="210"/>
      <c r="H3406" s="206" t="s">
        <v>121</v>
      </c>
      <c r="I3406" s="206" t="s">
        <v>121</v>
      </c>
      <c r="J3406" s="206" t="s">
        <v>121</v>
      </c>
      <c r="K3406" s="206" t="s">
        <v>121</v>
      </c>
      <c r="L3406" s="206" t="str">
        <v/>
      </c>
      <c r="M3406" s="206" t="str">
        <v/>
      </c>
    </row>
    <row r="3407" spans="1:13" ht="14.4">
      <c r="A3407" s="201"/>
      <c r="B3407" s="209"/>
      <c r="C3407" s="201"/>
      <c r="D3407" s="201"/>
      <c r="E3407" s="202"/>
      <c r="F3407" s="210"/>
      <c r="G3407" s="210"/>
      <c r="H3407" s="206" t="s">
        <v>121</v>
      </c>
      <c r="I3407" s="206" t="s">
        <v>121</v>
      </c>
      <c r="J3407" s="206" t="s">
        <v>121</v>
      </c>
      <c r="K3407" s="206" t="s">
        <v>121</v>
      </c>
      <c r="L3407" s="206" t="str">
        <v/>
      </c>
      <c r="M3407" s="206" t="str">
        <v/>
      </c>
    </row>
    <row r="3408" spans="1:13" ht="14.4">
      <c r="A3408" s="201"/>
      <c r="B3408" s="209"/>
      <c r="C3408" s="201"/>
      <c r="D3408" s="201"/>
      <c r="E3408" s="202"/>
      <c r="F3408" s="210"/>
      <c r="G3408" s="210"/>
      <c r="H3408" s="206" t="s">
        <v>121</v>
      </c>
      <c r="I3408" s="206" t="s">
        <v>121</v>
      </c>
      <c r="J3408" s="206" t="s">
        <v>121</v>
      </c>
      <c r="K3408" s="206" t="s">
        <v>121</v>
      </c>
      <c r="L3408" s="206" t="str">
        <v/>
      </c>
      <c r="M3408" s="206" t="str">
        <v/>
      </c>
    </row>
    <row r="3409" spans="1:13" ht="14.4">
      <c r="A3409" s="201"/>
      <c r="B3409" s="209"/>
      <c r="C3409" s="201"/>
      <c r="D3409" s="201"/>
      <c r="E3409" s="202"/>
      <c r="F3409" s="210"/>
      <c r="G3409" s="210"/>
      <c r="H3409" s="206" t="s">
        <v>121</v>
      </c>
      <c r="I3409" s="206" t="s">
        <v>121</v>
      </c>
      <c r="J3409" s="206" t="s">
        <v>121</v>
      </c>
      <c r="K3409" s="206" t="s">
        <v>121</v>
      </c>
      <c r="L3409" s="206" t="str">
        <v/>
      </c>
      <c r="M3409" s="206" t="str">
        <v/>
      </c>
    </row>
    <row r="3410" spans="1:13" ht="14.4">
      <c r="A3410" s="201"/>
      <c r="B3410" s="209"/>
      <c r="C3410" s="201"/>
      <c r="D3410" s="201"/>
      <c r="E3410" s="202"/>
      <c r="F3410" s="210"/>
      <c r="G3410" s="210"/>
      <c r="H3410" s="206" t="s">
        <v>121</v>
      </c>
      <c r="I3410" s="206" t="s">
        <v>121</v>
      </c>
      <c r="J3410" s="206" t="s">
        <v>121</v>
      </c>
      <c r="K3410" s="206" t="s">
        <v>121</v>
      </c>
      <c r="L3410" s="206" t="str">
        <v/>
      </c>
      <c r="M3410" s="206" t="str">
        <v/>
      </c>
    </row>
    <row r="3411" spans="1:13" ht="14.4">
      <c r="A3411" s="201"/>
      <c r="B3411" s="209"/>
      <c r="C3411" s="201"/>
      <c r="D3411" s="201"/>
      <c r="E3411" s="202"/>
      <c r="F3411" s="210"/>
      <c r="G3411" s="210"/>
      <c r="H3411" s="206" t="s">
        <v>121</v>
      </c>
      <c r="I3411" s="206" t="s">
        <v>121</v>
      </c>
      <c r="J3411" s="206" t="s">
        <v>121</v>
      </c>
      <c r="K3411" s="206" t="s">
        <v>121</v>
      </c>
      <c r="L3411" s="206" t="str">
        <v/>
      </c>
      <c r="M3411" s="206" t="str">
        <v/>
      </c>
    </row>
    <row r="3412" spans="1:13" ht="14.4">
      <c r="A3412" s="201"/>
      <c r="B3412" s="209"/>
      <c r="C3412" s="201"/>
      <c r="D3412" s="201"/>
      <c r="E3412" s="202"/>
      <c r="F3412" s="210"/>
      <c r="G3412" s="210"/>
      <c r="H3412" s="206" t="s">
        <v>121</v>
      </c>
      <c r="I3412" s="206" t="s">
        <v>121</v>
      </c>
      <c r="J3412" s="206" t="s">
        <v>121</v>
      </c>
      <c r="K3412" s="206" t="s">
        <v>121</v>
      </c>
      <c r="L3412" s="206" t="str">
        <v/>
      </c>
      <c r="M3412" s="206" t="str">
        <v/>
      </c>
    </row>
    <row r="3413" spans="1:13" ht="14.4">
      <c r="A3413" s="201"/>
      <c r="B3413" s="209"/>
      <c r="C3413" s="201"/>
      <c r="D3413" s="201"/>
      <c r="E3413" s="202"/>
      <c r="F3413" s="210"/>
      <c r="G3413" s="210"/>
      <c r="H3413" s="206" t="s">
        <v>121</v>
      </c>
      <c r="I3413" s="206" t="s">
        <v>121</v>
      </c>
      <c r="J3413" s="206" t="s">
        <v>121</v>
      </c>
      <c r="K3413" s="206" t="s">
        <v>121</v>
      </c>
      <c r="L3413" s="206" t="str">
        <v/>
      </c>
      <c r="M3413" s="206" t="str">
        <v/>
      </c>
    </row>
    <row r="3414" spans="1:13" ht="14.4">
      <c r="A3414" s="201"/>
      <c r="B3414" s="209"/>
      <c r="C3414" s="201"/>
      <c r="D3414" s="201"/>
      <c r="E3414" s="202"/>
      <c r="F3414" s="210"/>
      <c r="G3414" s="210"/>
      <c r="H3414" s="206" t="s">
        <v>121</v>
      </c>
      <c r="I3414" s="206" t="s">
        <v>121</v>
      </c>
      <c r="J3414" s="206" t="s">
        <v>121</v>
      </c>
      <c r="K3414" s="206" t="s">
        <v>121</v>
      </c>
      <c r="L3414" s="206" t="str">
        <v/>
      </c>
      <c r="M3414" s="206" t="str">
        <v/>
      </c>
    </row>
    <row r="3415" spans="1:13" ht="14.4">
      <c r="A3415" s="201"/>
      <c r="B3415" s="209"/>
      <c r="C3415" s="201"/>
      <c r="D3415" s="201"/>
      <c r="E3415" s="202"/>
      <c r="F3415" s="210"/>
      <c r="G3415" s="210"/>
      <c r="H3415" s="206" t="s">
        <v>121</v>
      </c>
      <c r="I3415" s="206" t="s">
        <v>121</v>
      </c>
      <c r="J3415" s="206" t="s">
        <v>121</v>
      </c>
      <c r="K3415" s="206" t="s">
        <v>121</v>
      </c>
      <c r="L3415" s="206" t="str">
        <v/>
      </c>
      <c r="M3415" s="206" t="str">
        <v/>
      </c>
    </row>
    <row r="3416" spans="1:13" ht="14.4">
      <c r="A3416" s="201"/>
      <c r="B3416" s="209"/>
      <c r="C3416" s="201"/>
      <c r="D3416" s="201"/>
      <c r="E3416" s="202"/>
      <c r="F3416" s="210"/>
      <c r="G3416" s="210"/>
      <c r="H3416" s="206" t="s">
        <v>121</v>
      </c>
      <c r="I3416" s="206" t="s">
        <v>121</v>
      </c>
      <c r="J3416" s="206" t="s">
        <v>121</v>
      </c>
      <c r="K3416" s="206" t="s">
        <v>121</v>
      </c>
      <c r="L3416" s="206" t="str">
        <v/>
      </c>
      <c r="M3416" s="206" t="str">
        <v/>
      </c>
    </row>
    <row r="3417" spans="1:13" ht="14.4">
      <c r="A3417" s="201"/>
      <c r="B3417" s="209"/>
      <c r="C3417" s="201"/>
      <c r="D3417" s="201"/>
      <c r="E3417" s="202"/>
      <c r="F3417" s="210"/>
      <c r="G3417" s="210"/>
      <c r="H3417" s="206" t="s">
        <v>121</v>
      </c>
      <c r="I3417" s="206" t="s">
        <v>121</v>
      </c>
      <c r="J3417" s="206" t="s">
        <v>121</v>
      </c>
      <c r="K3417" s="206" t="s">
        <v>121</v>
      </c>
      <c r="L3417" s="206" t="str">
        <v/>
      </c>
      <c r="M3417" s="206" t="str">
        <v/>
      </c>
    </row>
    <row r="3418" spans="1:13" ht="14.4">
      <c r="A3418" s="201"/>
      <c r="B3418" s="209"/>
      <c r="C3418" s="201"/>
      <c r="D3418" s="201"/>
      <c r="E3418" s="202"/>
      <c r="F3418" s="210"/>
      <c r="G3418" s="210"/>
      <c r="H3418" s="206" t="s">
        <v>121</v>
      </c>
      <c r="I3418" s="206" t="s">
        <v>121</v>
      </c>
      <c r="J3418" s="206" t="s">
        <v>121</v>
      </c>
      <c r="K3418" s="206" t="s">
        <v>121</v>
      </c>
      <c r="L3418" s="206" t="str">
        <v/>
      </c>
      <c r="M3418" s="206" t="str">
        <v/>
      </c>
    </row>
    <row r="3419" spans="1:13" ht="14.4">
      <c r="A3419" s="201"/>
      <c r="B3419" s="209"/>
      <c r="C3419" s="201"/>
      <c r="D3419" s="201"/>
      <c r="E3419" s="202"/>
      <c r="F3419" s="210"/>
      <c r="G3419" s="210"/>
      <c r="H3419" s="206" t="s">
        <v>121</v>
      </c>
      <c r="I3419" s="206" t="s">
        <v>121</v>
      </c>
      <c r="J3419" s="206" t="s">
        <v>121</v>
      </c>
      <c r="K3419" s="206" t="s">
        <v>121</v>
      </c>
      <c r="L3419" s="206" t="str">
        <v/>
      </c>
      <c r="M3419" s="206" t="str">
        <v/>
      </c>
    </row>
    <row r="3420" spans="1:13" ht="14.4">
      <c r="A3420" s="201"/>
      <c r="B3420" s="209"/>
      <c r="C3420" s="201"/>
      <c r="D3420" s="201"/>
      <c r="E3420" s="202"/>
      <c r="F3420" s="210"/>
      <c r="G3420" s="210"/>
      <c r="H3420" s="206" t="s">
        <v>121</v>
      </c>
      <c r="I3420" s="206" t="s">
        <v>121</v>
      </c>
      <c r="J3420" s="206" t="s">
        <v>121</v>
      </c>
      <c r="K3420" s="206" t="s">
        <v>121</v>
      </c>
      <c r="L3420" s="206" t="str">
        <v/>
      </c>
      <c r="M3420" s="206" t="str">
        <v/>
      </c>
    </row>
    <row r="3421" spans="1:13" ht="14.4">
      <c r="A3421" s="201"/>
      <c r="B3421" s="209"/>
      <c r="C3421" s="201"/>
      <c r="D3421" s="201"/>
      <c r="E3421" s="202"/>
      <c r="F3421" s="210"/>
      <c r="G3421" s="210"/>
      <c r="H3421" s="206" t="s">
        <v>121</v>
      </c>
      <c r="I3421" s="206" t="s">
        <v>121</v>
      </c>
      <c r="J3421" s="206" t="s">
        <v>121</v>
      </c>
      <c r="K3421" s="206" t="s">
        <v>121</v>
      </c>
      <c r="L3421" s="206" t="str">
        <v/>
      </c>
      <c r="M3421" s="206" t="str">
        <v/>
      </c>
    </row>
    <row r="3422" spans="1:13" ht="14.4">
      <c r="A3422" s="201"/>
      <c r="B3422" s="209"/>
      <c r="C3422" s="201"/>
      <c r="D3422" s="201"/>
      <c r="E3422" s="202"/>
      <c r="F3422" s="210"/>
      <c r="G3422" s="210"/>
      <c r="H3422" s="206" t="s">
        <v>121</v>
      </c>
      <c r="I3422" s="206" t="s">
        <v>121</v>
      </c>
      <c r="J3422" s="206" t="s">
        <v>121</v>
      </c>
      <c r="K3422" s="206" t="s">
        <v>121</v>
      </c>
      <c r="L3422" s="206" t="str">
        <v/>
      </c>
      <c r="M3422" s="206" t="str">
        <v/>
      </c>
    </row>
    <row r="3423" spans="1:13" ht="14.4">
      <c r="A3423" s="201"/>
      <c r="B3423" s="209"/>
      <c r="C3423" s="201"/>
      <c r="D3423" s="201"/>
      <c r="E3423" s="202"/>
      <c r="F3423" s="210"/>
      <c r="G3423" s="210"/>
      <c r="H3423" s="206" t="s">
        <v>121</v>
      </c>
      <c r="I3423" s="206" t="s">
        <v>121</v>
      </c>
      <c r="J3423" s="206" t="s">
        <v>121</v>
      </c>
      <c r="K3423" s="206" t="s">
        <v>121</v>
      </c>
      <c r="L3423" s="206" t="str">
        <v/>
      </c>
      <c r="M3423" s="206" t="str">
        <v/>
      </c>
    </row>
    <row r="3424" spans="1:13" ht="14.4">
      <c r="A3424" s="201"/>
      <c r="B3424" s="209"/>
      <c r="C3424" s="201"/>
      <c r="D3424" s="201"/>
      <c r="E3424" s="202"/>
      <c r="F3424" s="210"/>
      <c r="G3424" s="210"/>
      <c r="H3424" s="206" t="s">
        <v>121</v>
      </c>
      <c r="I3424" s="206" t="s">
        <v>121</v>
      </c>
      <c r="J3424" s="206" t="s">
        <v>121</v>
      </c>
      <c r="K3424" s="206" t="s">
        <v>121</v>
      </c>
      <c r="L3424" s="206" t="str">
        <v/>
      </c>
      <c r="M3424" s="206" t="str">
        <v/>
      </c>
    </row>
    <row r="3425" spans="1:13" ht="14.4">
      <c r="A3425" s="201"/>
      <c r="B3425" s="209"/>
      <c r="C3425" s="201"/>
      <c r="D3425" s="201"/>
      <c r="E3425" s="202"/>
      <c r="F3425" s="210"/>
      <c r="G3425" s="210"/>
      <c r="H3425" s="206" t="s">
        <v>121</v>
      </c>
      <c r="I3425" s="206" t="s">
        <v>121</v>
      </c>
      <c r="J3425" s="206" t="s">
        <v>121</v>
      </c>
      <c r="K3425" s="206" t="s">
        <v>121</v>
      </c>
      <c r="L3425" s="206" t="str">
        <v/>
      </c>
      <c r="M3425" s="206" t="str">
        <v/>
      </c>
    </row>
    <row r="3426" spans="1:13" ht="14.4">
      <c r="A3426" s="201"/>
      <c r="B3426" s="209"/>
      <c r="C3426" s="201"/>
      <c r="D3426" s="201"/>
      <c r="E3426" s="202"/>
      <c r="F3426" s="210"/>
      <c r="G3426" s="210"/>
      <c r="H3426" s="206" t="s">
        <v>121</v>
      </c>
      <c r="I3426" s="206" t="s">
        <v>121</v>
      </c>
      <c r="J3426" s="206" t="s">
        <v>121</v>
      </c>
      <c r="K3426" s="206" t="s">
        <v>121</v>
      </c>
      <c r="L3426" s="206" t="str">
        <v/>
      </c>
      <c r="M3426" s="206" t="str">
        <v/>
      </c>
    </row>
    <row r="3427" spans="1:13" ht="14.4">
      <c r="A3427" s="201"/>
      <c r="B3427" s="209"/>
      <c r="C3427" s="201"/>
      <c r="D3427" s="201"/>
      <c r="E3427" s="202"/>
      <c r="F3427" s="210"/>
      <c r="G3427" s="210"/>
      <c r="H3427" s="206" t="s">
        <v>121</v>
      </c>
      <c r="I3427" s="206" t="s">
        <v>121</v>
      </c>
      <c r="J3427" s="206" t="s">
        <v>121</v>
      </c>
      <c r="K3427" s="206" t="s">
        <v>121</v>
      </c>
      <c r="L3427" s="206" t="str">
        <v/>
      </c>
      <c r="M3427" s="206" t="str">
        <v/>
      </c>
    </row>
    <row r="3428" spans="1:13" ht="14.4">
      <c r="A3428" s="201"/>
      <c r="B3428" s="209"/>
      <c r="C3428" s="201"/>
      <c r="D3428" s="201"/>
      <c r="E3428" s="202"/>
      <c r="F3428" s="210"/>
      <c r="G3428" s="210"/>
      <c r="H3428" s="206" t="s">
        <v>121</v>
      </c>
      <c r="I3428" s="206" t="s">
        <v>121</v>
      </c>
      <c r="J3428" s="206" t="s">
        <v>121</v>
      </c>
      <c r="K3428" s="206" t="s">
        <v>121</v>
      </c>
      <c r="L3428" s="206" t="str">
        <v/>
      </c>
      <c r="M3428" s="206" t="str">
        <v/>
      </c>
    </row>
    <row r="3429" spans="1:13" ht="14.4">
      <c r="A3429" s="201"/>
      <c r="B3429" s="209"/>
      <c r="C3429" s="201"/>
      <c r="D3429" s="201"/>
      <c r="E3429" s="202"/>
      <c r="F3429" s="210"/>
      <c r="G3429" s="210"/>
      <c r="H3429" s="206" t="s">
        <v>121</v>
      </c>
      <c r="I3429" s="206" t="s">
        <v>121</v>
      </c>
      <c r="J3429" s="206" t="s">
        <v>121</v>
      </c>
      <c r="K3429" s="206" t="s">
        <v>121</v>
      </c>
      <c r="L3429" s="206" t="str">
        <v/>
      </c>
      <c r="M3429" s="206" t="str">
        <v/>
      </c>
    </row>
    <row r="3430" spans="1:13" ht="14.4">
      <c r="A3430" s="201"/>
      <c r="B3430" s="209"/>
      <c r="C3430" s="201"/>
      <c r="D3430" s="201"/>
      <c r="E3430" s="202"/>
      <c r="F3430" s="210"/>
      <c r="G3430" s="210"/>
      <c r="H3430" s="206" t="s">
        <v>121</v>
      </c>
      <c r="I3430" s="206" t="s">
        <v>121</v>
      </c>
      <c r="J3430" s="206" t="s">
        <v>121</v>
      </c>
      <c r="K3430" s="206" t="s">
        <v>121</v>
      </c>
      <c r="L3430" s="206" t="str">
        <v/>
      </c>
      <c r="M3430" s="206" t="str">
        <v/>
      </c>
    </row>
    <row r="3431" spans="1:13" ht="14.4">
      <c r="A3431" s="201"/>
      <c r="B3431" s="209"/>
      <c r="C3431" s="201"/>
      <c r="D3431" s="201"/>
      <c r="E3431" s="202"/>
      <c r="F3431" s="210"/>
      <c r="G3431" s="210"/>
      <c r="H3431" s="206" t="s">
        <v>121</v>
      </c>
      <c r="I3431" s="206" t="s">
        <v>121</v>
      </c>
      <c r="J3431" s="206" t="s">
        <v>121</v>
      </c>
      <c r="K3431" s="206" t="s">
        <v>121</v>
      </c>
      <c r="L3431" s="206" t="str">
        <v/>
      </c>
      <c r="M3431" s="206" t="str">
        <v/>
      </c>
    </row>
    <row r="3432" spans="1:13" ht="14.4">
      <c r="A3432" s="201"/>
      <c r="B3432" s="209"/>
      <c r="C3432" s="201"/>
      <c r="D3432" s="201"/>
      <c r="E3432" s="202"/>
      <c r="F3432" s="210"/>
      <c r="G3432" s="210"/>
      <c r="H3432" s="206" t="s">
        <v>121</v>
      </c>
      <c r="I3432" s="206" t="s">
        <v>121</v>
      </c>
      <c r="J3432" s="206" t="s">
        <v>121</v>
      </c>
      <c r="K3432" s="206" t="s">
        <v>121</v>
      </c>
      <c r="L3432" s="206" t="str">
        <v/>
      </c>
      <c r="M3432" s="206" t="str">
        <v/>
      </c>
    </row>
    <row r="3433" spans="1:13" ht="14.4">
      <c r="A3433" s="201"/>
      <c r="B3433" s="209"/>
      <c r="C3433" s="201"/>
      <c r="D3433" s="201"/>
      <c r="E3433" s="202"/>
      <c r="F3433" s="210"/>
      <c r="G3433" s="210"/>
      <c r="H3433" s="206" t="s">
        <v>121</v>
      </c>
      <c r="I3433" s="206" t="s">
        <v>121</v>
      </c>
      <c r="J3433" s="206" t="s">
        <v>121</v>
      </c>
      <c r="K3433" s="206" t="s">
        <v>121</v>
      </c>
      <c r="L3433" s="206" t="str">
        <v/>
      </c>
      <c r="M3433" s="206" t="str">
        <v/>
      </c>
    </row>
    <row r="3434" spans="1:13" ht="14.4">
      <c r="A3434" s="201"/>
      <c r="B3434" s="209"/>
      <c r="C3434" s="201"/>
      <c r="D3434" s="201"/>
      <c r="E3434" s="202"/>
      <c r="F3434" s="210"/>
      <c r="G3434" s="210"/>
      <c r="H3434" s="206" t="s">
        <v>121</v>
      </c>
      <c r="I3434" s="206" t="s">
        <v>121</v>
      </c>
      <c r="J3434" s="206" t="s">
        <v>121</v>
      </c>
      <c r="K3434" s="206" t="s">
        <v>121</v>
      </c>
      <c r="L3434" s="206" t="str">
        <v/>
      </c>
      <c r="M3434" s="206" t="str">
        <v/>
      </c>
    </row>
    <row r="3435" spans="1:13" ht="14.4">
      <c r="A3435" s="201"/>
      <c r="B3435" s="209"/>
      <c r="C3435" s="201"/>
      <c r="D3435" s="201"/>
      <c r="E3435" s="202"/>
      <c r="F3435" s="210"/>
      <c r="G3435" s="210"/>
      <c r="H3435" s="206" t="s">
        <v>121</v>
      </c>
      <c r="I3435" s="206" t="s">
        <v>121</v>
      </c>
      <c r="J3435" s="206" t="s">
        <v>121</v>
      </c>
      <c r="K3435" s="206" t="s">
        <v>121</v>
      </c>
      <c r="L3435" s="206" t="str">
        <v/>
      </c>
      <c r="M3435" s="206" t="str">
        <v/>
      </c>
    </row>
    <row r="3436" spans="1:13" ht="14.4">
      <c r="A3436" s="201"/>
      <c r="B3436" s="209"/>
      <c r="C3436" s="201"/>
      <c r="D3436" s="201"/>
      <c r="E3436" s="202"/>
      <c r="F3436" s="210"/>
      <c r="G3436" s="210"/>
      <c r="H3436" s="206" t="s">
        <v>121</v>
      </c>
      <c r="I3436" s="206" t="s">
        <v>121</v>
      </c>
      <c r="J3436" s="206" t="s">
        <v>121</v>
      </c>
      <c r="K3436" s="206" t="s">
        <v>121</v>
      </c>
      <c r="L3436" s="206" t="str">
        <v/>
      </c>
      <c r="M3436" s="206" t="str">
        <v/>
      </c>
    </row>
    <row r="3437" spans="1:13" ht="14.4">
      <c r="A3437" s="201"/>
      <c r="B3437" s="209"/>
      <c r="C3437" s="201"/>
      <c r="D3437" s="201"/>
      <c r="E3437" s="202"/>
      <c r="F3437" s="210"/>
      <c r="G3437" s="210"/>
      <c r="H3437" s="206" t="s">
        <v>121</v>
      </c>
      <c r="I3437" s="206" t="s">
        <v>121</v>
      </c>
      <c r="J3437" s="206" t="s">
        <v>121</v>
      </c>
      <c r="K3437" s="206" t="s">
        <v>121</v>
      </c>
      <c r="L3437" s="206" t="str">
        <v/>
      </c>
      <c r="M3437" s="206" t="str">
        <v/>
      </c>
    </row>
    <row r="3438" spans="1:13" ht="14.4">
      <c r="A3438" s="201"/>
      <c r="B3438" s="209"/>
      <c r="C3438" s="201"/>
      <c r="D3438" s="201"/>
      <c r="E3438" s="202"/>
      <c r="F3438" s="210"/>
      <c r="G3438" s="210"/>
      <c r="H3438" s="206" t="s">
        <v>121</v>
      </c>
      <c r="I3438" s="206" t="s">
        <v>121</v>
      </c>
      <c r="J3438" s="206" t="s">
        <v>121</v>
      </c>
      <c r="K3438" s="206" t="s">
        <v>121</v>
      </c>
      <c r="L3438" s="206" t="str">
        <v/>
      </c>
      <c r="M3438" s="206" t="str">
        <v/>
      </c>
    </row>
    <row r="3439" spans="1:13" ht="14.4">
      <c r="A3439" s="201"/>
      <c r="B3439" s="209"/>
      <c r="C3439" s="201"/>
      <c r="D3439" s="201"/>
      <c r="E3439" s="202"/>
      <c r="F3439" s="210"/>
      <c r="G3439" s="210"/>
      <c r="H3439" s="206" t="s">
        <v>121</v>
      </c>
      <c r="I3439" s="206" t="s">
        <v>121</v>
      </c>
      <c r="J3439" s="206" t="s">
        <v>121</v>
      </c>
      <c r="K3439" s="206" t="s">
        <v>121</v>
      </c>
      <c r="L3439" s="206" t="str">
        <v/>
      </c>
      <c r="M3439" s="206" t="str">
        <v/>
      </c>
    </row>
    <row r="3440" spans="1:13" ht="14.4">
      <c r="A3440" s="201"/>
      <c r="B3440" s="209"/>
      <c r="C3440" s="201"/>
      <c r="D3440" s="201"/>
      <c r="E3440" s="202"/>
      <c r="F3440" s="210"/>
      <c r="G3440" s="210"/>
      <c r="H3440" s="206" t="s">
        <v>121</v>
      </c>
      <c r="I3440" s="206" t="s">
        <v>121</v>
      </c>
      <c r="J3440" s="206" t="s">
        <v>121</v>
      </c>
      <c r="K3440" s="206" t="s">
        <v>121</v>
      </c>
      <c r="L3440" s="206" t="str">
        <v/>
      </c>
      <c r="M3440" s="206" t="str">
        <v/>
      </c>
    </row>
    <row r="3441" spans="1:13" ht="14.4">
      <c r="A3441" s="201"/>
      <c r="B3441" s="209"/>
      <c r="C3441" s="201"/>
      <c r="D3441" s="201"/>
      <c r="E3441" s="202"/>
      <c r="F3441" s="210"/>
      <c r="G3441" s="210"/>
      <c r="H3441" s="206" t="s">
        <v>121</v>
      </c>
      <c r="I3441" s="206" t="s">
        <v>121</v>
      </c>
      <c r="J3441" s="206" t="s">
        <v>121</v>
      </c>
      <c r="K3441" s="206" t="s">
        <v>121</v>
      </c>
      <c r="L3441" s="206" t="str">
        <v/>
      </c>
      <c r="M3441" s="206" t="str">
        <v/>
      </c>
    </row>
    <row r="3442" spans="1:13" ht="14.4">
      <c r="A3442" s="201"/>
      <c r="B3442" s="209"/>
      <c r="C3442" s="201"/>
      <c r="D3442" s="201"/>
      <c r="E3442" s="202"/>
      <c r="F3442" s="210"/>
      <c r="G3442" s="210"/>
      <c r="H3442" s="206" t="s">
        <v>121</v>
      </c>
      <c r="I3442" s="206" t="s">
        <v>121</v>
      </c>
      <c r="J3442" s="206" t="s">
        <v>121</v>
      </c>
      <c r="K3442" s="206" t="s">
        <v>121</v>
      </c>
      <c r="L3442" s="206" t="str">
        <v/>
      </c>
      <c r="M3442" s="206" t="str">
        <v/>
      </c>
    </row>
    <row r="3443" spans="1:13" ht="14.4">
      <c r="A3443" s="201"/>
      <c r="B3443" s="209"/>
      <c r="C3443" s="201"/>
      <c r="D3443" s="201"/>
      <c r="E3443" s="202"/>
      <c r="F3443" s="210"/>
      <c r="G3443" s="210"/>
      <c r="H3443" s="206" t="s">
        <v>121</v>
      </c>
      <c r="I3443" s="206" t="s">
        <v>121</v>
      </c>
      <c r="J3443" s="206" t="s">
        <v>121</v>
      </c>
      <c r="K3443" s="206" t="s">
        <v>121</v>
      </c>
      <c r="L3443" s="206" t="str">
        <v/>
      </c>
      <c r="M3443" s="206" t="str">
        <v/>
      </c>
    </row>
    <row r="3444" spans="1:13" ht="14.4">
      <c r="A3444" s="201"/>
      <c r="B3444" s="209"/>
      <c r="C3444" s="201"/>
      <c r="D3444" s="201"/>
      <c r="E3444" s="202"/>
      <c r="F3444" s="210"/>
      <c r="G3444" s="210"/>
      <c r="H3444" s="206" t="s">
        <v>121</v>
      </c>
      <c r="I3444" s="206" t="s">
        <v>121</v>
      </c>
      <c r="J3444" s="206" t="s">
        <v>121</v>
      </c>
      <c r="K3444" s="206" t="s">
        <v>121</v>
      </c>
      <c r="L3444" s="206" t="str">
        <v/>
      </c>
      <c r="M3444" s="206" t="str">
        <v/>
      </c>
    </row>
    <row r="3445" spans="1:13" ht="14.4">
      <c r="A3445" s="201"/>
      <c r="B3445" s="209"/>
      <c r="C3445" s="201"/>
      <c r="D3445" s="201"/>
      <c r="E3445" s="202"/>
      <c r="F3445" s="210"/>
      <c r="G3445" s="210"/>
      <c r="H3445" s="206" t="s">
        <v>121</v>
      </c>
      <c r="I3445" s="206" t="s">
        <v>121</v>
      </c>
      <c r="J3445" s="206" t="s">
        <v>121</v>
      </c>
      <c r="K3445" s="206" t="s">
        <v>121</v>
      </c>
      <c r="L3445" s="206" t="str">
        <v/>
      </c>
      <c r="M3445" s="206" t="str">
        <v/>
      </c>
    </row>
    <row r="3446" spans="1:13" ht="14.4">
      <c r="A3446" s="201"/>
      <c r="B3446" s="209"/>
      <c r="C3446" s="201"/>
      <c r="D3446" s="201"/>
      <c r="E3446" s="202"/>
      <c r="F3446" s="210"/>
      <c r="G3446" s="210"/>
      <c r="H3446" s="206" t="s">
        <v>121</v>
      </c>
      <c r="I3446" s="206" t="s">
        <v>121</v>
      </c>
      <c r="J3446" s="206" t="s">
        <v>121</v>
      </c>
      <c r="K3446" s="206" t="s">
        <v>121</v>
      </c>
      <c r="L3446" s="206" t="str">
        <v/>
      </c>
      <c r="M3446" s="206" t="str">
        <v/>
      </c>
    </row>
    <row r="3447" spans="1:13" ht="14.4">
      <c r="A3447" s="201"/>
      <c r="B3447" s="209"/>
      <c r="C3447" s="201"/>
      <c r="D3447" s="201"/>
      <c r="E3447" s="202"/>
      <c r="F3447" s="210"/>
      <c r="G3447" s="210"/>
      <c r="H3447" s="206" t="s">
        <v>121</v>
      </c>
      <c r="I3447" s="206" t="s">
        <v>121</v>
      </c>
      <c r="J3447" s="206" t="s">
        <v>121</v>
      </c>
      <c r="K3447" s="206" t="s">
        <v>121</v>
      </c>
      <c r="L3447" s="206" t="str">
        <v/>
      </c>
      <c r="M3447" s="206" t="str">
        <v/>
      </c>
    </row>
    <row r="3448" spans="1:13" ht="14.4">
      <c r="A3448" s="201"/>
      <c r="B3448" s="209"/>
      <c r="C3448" s="201"/>
      <c r="D3448" s="201"/>
      <c r="E3448" s="202"/>
      <c r="F3448" s="210"/>
      <c r="G3448" s="210"/>
      <c r="H3448" s="206" t="s">
        <v>121</v>
      </c>
      <c r="I3448" s="206" t="s">
        <v>121</v>
      </c>
      <c r="J3448" s="206" t="s">
        <v>121</v>
      </c>
      <c r="K3448" s="206" t="s">
        <v>121</v>
      </c>
      <c r="L3448" s="206" t="str">
        <v/>
      </c>
      <c r="M3448" s="206" t="str">
        <v/>
      </c>
    </row>
    <row r="3449" spans="1:13" ht="14.4">
      <c r="A3449" s="201"/>
      <c r="B3449" s="209"/>
      <c r="C3449" s="201"/>
      <c r="D3449" s="201"/>
      <c r="E3449" s="202"/>
      <c r="F3449" s="210"/>
      <c r="G3449" s="210"/>
      <c r="H3449" s="206" t="s">
        <v>121</v>
      </c>
      <c r="I3449" s="206" t="s">
        <v>121</v>
      </c>
      <c r="J3449" s="206" t="s">
        <v>121</v>
      </c>
      <c r="K3449" s="206" t="s">
        <v>121</v>
      </c>
      <c r="L3449" s="206" t="str">
        <v/>
      </c>
      <c r="M3449" s="206" t="str">
        <v/>
      </c>
    </row>
    <row r="3450" spans="1:13" ht="14.4">
      <c r="A3450" s="201"/>
      <c r="B3450" s="209"/>
      <c r="C3450" s="201"/>
      <c r="D3450" s="201"/>
      <c r="E3450" s="202"/>
      <c r="F3450" s="210"/>
      <c r="G3450" s="210"/>
      <c r="H3450" s="206" t="s">
        <v>121</v>
      </c>
      <c r="I3450" s="206" t="s">
        <v>121</v>
      </c>
      <c r="J3450" s="206" t="s">
        <v>121</v>
      </c>
      <c r="K3450" s="206" t="s">
        <v>121</v>
      </c>
      <c r="L3450" s="206" t="str">
        <v/>
      </c>
      <c r="M3450" s="206" t="str">
        <v/>
      </c>
    </row>
    <row r="3451" spans="1:13" ht="14.4">
      <c r="A3451" s="201"/>
      <c r="B3451" s="209"/>
      <c r="C3451" s="201"/>
      <c r="D3451" s="201"/>
      <c r="E3451" s="202"/>
      <c r="F3451" s="210"/>
      <c r="G3451" s="210"/>
      <c r="H3451" s="206" t="s">
        <v>121</v>
      </c>
      <c r="I3451" s="206" t="s">
        <v>121</v>
      </c>
      <c r="J3451" s="206" t="s">
        <v>121</v>
      </c>
      <c r="K3451" s="206" t="s">
        <v>121</v>
      </c>
      <c r="L3451" s="206" t="str">
        <v/>
      </c>
      <c r="M3451" s="206" t="str">
        <v/>
      </c>
    </row>
    <row r="3452" spans="1:13" ht="14.4">
      <c r="A3452" s="201"/>
      <c r="B3452" s="209"/>
      <c r="C3452" s="201"/>
      <c r="D3452" s="201"/>
      <c r="E3452" s="202"/>
      <c r="F3452" s="210"/>
      <c r="G3452" s="210"/>
      <c r="H3452" s="206" t="s">
        <v>121</v>
      </c>
      <c r="I3452" s="206" t="s">
        <v>121</v>
      </c>
      <c r="J3452" s="206" t="s">
        <v>121</v>
      </c>
      <c r="K3452" s="206" t="s">
        <v>121</v>
      </c>
      <c r="L3452" s="206" t="str">
        <v/>
      </c>
      <c r="M3452" s="206" t="str">
        <v/>
      </c>
    </row>
    <row r="3453" spans="1:13" ht="14.4">
      <c r="A3453" s="201"/>
      <c r="B3453" s="209"/>
      <c r="C3453" s="201"/>
      <c r="D3453" s="201"/>
      <c r="E3453" s="202"/>
      <c r="F3453" s="210"/>
      <c r="G3453" s="210"/>
      <c r="H3453" s="206" t="s">
        <v>121</v>
      </c>
      <c r="I3453" s="206" t="s">
        <v>121</v>
      </c>
      <c r="J3453" s="206" t="s">
        <v>121</v>
      </c>
      <c r="K3453" s="206" t="s">
        <v>121</v>
      </c>
      <c r="L3453" s="206" t="str">
        <v/>
      </c>
      <c r="M3453" s="206" t="str">
        <v/>
      </c>
    </row>
    <row r="3454" spans="1:13" ht="14.4">
      <c r="A3454" s="201"/>
      <c r="B3454" s="209"/>
      <c r="C3454" s="201"/>
      <c r="D3454" s="201"/>
      <c r="E3454" s="202"/>
      <c r="F3454" s="210"/>
      <c r="G3454" s="210"/>
      <c r="H3454" s="206" t="s">
        <v>121</v>
      </c>
      <c r="I3454" s="206" t="s">
        <v>121</v>
      </c>
      <c r="J3454" s="206" t="s">
        <v>121</v>
      </c>
      <c r="K3454" s="206" t="s">
        <v>121</v>
      </c>
      <c r="L3454" s="206" t="str">
        <v/>
      </c>
      <c r="M3454" s="206" t="str">
        <v/>
      </c>
    </row>
    <row r="3455" spans="1:13" ht="14.4">
      <c r="A3455" s="201"/>
      <c r="B3455" s="209"/>
      <c r="C3455" s="201"/>
      <c r="D3455" s="201"/>
      <c r="E3455" s="202"/>
      <c r="F3455" s="210"/>
      <c r="G3455" s="210"/>
      <c r="H3455" s="206" t="s">
        <v>121</v>
      </c>
      <c r="I3455" s="206" t="s">
        <v>121</v>
      </c>
      <c r="J3455" s="206" t="s">
        <v>121</v>
      </c>
      <c r="K3455" s="206" t="s">
        <v>121</v>
      </c>
      <c r="L3455" s="206" t="str">
        <v/>
      </c>
      <c r="M3455" s="206" t="str">
        <v/>
      </c>
    </row>
    <row r="3456" spans="1:13" ht="14.4">
      <c r="A3456" s="201"/>
      <c r="B3456" s="209"/>
      <c r="C3456" s="201"/>
      <c r="D3456" s="201"/>
      <c r="E3456" s="202"/>
      <c r="F3456" s="210"/>
      <c r="G3456" s="210"/>
      <c r="H3456" s="206" t="s">
        <v>121</v>
      </c>
      <c r="I3456" s="206" t="s">
        <v>121</v>
      </c>
      <c r="J3456" s="206" t="s">
        <v>121</v>
      </c>
      <c r="K3456" s="206" t="s">
        <v>121</v>
      </c>
      <c r="L3456" s="206" t="str">
        <v/>
      </c>
      <c r="M3456" s="206" t="str">
        <v/>
      </c>
    </row>
    <row r="3457" spans="1:13" ht="14.4">
      <c r="A3457" s="201"/>
      <c r="B3457" s="209"/>
      <c r="C3457" s="201"/>
      <c r="D3457" s="201"/>
      <c r="E3457" s="202"/>
      <c r="F3457" s="210"/>
      <c r="G3457" s="210"/>
      <c r="H3457" s="206" t="s">
        <v>121</v>
      </c>
      <c r="I3457" s="206" t="s">
        <v>121</v>
      </c>
      <c r="J3457" s="206" t="s">
        <v>121</v>
      </c>
      <c r="K3457" s="206" t="s">
        <v>121</v>
      </c>
      <c r="L3457" s="206" t="str">
        <v/>
      </c>
      <c r="M3457" s="206" t="str">
        <v/>
      </c>
    </row>
    <row r="3458" spans="1:13" ht="14.4">
      <c r="A3458" s="201"/>
      <c r="B3458" s="209"/>
      <c r="C3458" s="201"/>
      <c r="D3458" s="201"/>
      <c r="E3458" s="202"/>
      <c r="F3458" s="210"/>
      <c r="G3458" s="210"/>
      <c r="H3458" s="206" t="s">
        <v>121</v>
      </c>
      <c r="I3458" s="206" t="s">
        <v>121</v>
      </c>
      <c r="J3458" s="206" t="s">
        <v>121</v>
      </c>
      <c r="K3458" s="206" t="s">
        <v>121</v>
      </c>
      <c r="L3458" s="206" t="str">
        <v/>
      </c>
      <c r="M3458" s="206" t="str">
        <v/>
      </c>
    </row>
    <row r="3459" spans="1:13" ht="14.4">
      <c r="A3459" s="201"/>
      <c r="B3459" s="209"/>
      <c r="C3459" s="201"/>
      <c r="D3459" s="201"/>
      <c r="E3459" s="202"/>
      <c r="F3459" s="210"/>
      <c r="G3459" s="210"/>
      <c r="H3459" s="206" t="s">
        <v>121</v>
      </c>
      <c r="I3459" s="206" t="s">
        <v>121</v>
      </c>
      <c r="J3459" s="206" t="s">
        <v>121</v>
      </c>
      <c r="K3459" s="206" t="s">
        <v>121</v>
      </c>
      <c r="L3459" s="206" t="str">
        <v/>
      </c>
      <c r="M3459" s="206" t="str">
        <v/>
      </c>
    </row>
    <row r="3460" spans="1:13" ht="14.4">
      <c r="A3460" s="201"/>
      <c r="B3460" s="209"/>
      <c r="C3460" s="201"/>
      <c r="D3460" s="201"/>
      <c r="E3460" s="202"/>
      <c r="F3460" s="210"/>
      <c r="G3460" s="210"/>
      <c r="H3460" s="206" t="s">
        <v>121</v>
      </c>
      <c r="I3460" s="206" t="s">
        <v>121</v>
      </c>
      <c r="J3460" s="206" t="s">
        <v>121</v>
      </c>
      <c r="K3460" s="206" t="s">
        <v>121</v>
      </c>
      <c r="L3460" s="206" t="str">
        <v/>
      </c>
      <c r="M3460" s="206" t="str">
        <v/>
      </c>
    </row>
    <row r="3461" spans="1:13" ht="14.4">
      <c r="A3461" s="201"/>
      <c r="B3461" s="209"/>
      <c r="C3461" s="201"/>
      <c r="D3461" s="201"/>
      <c r="E3461" s="202"/>
      <c r="F3461" s="210"/>
      <c r="G3461" s="210"/>
      <c r="H3461" s="206" t="s">
        <v>121</v>
      </c>
      <c r="I3461" s="206" t="s">
        <v>121</v>
      </c>
      <c r="J3461" s="206" t="s">
        <v>121</v>
      </c>
      <c r="K3461" s="206" t="s">
        <v>121</v>
      </c>
      <c r="L3461" s="206" t="str">
        <v/>
      </c>
      <c r="M3461" s="206" t="str">
        <v/>
      </c>
    </row>
    <row r="3462" spans="1:13" ht="14.4">
      <c r="A3462" s="201"/>
      <c r="B3462" s="209"/>
      <c r="C3462" s="201"/>
      <c r="D3462" s="201"/>
      <c r="E3462" s="202"/>
      <c r="F3462" s="210"/>
      <c r="G3462" s="210"/>
      <c r="H3462" s="206" t="s">
        <v>121</v>
      </c>
      <c r="I3462" s="206" t="s">
        <v>121</v>
      </c>
      <c r="J3462" s="206" t="s">
        <v>121</v>
      </c>
      <c r="K3462" s="206" t="s">
        <v>121</v>
      </c>
      <c r="L3462" s="206" t="str">
        <v/>
      </c>
      <c r="M3462" s="206" t="str">
        <v/>
      </c>
    </row>
    <row r="3463" spans="1:13" ht="14.4">
      <c r="A3463" s="201"/>
      <c r="B3463" s="209"/>
      <c r="C3463" s="201"/>
      <c r="D3463" s="201"/>
      <c r="E3463" s="202"/>
      <c r="F3463" s="210"/>
      <c r="G3463" s="210"/>
      <c r="H3463" s="206" t="s">
        <v>121</v>
      </c>
      <c r="I3463" s="206" t="s">
        <v>121</v>
      </c>
      <c r="J3463" s="206" t="s">
        <v>121</v>
      </c>
      <c r="K3463" s="206" t="s">
        <v>121</v>
      </c>
      <c r="L3463" s="206" t="str">
        <v/>
      </c>
      <c r="M3463" s="206" t="str">
        <v/>
      </c>
    </row>
    <row r="3464" spans="1:13" ht="14.4">
      <c r="A3464" s="201"/>
      <c r="B3464" s="209"/>
      <c r="C3464" s="201"/>
      <c r="D3464" s="201"/>
      <c r="E3464" s="202"/>
      <c r="F3464" s="210"/>
      <c r="G3464" s="210"/>
      <c r="H3464" s="206" t="s">
        <v>121</v>
      </c>
      <c r="I3464" s="206" t="s">
        <v>121</v>
      </c>
      <c r="J3464" s="206" t="s">
        <v>121</v>
      </c>
      <c r="K3464" s="206" t="s">
        <v>121</v>
      </c>
      <c r="L3464" s="206" t="str">
        <v/>
      </c>
      <c r="M3464" s="206" t="str">
        <v/>
      </c>
    </row>
    <row r="3465" spans="1:13" ht="14.4">
      <c r="A3465" s="201"/>
      <c r="B3465" s="209"/>
      <c r="C3465" s="201"/>
      <c r="D3465" s="201"/>
      <c r="E3465" s="202"/>
      <c r="F3465" s="210"/>
      <c r="G3465" s="210"/>
      <c r="H3465" s="206" t="s">
        <v>121</v>
      </c>
      <c r="I3465" s="206" t="s">
        <v>121</v>
      </c>
      <c r="J3465" s="206" t="s">
        <v>121</v>
      </c>
      <c r="K3465" s="206" t="s">
        <v>121</v>
      </c>
      <c r="L3465" s="206" t="str">
        <v/>
      </c>
      <c r="M3465" s="206" t="str">
        <v/>
      </c>
    </row>
    <row r="3466" spans="1:13" ht="14.4">
      <c r="A3466" s="201"/>
      <c r="B3466" s="209"/>
      <c r="C3466" s="201"/>
      <c r="D3466" s="201"/>
      <c r="E3466" s="202"/>
      <c r="F3466" s="210"/>
      <c r="G3466" s="210"/>
      <c r="H3466" s="206" t="s">
        <v>121</v>
      </c>
      <c r="I3466" s="206" t="s">
        <v>121</v>
      </c>
      <c r="J3466" s="206" t="s">
        <v>121</v>
      </c>
      <c r="K3466" s="206" t="s">
        <v>121</v>
      </c>
      <c r="L3466" s="206" t="str">
        <v/>
      </c>
      <c r="M3466" s="206" t="str">
        <v/>
      </c>
    </row>
    <row r="3467" spans="1:13" ht="14.4">
      <c r="A3467" s="201"/>
      <c r="B3467" s="209"/>
      <c r="C3467" s="201"/>
      <c r="D3467" s="201"/>
      <c r="E3467" s="202"/>
      <c r="F3467" s="210"/>
      <c r="G3467" s="210"/>
      <c r="H3467" s="206" t="s">
        <v>121</v>
      </c>
      <c r="I3467" s="206" t="s">
        <v>121</v>
      </c>
      <c r="J3467" s="206" t="s">
        <v>121</v>
      </c>
      <c r="K3467" s="206" t="s">
        <v>121</v>
      </c>
      <c r="L3467" s="206" t="str">
        <v/>
      </c>
      <c r="M3467" s="206" t="str">
        <v/>
      </c>
    </row>
    <row r="3468" spans="1:13" ht="14.4">
      <c r="A3468" s="201"/>
      <c r="B3468" s="209"/>
      <c r="C3468" s="201"/>
      <c r="D3468" s="201"/>
      <c r="E3468" s="202"/>
      <c r="F3468" s="210"/>
      <c r="G3468" s="210"/>
      <c r="H3468" s="206" t="s">
        <v>121</v>
      </c>
      <c r="I3468" s="206" t="s">
        <v>121</v>
      </c>
      <c r="J3468" s="206" t="s">
        <v>121</v>
      </c>
      <c r="K3468" s="206" t="s">
        <v>121</v>
      </c>
      <c r="L3468" s="206" t="str">
        <v/>
      </c>
      <c r="M3468" s="206" t="str">
        <v/>
      </c>
    </row>
    <row r="3469" spans="1:13" ht="14.4">
      <c r="A3469" s="201"/>
      <c r="B3469" s="209"/>
      <c r="C3469" s="201"/>
      <c r="D3469" s="201"/>
      <c r="E3469" s="202"/>
      <c r="F3469" s="210"/>
      <c r="G3469" s="210"/>
      <c r="H3469" s="206" t="s">
        <v>121</v>
      </c>
      <c r="I3469" s="206" t="s">
        <v>121</v>
      </c>
      <c r="J3469" s="206" t="s">
        <v>121</v>
      </c>
      <c r="K3469" s="206" t="s">
        <v>121</v>
      </c>
      <c r="L3469" s="206" t="str">
        <v/>
      </c>
      <c r="M3469" s="206" t="str">
        <v/>
      </c>
    </row>
    <row r="3470" spans="1:13" ht="14.4">
      <c r="A3470" s="201"/>
      <c r="B3470" s="209"/>
      <c r="C3470" s="201"/>
      <c r="D3470" s="201"/>
      <c r="E3470" s="202"/>
      <c r="F3470" s="210"/>
      <c r="G3470" s="210"/>
      <c r="H3470" s="206" t="s">
        <v>121</v>
      </c>
      <c r="I3470" s="206" t="s">
        <v>121</v>
      </c>
      <c r="J3470" s="206" t="s">
        <v>121</v>
      </c>
      <c r="K3470" s="206" t="s">
        <v>121</v>
      </c>
      <c r="L3470" s="206" t="str">
        <v/>
      </c>
      <c r="M3470" s="206" t="str">
        <v/>
      </c>
    </row>
    <row r="3471" spans="1:13" ht="14.4">
      <c r="A3471" s="201"/>
      <c r="B3471" s="209"/>
      <c r="C3471" s="201"/>
      <c r="D3471" s="201"/>
      <c r="E3471" s="202"/>
      <c r="F3471" s="210"/>
      <c r="G3471" s="210"/>
      <c r="H3471" s="206" t="s">
        <v>121</v>
      </c>
      <c r="I3471" s="206" t="s">
        <v>121</v>
      </c>
      <c r="J3471" s="206" t="s">
        <v>121</v>
      </c>
      <c r="K3471" s="206" t="s">
        <v>121</v>
      </c>
      <c r="L3471" s="206" t="str">
        <v/>
      </c>
      <c r="M3471" s="206" t="str">
        <v/>
      </c>
    </row>
    <row r="3472" spans="1:13" ht="14.4">
      <c r="A3472" s="201"/>
      <c r="B3472" s="209"/>
      <c r="C3472" s="201"/>
      <c r="D3472" s="201"/>
      <c r="E3472" s="202"/>
      <c r="F3472" s="210"/>
      <c r="G3472" s="210"/>
      <c r="H3472" s="206" t="s">
        <v>121</v>
      </c>
      <c r="I3472" s="206" t="s">
        <v>121</v>
      </c>
      <c r="J3472" s="206" t="s">
        <v>121</v>
      </c>
      <c r="K3472" s="206" t="s">
        <v>121</v>
      </c>
      <c r="L3472" s="206" t="str">
        <v/>
      </c>
      <c r="M3472" s="206" t="str">
        <v/>
      </c>
    </row>
    <row r="3473" spans="1:13" ht="14.4">
      <c r="A3473" s="201"/>
      <c r="B3473" s="209"/>
      <c r="C3473" s="201"/>
      <c r="D3473" s="201"/>
      <c r="E3473" s="202"/>
      <c r="F3473" s="210"/>
      <c r="G3473" s="210"/>
      <c r="H3473" s="206" t="s">
        <v>121</v>
      </c>
      <c r="I3473" s="206" t="s">
        <v>121</v>
      </c>
      <c r="J3473" s="206" t="s">
        <v>121</v>
      </c>
      <c r="K3473" s="206" t="s">
        <v>121</v>
      </c>
      <c r="L3473" s="206" t="str">
        <v/>
      </c>
      <c r="M3473" s="206" t="str">
        <v/>
      </c>
    </row>
    <row r="3474" spans="1:13" ht="14.4">
      <c r="A3474" s="201"/>
      <c r="B3474" s="209"/>
      <c r="C3474" s="201"/>
      <c r="D3474" s="201"/>
      <c r="E3474" s="202"/>
      <c r="F3474" s="210"/>
      <c r="G3474" s="210"/>
      <c r="H3474" s="206" t="s">
        <v>121</v>
      </c>
      <c r="I3474" s="206" t="s">
        <v>121</v>
      </c>
      <c r="J3474" s="206" t="s">
        <v>121</v>
      </c>
      <c r="K3474" s="206" t="s">
        <v>121</v>
      </c>
      <c r="L3474" s="206" t="str">
        <v/>
      </c>
      <c r="M3474" s="206" t="str">
        <v/>
      </c>
    </row>
    <row r="3475" spans="1:13" ht="14.4">
      <c r="A3475" s="201"/>
      <c r="B3475" s="209"/>
      <c r="C3475" s="201"/>
      <c r="D3475" s="201"/>
      <c r="E3475" s="202"/>
      <c r="F3475" s="210"/>
      <c r="G3475" s="210"/>
      <c r="H3475" s="206" t="s">
        <v>121</v>
      </c>
      <c r="I3475" s="206" t="s">
        <v>121</v>
      </c>
      <c r="J3475" s="206" t="s">
        <v>121</v>
      </c>
      <c r="K3475" s="206" t="s">
        <v>121</v>
      </c>
      <c r="L3475" s="206" t="str">
        <v/>
      </c>
      <c r="M3475" s="206" t="str">
        <v/>
      </c>
    </row>
    <row r="3476" spans="1:13" ht="14.4">
      <c r="A3476" s="201"/>
      <c r="B3476" s="209"/>
      <c r="C3476" s="201"/>
      <c r="D3476" s="201"/>
      <c r="E3476" s="202"/>
      <c r="F3476" s="210"/>
      <c r="G3476" s="210"/>
      <c r="H3476" s="206" t="s">
        <v>121</v>
      </c>
      <c r="I3476" s="206" t="s">
        <v>121</v>
      </c>
      <c r="J3476" s="206" t="s">
        <v>121</v>
      </c>
      <c r="K3476" s="206" t="s">
        <v>121</v>
      </c>
      <c r="L3476" s="206" t="str">
        <v/>
      </c>
      <c r="M3476" s="206" t="str">
        <v/>
      </c>
    </row>
    <row r="3477" spans="1:13" ht="14.4">
      <c r="A3477" s="201"/>
      <c r="B3477" s="209"/>
      <c r="C3477" s="201"/>
      <c r="D3477" s="201"/>
      <c r="E3477" s="202"/>
      <c r="F3477" s="210"/>
      <c r="G3477" s="210"/>
      <c r="H3477" s="206" t="s">
        <v>121</v>
      </c>
      <c r="I3477" s="206" t="s">
        <v>121</v>
      </c>
      <c r="J3477" s="206" t="s">
        <v>121</v>
      </c>
      <c r="K3477" s="206" t="s">
        <v>121</v>
      </c>
      <c r="L3477" s="206" t="str">
        <v/>
      </c>
      <c r="M3477" s="206" t="str">
        <v/>
      </c>
    </row>
    <row r="3478" spans="1:13" ht="14.4">
      <c r="A3478" s="201"/>
      <c r="B3478" s="209"/>
      <c r="C3478" s="201"/>
      <c r="D3478" s="201"/>
      <c r="E3478" s="202"/>
      <c r="F3478" s="210"/>
      <c r="G3478" s="210"/>
      <c r="H3478" s="206" t="s">
        <v>121</v>
      </c>
      <c r="I3478" s="206" t="s">
        <v>121</v>
      </c>
      <c r="J3478" s="206" t="s">
        <v>121</v>
      </c>
      <c r="K3478" s="206" t="s">
        <v>121</v>
      </c>
      <c r="L3478" s="206" t="str">
        <v/>
      </c>
      <c r="M3478" s="206" t="str">
        <v/>
      </c>
    </row>
    <row r="3479" spans="1:13" ht="14.4">
      <c r="A3479" s="201"/>
      <c r="B3479" s="209"/>
      <c r="C3479" s="201"/>
      <c r="D3479" s="201"/>
      <c r="E3479" s="202"/>
      <c r="F3479" s="210"/>
      <c r="G3479" s="210"/>
      <c r="H3479" s="206" t="s">
        <v>121</v>
      </c>
      <c r="I3479" s="206" t="s">
        <v>121</v>
      </c>
      <c r="J3479" s="206" t="s">
        <v>121</v>
      </c>
      <c r="K3479" s="206" t="s">
        <v>121</v>
      </c>
      <c r="L3479" s="206" t="str">
        <v/>
      </c>
      <c r="M3479" s="206" t="str">
        <v/>
      </c>
    </row>
    <row r="3480" spans="1:13" ht="14.4">
      <c r="A3480" s="201"/>
      <c r="B3480" s="209"/>
      <c r="C3480" s="201"/>
      <c r="D3480" s="201"/>
      <c r="E3480" s="202"/>
      <c r="F3480" s="210"/>
      <c r="G3480" s="210"/>
      <c r="H3480" s="206" t="s">
        <v>121</v>
      </c>
      <c r="I3480" s="206" t="s">
        <v>121</v>
      </c>
      <c r="J3480" s="206" t="s">
        <v>121</v>
      </c>
      <c r="K3480" s="206" t="s">
        <v>121</v>
      </c>
      <c r="L3480" s="206" t="str">
        <v/>
      </c>
      <c r="M3480" s="206" t="str">
        <v/>
      </c>
    </row>
    <row r="3481" spans="1:13" ht="14.4">
      <c r="A3481" s="201"/>
      <c r="B3481" s="209"/>
      <c r="C3481" s="201"/>
      <c r="D3481" s="201"/>
      <c r="E3481" s="202"/>
      <c r="F3481" s="210"/>
      <c r="G3481" s="210"/>
      <c r="H3481" s="206" t="s">
        <v>121</v>
      </c>
      <c r="I3481" s="206" t="s">
        <v>121</v>
      </c>
      <c r="J3481" s="206" t="s">
        <v>121</v>
      </c>
      <c r="K3481" s="206" t="s">
        <v>121</v>
      </c>
      <c r="L3481" s="206" t="str">
        <v/>
      </c>
      <c r="M3481" s="206" t="str">
        <v/>
      </c>
    </row>
    <row r="3482" spans="1:13" ht="14.4">
      <c r="A3482" s="201"/>
      <c r="B3482" s="209"/>
      <c r="C3482" s="201"/>
      <c r="D3482" s="201"/>
      <c r="E3482" s="202"/>
      <c r="F3482" s="210"/>
      <c r="G3482" s="210"/>
      <c r="H3482" s="206" t="s">
        <v>121</v>
      </c>
      <c r="I3482" s="206" t="s">
        <v>121</v>
      </c>
      <c r="J3482" s="206" t="s">
        <v>121</v>
      </c>
      <c r="K3482" s="206" t="s">
        <v>121</v>
      </c>
      <c r="L3482" s="206" t="str">
        <v/>
      </c>
      <c r="M3482" s="206" t="str">
        <v/>
      </c>
    </row>
    <row r="3483" spans="1:13" ht="14.4">
      <c r="A3483" s="201"/>
      <c r="B3483" s="209"/>
      <c r="C3483" s="201"/>
      <c r="D3483" s="201"/>
      <c r="E3483" s="202"/>
      <c r="F3483" s="210"/>
      <c r="G3483" s="210"/>
      <c r="H3483" s="206" t="s">
        <v>121</v>
      </c>
      <c r="I3483" s="206" t="s">
        <v>121</v>
      </c>
      <c r="J3483" s="206" t="s">
        <v>121</v>
      </c>
      <c r="K3483" s="206" t="s">
        <v>121</v>
      </c>
      <c r="L3483" s="206" t="str">
        <v/>
      </c>
      <c r="M3483" s="206" t="str">
        <v/>
      </c>
    </row>
    <row r="3484" spans="1:13" ht="14.4">
      <c r="A3484" s="201"/>
      <c r="B3484" s="209"/>
      <c r="C3484" s="201"/>
      <c r="D3484" s="201"/>
      <c r="E3484" s="202"/>
      <c r="F3484" s="210"/>
      <c r="G3484" s="210"/>
      <c r="H3484" s="206" t="s">
        <v>121</v>
      </c>
      <c r="I3484" s="206" t="s">
        <v>121</v>
      </c>
      <c r="J3484" s="206" t="s">
        <v>121</v>
      </c>
      <c r="K3484" s="206" t="s">
        <v>121</v>
      </c>
      <c r="L3484" s="206" t="str">
        <v/>
      </c>
      <c r="M3484" s="206" t="str">
        <v/>
      </c>
    </row>
    <row r="3485" spans="1:13" ht="14.4">
      <c r="A3485" s="201"/>
      <c r="B3485" s="209"/>
      <c r="C3485" s="201"/>
      <c r="D3485" s="201"/>
      <c r="E3485" s="202"/>
      <c r="F3485" s="210"/>
      <c r="G3485" s="210"/>
      <c r="H3485" s="206" t="s">
        <v>121</v>
      </c>
      <c r="I3485" s="206" t="s">
        <v>121</v>
      </c>
      <c r="J3485" s="206" t="s">
        <v>121</v>
      </c>
      <c r="K3485" s="206" t="s">
        <v>121</v>
      </c>
      <c r="L3485" s="206" t="str">
        <v/>
      </c>
      <c r="M3485" s="206" t="str">
        <v/>
      </c>
    </row>
    <row r="3486" spans="1:13" ht="14.4">
      <c r="A3486" s="201"/>
      <c r="B3486" s="209"/>
      <c r="C3486" s="201"/>
      <c r="D3486" s="201"/>
      <c r="E3486" s="202"/>
      <c r="F3486" s="210"/>
      <c r="G3486" s="210"/>
      <c r="H3486" s="206" t="s">
        <v>121</v>
      </c>
      <c r="I3486" s="206" t="s">
        <v>121</v>
      </c>
      <c r="J3486" s="206" t="s">
        <v>121</v>
      </c>
      <c r="K3486" s="206" t="s">
        <v>121</v>
      </c>
      <c r="L3486" s="206" t="str">
        <v/>
      </c>
      <c r="M3486" s="206" t="str">
        <v/>
      </c>
    </row>
    <row r="3487" spans="1:13" ht="14.4">
      <c r="A3487" s="201"/>
      <c r="B3487" s="209"/>
      <c r="C3487" s="201"/>
      <c r="D3487" s="201"/>
      <c r="E3487" s="202"/>
      <c r="F3487" s="210"/>
      <c r="G3487" s="210"/>
      <c r="H3487" s="206" t="s">
        <v>121</v>
      </c>
      <c r="I3487" s="206" t="s">
        <v>121</v>
      </c>
      <c r="J3487" s="206" t="s">
        <v>121</v>
      </c>
      <c r="K3487" s="206" t="s">
        <v>121</v>
      </c>
      <c r="L3487" s="206" t="str">
        <v/>
      </c>
      <c r="M3487" s="206" t="str">
        <v/>
      </c>
    </row>
    <row r="3488" spans="1:13" ht="14.4">
      <c r="A3488" s="201"/>
      <c r="B3488" s="209"/>
      <c r="C3488" s="201"/>
      <c r="D3488" s="201"/>
      <c r="E3488" s="202"/>
      <c r="F3488" s="210"/>
      <c r="G3488" s="210"/>
      <c r="H3488" s="206" t="s">
        <v>121</v>
      </c>
      <c r="I3488" s="206" t="s">
        <v>121</v>
      </c>
      <c r="J3488" s="206" t="s">
        <v>121</v>
      </c>
      <c r="K3488" s="206" t="s">
        <v>121</v>
      </c>
      <c r="L3488" s="206" t="str">
        <v/>
      </c>
      <c r="M3488" s="206" t="str">
        <v/>
      </c>
    </row>
    <row r="3489" spans="1:13" ht="14.4">
      <c r="A3489" s="201"/>
      <c r="B3489" s="209"/>
      <c r="C3489" s="201"/>
      <c r="D3489" s="201"/>
      <c r="E3489" s="202"/>
      <c r="F3489" s="210"/>
      <c r="G3489" s="210"/>
      <c r="H3489" s="206" t="s">
        <v>121</v>
      </c>
      <c r="I3489" s="206" t="s">
        <v>121</v>
      </c>
      <c r="J3489" s="206" t="s">
        <v>121</v>
      </c>
      <c r="K3489" s="206" t="s">
        <v>121</v>
      </c>
      <c r="L3489" s="206" t="str">
        <v/>
      </c>
      <c r="M3489" s="206" t="str">
        <v/>
      </c>
    </row>
    <row r="3490" spans="1:13" ht="14.4">
      <c r="A3490" s="201"/>
      <c r="B3490" s="209"/>
      <c r="C3490" s="201"/>
      <c r="D3490" s="201"/>
      <c r="E3490" s="202"/>
      <c r="F3490" s="210"/>
      <c r="G3490" s="210"/>
      <c r="H3490" s="206" t="s">
        <v>121</v>
      </c>
      <c r="I3490" s="206" t="s">
        <v>121</v>
      </c>
      <c r="J3490" s="206" t="s">
        <v>121</v>
      </c>
      <c r="K3490" s="206" t="s">
        <v>121</v>
      </c>
      <c r="L3490" s="206" t="str">
        <v/>
      </c>
      <c r="M3490" s="206" t="str">
        <v/>
      </c>
    </row>
    <row r="3491" spans="1:13" ht="14.4">
      <c r="A3491" s="201"/>
      <c r="B3491" s="209"/>
      <c r="C3491" s="201"/>
      <c r="D3491" s="201"/>
      <c r="E3491" s="202"/>
      <c r="F3491" s="210"/>
      <c r="G3491" s="210"/>
      <c r="H3491" s="206" t="s">
        <v>121</v>
      </c>
      <c r="I3491" s="206" t="s">
        <v>121</v>
      </c>
      <c r="J3491" s="206" t="s">
        <v>121</v>
      </c>
      <c r="K3491" s="206" t="s">
        <v>121</v>
      </c>
      <c r="L3491" s="206" t="str">
        <v/>
      </c>
      <c r="M3491" s="206" t="str">
        <v/>
      </c>
    </row>
    <row r="3492" spans="1:13" ht="14.4">
      <c r="A3492" s="201"/>
      <c r="B3492" s="209"/>
      <c r="C3492" s="201"/>
      <c r="D3492" s="201"/>
      <c r="E3492" s="202"/>
      <c r="F3492" s="210"/>
      <c r="G3492" s="210"/>
      <c r="H3492" s="206" t="s">
        <v>121</v>
      </c>
      <c r="I3492" s="206" t="s">
        <v>121</v>
      </c>
      <c r="J3492" s="206" t="s">
        <v>121</v>
      </c>
      <c r="K3492" s="206" t="s">
        <v>121</v>
      </c>
      <c r="L3492" s="206" t="str">
        <v/>
      </c>
      <c r="M3492" s="206" t="str">
        <v/>
      </c>
    </row>
    <row r="3493" spans="1:13" ht="14.4">
      <c r="A3493" s="201"/>
      <c r="B3493" s="209"/>
      <c r="C3493" s="201"/>
      <c r="D3493" s="201"/>
      <c r="E3493" s="202"/>
      <c r="F3493" s="210"/>
      <c r="G3493" s="210"/>
      <c r="H3493" s="206" t="s">
        <v>121</v>
      </c>
      <c r="I3493" s="206" t="s">
        <v>121</v>
      </c>
      <c r="J3493" s="206" t="s">
        <v>121</v>
      </c>
      <c r="K3493" s="206" t="s">
        <v>121</v>
      </c>
      <c r="L3493" s="206" t="str">
        <v/>
      </c>
      <c r="M3493" s="206" t="str">
        <v/>
      </c>
    </row>
    <row r="3494" spans="1:13" ht="14.4">
      <c r="A3494" s="201"/>
      <c r="B3494" s="209"/>
      <c r="C3494" s="201"/>
      <c r="D3494" s="201"/>
      <c r="E3494" s="202"/>
      <c r="F3494" s="210"/>
      <c r="G3494" s="210"/>
      <c r="H3494" s="206" t="s">
        <v>121</v>
      </c>
      <c r="I3494" s="206" t="s">
        <v>121</v>
      </c>
      <c r="J3494" s="206" t="s">
        <v>121</v>
      </c>
      <c r="K3494" s="206" t="s">
        <v>121</v>
      </c>
      <c r="L3494" s="206" t="str">
        <v/>
      </c>
      <c r="M3494" s="206" t="str">
        <v/>
      </c>
    </row>
    <row r="3495" spans="1:13" ht="14.4">
      <c r="A3495" s="201"/>
      <c r="B3495" s="209"/>
      <c r="C3495" s="201"/>
      <c r="D3495" s="201"/>
      <c r="E3495" s="202"/>
      <c r="F3495" s="210"/>
      <c r="G3495" s="210"/>
      <c r="H3495" s="206" t="s">
        <v>121</v>
      </c>
      <c r="I3495" s="206" t="s">
        <v>121</v>
      </c>
      <c r="J3495" s="206" t="s">
        <v>121</v>
      </c>
      <c r="K3495" s="206" t="s">
        <v>121</v>
      </c>
      <c r="L3495" s="206" t="str">
        <v/>
      </c>
      <c r="M3495" s="206" t="str">
        <v/>
      </c>
    </row>
    <row r="3496" spans="1:13" ht="14.4">
      <c r="A3496" s="201"/>
      <c r="B3496" s="209"/>
      <c r="C3496" s="201"/>
      <c r="D3496" s="201"/>
      <c r="E3496" s="202"/>
      <c r="F3496" s="210"/>
      <c r="G3496" s="210"/>
      <c r="H3496" s="206" t="s">
        <v>121</v>
      </c>
      <c r="I3496" s="206" t="s">
        <v>121</v>
      </c>
      <c r="J3496" s="206" t="s">
        <v>121</v>
      </c>
      <c r="K3496" s="206" t="s">
        <v>121</v>
      </c>
      <c r="L3496" s="206" t="str">
        <v/>
      </c>
      <c r="M3496" s="206" t="str">
        <v/>
      </c>
    </row>
    <row r="3497" spans="1:13" ht="14.4">
      <c r="A3497" s="201"/>
      <c r="B3497" s="209"/>
      <c r="C3497" s="201"/>
      <c r="D3497" s="201"/>
      <c r="E3497" s="202"/>
      <c r="F3497" s="210"/>
      <c r="G3497" s="210"/>
      <c r="H3497" s="206" t="s">
        <v>121</v>
      </c>
      <c r="I3497" s="206" t="s">
        <v>121</v>
      </c>
      <c r="J3497" s="206" t="s">
        <v>121</v>
      </c>
      <c r="K3497" s="206" t="s">
        <v>121</v>
      </c>
      <c r="L3497" s="206" t="str">
        <v/>
      </c>
      <c r="M3497" s="206" t="str">
        <v/>
      </c>
    </row>
    <row r="3498" spans="1:13" ht="14.4">
      <c r="A3498" s="201"/>
      <c r="B3498" s="209"/>
      <c r="C3498" s="201"/>
      <c r="D3498" s="201"/>
      <c r="E3498" s="202"/>
      <c r="F3498" s="210"/>
      <c r="G3498" s="210"/>
      <c r="H3498" s="206" t="s">
        <v>121</v>
      </c>
      <c r="I3498" s="206" t="s">
        <v>121</v>
      </c>
      <c r="J3498" s="206" t="s">
        <v>121</v>
      </c>
      <c r="K3498" s="206" t="s">
        <v>121</v>
      </c>
      <c r="L3498" s="206" t="str">
        <v/>
      </c>
      <c r="M3498" s="206" t="str">
        <v/>
      </c>
    </row>
    <row r="3499" spans="1:13" ht="14.4">
      <c r="A3499" s="201"/>
      <c r="B3499" s="209"/>
      <c r="C3499" s="201"/>
      <c r="D3499" s="201"/>
      <c r="E3499" s="202"/>
      <c r="F3499" s="210"/>
      <c r="G3499" s="210"/>
      <c r="H3499" s="206" t="s">
        <v>121</v>
      </c>
      <c r="I3499" s="206" t="s">
        <v>121</v>
      </c>
      <c r="J3499" s="206" t="s">
        <v>121</v>
      </c>
      <c r="K3499" s="206" t="s">
        <v>121</v>
      </c>
      <c r="L3499" s="206" t="str">
        <v/>
      </c>
      <c r="M3499" s="206" t="str">
        <v/>
      </c>
    </row>
    <row r="3500" spans="1:13" ht="14.4">
      <c r="A3500" s="201"/>
      <c r="B3500" s="209"/>
      <c r="C3500" s="201"/>
      <c r="D3500" s="201"/>
      <c r="E3500" s="202"/>
      <c r="F3500" s="210"/>
      <c r="G3500" s="210"/>
      <c r="H3500" s="206" t="s">
        <v>121</v>
      </c>
      <c r="I3500" s="206" t="s">
        <v>121</v>
      </c>
      <c r="J3500" s="206" t="s">
        <v>121</v>
      </c>
      <c r="K3500" s="206" t="s">
        <v>121</v>
      </c>
      <c r="L3500" s="206" t="str">
        <v/>
      </c>
      <c r="M3500" s="206" t="str">
        <v/>
      </c>
    </row>
    <row r="3501" spans="1:13" ht="14.4">
      <c r="A3501" s="201"/>
      <c r="B3501" s="209"/>
      <c r="C3501" s="201"/>
      <c r="D3501" s="201"/>
      <c r="E3501" s="202"/>
      <c r="F3501" s="210"/>
      <c r="G3501" s="210"/>
      <c r="H3501" s="206" t="s">
        <v>121</v>
      </c>
      <c r="I3501" s="206" t="s">
        <v>121</v>
      </c>
      <c r="J3501" s="206" t="s">
        <v>121</v>
      </c>
      <c r="K3501" s="206" t="s">
        <v>121</v>
      </c>
      <c r="L3501" s="206" t="str">
        <v/>
      </c>
      <c r="M3501" s="206" t="str">
        <v/>
      </c>
    </row>
    <row r="3502" spans="1:13" ht="14.4">
      <c r="A3502" s="201"/>
      <c r="B3502" s="209"/>
      <c r="C3502" s="201"/>
      <c r="D3502" s="201"/>
      <c r="E3502" s="202"/>
      <c r="F3502" s="210"/>
      <c r="G3502" s="210"/>
      <c r="H3502" s="206" t="s">
        <v>121</v>
      </c>
      <c r="I3502" s="206" t="s">
        <v>121</v>
      </c>
      <c r="J3502" s="206" t="s">
        <v>121</v>
      </c>
      <c r="K3502" s="206" t="s">
        <v>121</v>
      </c>
      <c r="L3502" s="206" t="str">
        <v/>
      </c>
      <c r="M3502" s="206" t="str">
        <v/>
      </c>
    </row>
    <row r="3503" spans="1:13" ht="14.4">
      <c r="A3503" s="201"/>
      <c r="B3503" s="209"/>
      <c r="C3503" s="201"/>
      <c r="D3503" s="201"/>
      <c r="E3503" s="202"/>
      <c r="F3503" s="210"/>
      <c r="G3503" s="210"/>
      <c r="H3503" s="206" t="s">
        <v>121</v>
      </c>
      <c r="I3503" s="206" t="s">
        <v>121</v>
      </c>
      <c r="J3503" s="206" t="s">
        <v>121</v>
      </c>
      <c r="K3503" s="206" t="s">
        <v>121</v>
      </c>
      <c r="L3503" s="206" t="str">
        <v/>
      </c>
      <c r="M3503" s="206" t="str">
        <v/>
      </c>
    </row>
    <row r="3504" spans="1:13" ht="14.4">
      <c r="A3504" s="201"/>
      <c r="B3504" s="209"/>
      <c r="C3504" s="201"/>
      <c r="D3504" s="201"/>
      <c r="E3504" s="202"/>
      <c r="F3504" s="210"/>
      <c r="G3504" s="210"/>
      <c r="H3504" s="206" t="s">
        <v>121</v>
      </c>
      <c r="I3504" s="206" t="s">
        <v>121</v>
      </c>
      <c r="J3504" s="206" t="s">
        <v>121</v>
      </c>
      <c r="K3504" s="206" t="s">
        <v>121</v>
      </c>
      <c r="L3504" s="206" t="str">
        <v/>
      </c>
      <c r="M3504" s="206" t="str">
        <v/>
      </c>
    </row>
    <row r="3505" spans="1:13" ht="14.4">
      <c r="A3505" s="201"/>
      <c r="B3505" s="209"/>
      <c r="C3505" s="201"/>
      <c r="D3505" s="201"/>
      <c r="E3505" s="202"/>
      <c r="F3505" s="210"/>
      <c r="G3505" s="210"/>
      <c r="H3505" s="206" t="s">
        <v>121</v>
      </c>
      <c r="I3505" s="206" t="s">
        <v>121</v>
      </c>
      <c r="J3505" s="206" t="s">
        <v>121</v>
      </c>
      <c r="K3505" s="206" t="s">
        <v>121</v>
      </c>
      <c r="L3505" s="206" t="str">
        <v/>
      </c>
      <c r="M3505" s="206" t="str">
        <v/>
      </c>
    </row>
    <row r="3506" spans="1:13" ht="14.4">
      <c r="A3506" s="201"/>
      <c r="B3506" s="209"/>
      <c r="C3506" s="201"/>
      <c r="D3506" s="201"/>
      <c r="E3506" s="202"/>
      <c r="F3506" s="210"/>
      <c r="G3506" s="210"/>
      <c r="H3506" s="206" t="s">
        <v>121</v>
      </c>
      <c r="I3506" s="206" t="s">
        <v>121</v>
      </c>
      <c r="J3506" s="206" t="s">
        <v>121</v>
      </c>
      <c r="K3506" s="206" t="s">
        <v>121</v>
      </c>
      <c r="L3506" s="206" t="str">
        <v/>
      </c>
      <c r="M3506" s="206" t="str">
        <v/>
      </c>
    </row>
    <row r="3507" spans="1:13" ht="14.4">
      <c r="A3507" s="201"/>
      <c r="B3507" s="209"/>
      <c r="C3507" s="201"/>
      <c r="D3507" s="201"/>
      <c r="E3507" s="202"/>
      <c r="F3507" s="210"/>
      <c r="G3507" s="210"/>
      <c r="H3507" s="206" t="s">
        <v>121</v>
      </c>
      <c r="I3507" s="206" t="s">
        <v>121</v>
      </c>
      <c r="J3507" s="206" t="s">
        <v>121</v>
      </c>
      <c r="K3507" s="206" t="s">
        <v>121</v>
      </c>
      <c r="L3507" s="206" t="str">
        <v/>
      </c>
      <c r="M3507" s="206" t="str">
        <v/>
      </c>
    </row>
    <row r="3508" spans="1:13" ht="14.4">
      <c r="A3508" s="201"/>
      <c r="B3508" s="209"/>
      <c r="C3508" s="201"/>
      <c r="D3508" s="201"/>
      <c r="E3508" s="202"/>
      <c r="F3508" s="210"/>
      <c r="G3508" s="210"/>
      <c r="H3508" s="206" t="s">
        <v>121</v>
      </c>
      <c r="I3508" s="206" t="s">
        <v>121</v>
      </c>
      <c r="J3508" s="206" t="s">
        <v>121</v>
      </c>
      <c r="K3508" s="206" t="s">
        <v>121</v>
      </c>
      <c r="L3508" s="206" t="str">
        <v/>
      </c>
      <c r="M3508" s="206" t="str">
        <v/>
      </c>
    </row>
    <row r="3509" spans="1:13" ht="14.4">
      <c r="A3509" s="201"/>
      <c r="B3509" s="209"/>
      <c r="C3509" s="201"/>
      <c r="D3509" s="201"/>
      <c r="E3509" s="202"/>
      <c r="F3509" s="210"/>
      <c r="G3509" s="210"/>
      <c r="H3509" s="206" t="s">
        <v>121</v>
      </c>
      <c r="I3509" s="206" t="s">
        <v>121</v>
      </c>
      <c r="J3509" s="206" t="s">
        <v>121</v>
      </c>
      <c r="K3509" s="206" t="s">
        <v>121</v>
      </c>
      <c r="L3509" s="206" t="str">
        <v/>
      </c>
      <c r="M3509" s="206" t="str">
        <v/>
      </c>
    </row>
    <row r="3510" spans="1:13" ht="14.4">
      <c r="A3510" s="201"/>
      <c r="B3510" s="209"/>
      <c r="C3510" s="201"/>
      <c r="D3510" s="201"/>
      <c r="E3510" s="202"/>
      <c r="F3510" s="210"/>
      <c r="G3510" s="210"/>
      <c r="H3510" s="206" t="s">
        <v>121</v>
      </c>
      <c r="I3510" s="206" t="s">
        <v>121</v>
      </c>
      <c r="J3510" s="206" t="s">
        <v>121</v>
      </c>
      <c r="K3510" s="206" t="s">
        <v>121</v>
      </c>
      <c r="L3510" s="206" t="str">
        <v/>
      </c>
      <c r="M3510" s="206" t="str">
        <v/>
      </c>
    </row>
    <row r="3511" spans="1:13" ht="14.4">
      <c r="A3511" s="201"/>
      <c r="B3511" s="209"/>
      <c r="C3511" s="201"/>
      <c r="D3511" s="201"/>
      <c r="E3511" s="202"/>
      <c r="F3511" s="210"/>
      <c r="G3511" s="210"/>
      <c r="H3511" s="206" t="s">
        <v>121</v>
      </c>
      <c r="I3511" s="206" t="s">
        <v>121</v>
      </c>
      <c r="J3511" s="206" t="s">
        <v>121</v>
      </c>
      <c r="K3511" s="206" t="s">
        <v>121</v>
      </c>
      <c r="L3511" s="206" t="str">
        <v/>
      </c>
      <c r="M3511" s="206" t="str">
        <v/>
      </c>
    </row>
    <row r="3512" spans="1:13" ht="14.4">
      <c r="A3512" s="201"/>
      <c r="B3512" s="209"/>
      <c r="C3512" s="201"/>
      <c r="D3512" s="201"/>
      <c r="E3512" s="202"/>
      <c r="F3512" s="210"/>
      <c r="G3512" s="210"/>
      <c r="H3512" s="206" t="s">
        <v>121</v>
      </c>
      <c r="I3512" s="206" t="s">
        <v>121</v>
      </c>
      <c r="J3512" s="206" t="s">
        <v>121</v>
      </c>
      <c r="K3512" s="206" t="s">
        <v>121</v>
      </c>
      <c r="L3512" s="206" t="str">
        <v/>
      </c>
      <c r="M3512" s="206" t="str">
        <v/>
      </c>
    </row>
    <row r="3513" spans="1:13" ht="14.4">
      <c r="A3513" s="201"/>
      <c r="B3513" s="209"/>
      <c r="C3513" s="201"/>
      <c r="D3513" s="201"/>
      <c r="E3513" s="202"/>
      <c r="F3513" s="210"/>
      <c r="G3513" s="210"/>
      <c r="H3513" s="206" t="s">
        <v>121</v>
      </c>
      <c r="I3513" s="206" t="s">
        <v>121</v>
      </c>
      <c r="J3513" s="206" t="s">
        <v>121</v>
      </c>
      <c r="K3513" s="206" t="s">
        <v>121</v>
      </c>
      <c r="L3513" s="206" t="str">
        <v/>
      </c>
      <c r="M3513" s="206" t="str">
        <v/>
      </c>
    </row>
    <row r="3514" spans="1:13" ht="14.4">
      <c r="A3514" s="201"/>
      <c r="B3514" s="209"/>
      <c r="C3514" s="201"/>
      <c r="D3514" s="201"/>
      <c r="E3514" s="202"/>
      <c r="F3514" s="210"/>
      <c r="G3514" s="210"/>
      <c r="H3514" s="206" t="s">
        <v>121</v>
      </c>
      <c r="I3514" s="206" t="s">
        <v>121</v>
      </c>
      <c r="J3514" s="206" t="s">
        <v>121</v>
      </c>
      <c r="K3514" s="206" t="s">
        <v>121</v>
      </c>
      <c r="L3514" s="206" t="str">
        <v/>
      </c>
      <c r="M3514" s="206" t="str">
        <v/>
      </c>
    </row>
    <row r="3515" spans="1:13" ht="14.4">
      <c r="A3515" s="201"/>
      <c r="B3515" s="209"/>
      <c r="C3515" s="201"/>
      <c r="D3515" s="201"/>
      <c r="E3515" s="202"/>
      <c r="F3515" s="210"/>
      <c r="G3515" s="210"/>
      <c r="H3515" s="206" t="s">
        <v>121</v>
      </c>
      <c r="I3515" s="206" t="s">
        <v>121</v>
      </c>
      <c r="J3515" s="206" t="s">
        <v>121</v>
      </c>
      <c r="K3515" s="206" t="s">
        <v>121</v>
      </c>
      <c r="L3515" s="206" t="str">
        <v/>
      </c>
      <c r="M3515" s="206" t="str">
        <v/>
      </c>
    </row>
    <row r="3516" spans="1:13" ht="14.4">
      <c r="A3516" s="201"/>
      <c r="B3516" s="209"/>
      <c r="C3516" s="201"/>
      <c r="D3516" s="201"/>
      <c r="E3516" s="202"/>
      <c r="F3516" s="210"/>
      <c r="G3516" s="210"/>
      <c r="H3516" s="206" t="s">
        <v>121</v>
      </c>
      <c r="I3516" s="206" t="s">
        <v>121</v>
      </c>
      <c r="J3516" s="206" t="s">
        <v>121</v>
      </c>
      <c r="K3516" s="206" t="s">
        <v>121</v>
      </c>
      <c r="L3516" s="206" t="str">
        <v/>
      </c>
      <c r="M3516" s="206" t="str">
        <v/>
      </c>
    </row>
    <row r="3517" spans="1:13" ht="14.4">
      <c r="A3517" s="201"/>
      <c r="B3517" s="209"/>
      <c r="C3517" s="201"/>
      <c r="D3517" s="201"/>
      <c r="E3517" s="202"/>
      <c r="F3517" s="210"/>
      <c r="G3517" s="210"/>
      <c r="H3517" s="206" t="s">
        <v>121</v>
      </c>
      <c r="I3517" s="206" t="s">
        <v>121</v>
      </c>
      <c r="J3517" s="206" t="s">
        <v>121</v>
      </c>
      <c r="K3517" s="206" t="s">
        <v>121</v>
      </c>
      <c r="L3517" s="206" t="str">
        <v/>
      </c>
      <c r="M3517" s="206" t="str">
        <v/>
      </c>
    </row>
    <row r="3518" spans="1:13" ht="14.4">
      <c r="A3518" s="201"/>
      <c r="B3518" s="209"/>
      <c r="C3518" s="201"/>
      <c r="D3518" s="201"/>
      <c r="E3518" s="202"/>
      <c r="F3518" s="210"/>
      <c r="G3518" s="210"/>
      <c r="H3518" s="206" t="s">
        <v>121</v>
      </c>
      <c r="I3518" s="206" t="s">
        <v>121</v>
      </c>
      <c r="J3518" s="206" t="s">
        <v>121</v>
      </c>
      <c r="K3518" s="206" t="s">
        <v>121</v>
      </c>
      <c r="L3518" s="206" t="str">
        <v/>
      </c>
      <c r="M3518" s="206" t="str">
        <v/>
      </c>
    </row>
    <row r="3519" spans="1:13" ht="14.4">
      <c r="A3519" s="201"/>
      <c r="B3519" s="209"/>
      <c r="C3519" s="201"/>
      <c r="D3519" s="201"/>
      <c r="E3519" s="202"/>
      <c r="F3519" s="210"/>
      <c r="G3519" s="210"/>
      <c r="H3519" s="206" t="s">
        <v>121</v>
      </c>
      <c r="I3519" s="206" t="s">
        <v>121</v>
      </c>
      <c r="J3519" s="206" t="s">
        <v>121</v>
      </c>
      <c r="K3519" s="206" t="s">
        <v>121</v>
      </c>
      <c r="L3519" s="206" t="str">
        <v/>
      </c>
      <c r="M3519" s="206" t="str">
        <v/>
      </c>
    </row>
    <row r="3520" spans="1:13" ht="14.4">
      <c r="A3520" s="201"/>
      <c r="B3520" s="209"/>
      <c r="C3520" s="201"/>
      <c r="D3520" s="201"/>
      <c r="E3520" s="202"/>
      <c r="F3520" s="210"/>
      <c r="G3520" s="210"/>
      <c r="H3520" s="206" t="s">
        <v>121</v>
      </c>
      <c r="I3520" s="206" t="s">
        <v>121</v>
      </c>
      <c r="J3520" s="206" t="s">
        <v>121</v>
      </c>
      <c r="K3520" s="206" t="s">
        <v>121</v>
      </c>
      <c r="L3520" s="206" t="str">
        <v/>
      </c>
      <c r="M3520" s="206" t="str">
        <v/>
      </c>
    </row>
    <row r="3521" spans="1:13" ht="14.4">
      <c r="A3521" s="201"/>
      <c r="B3521" s="209"/>
      <c r="C3521" s="201"/>
      <c r="D3521" s="201"/>
      <c r="E3521" s="202"/>
      <c r="F3521" s="210"/>
      <c r="G3521" s="210"/>
      <c r="H3521" s="206" t="s">
        <v>121</v>
      </c>
      <c r="I3521" s="206" t="s">
        <v>121</v>
      </c>
      <c r="J3521" s="206" t="s">
        <v>121</v>
      </c>
      <c r="K3521" s="206" t="s">
        <v>121</v>
      </c>
      <c r="L3521" s="206" t="str">
        <v/>
      </c>
      <c r="M3521" s="206" t="str">
        <v/>
      </c>
    </row>
    <row r="3522" spans="1:13" ht="14.4">
      <c r="A3522" s="201"/>
      <c r="B3522" s="209"/>
      <c r="C3522" s="201"/>
      <c r="D3522" s="201"/>
      <c r="E3522" s="202"/>
      <c r="F3522" s="210"/>
      <c r="G3522" s="210"/>
      <c r="H3522" s="206" t="s">
        <v>121</v>
      </c>
      <c r="I3522" s="206" t="s">
        <v>121</v>
      </c>
      <c r="J3522" s="206" t="s">
        <v>121</v>
      </c>
      <c r="K3522" s="206" t="s">
        <v>121</v>
      </c>
      <c r="L3522" s="206" t="str">
        <v/>
      </c>
      <c r="M3522" s="206" t="str">
        <v/>
      </c>
    </row>
    <row r="3523" spans="1:13" ht="14.4">
      <c r="A3523" s="201"/>
      <c r="B3523" s="209"/>
      <c r="C3523" s="201"/>
      <c r="D3523" s="201"/>
      <c r="E3523" s="202"/>
      <c r="F3523" s="210"/>
      <c r="G3523" s="210"/>
      <c r="H3523" s="206" t="s">
        <v>121</v>
      </c>
      <c r="I3523" s="206" t="s">
        <v>121</v>
      </c>
      <c r="J3523" s="206" t="s">
        <v>121</v>
      </c>
      <c r="K3523" s="206" t="s">
        <v>121</v>
      </c>
      <c r="L3523" s="206" t="str">
        <v/>
      </c>
      <c r="M3523" s="206" t="str">
        <v/>
      </c>
    </row>
    <row r="3524" spans="1:13" ht="14.4">
      <c r="A3524" s="201"/>
      <c r="B3524" s="209"/>
      <c r="C3524" s="201"/>
      <c r="D3524" s="201"/>
      <c r="E3524" s="202"/>
      <c r="F3524" s="210"/>
      <c r="G3524" s="210"/>
      <c r="H3524" s="206" t="s">
        <v>121</v>
      </c>
      <c r="I3524" s="206" t="s">
        <v>121</v>
      </c>
      <c r="J3524" s="206" t="s">
        <v>121</v>
      </c>
      <c r="K3524" s="206" t="s">
        <v>121</v>
      </c>
      <c r="L3524" s="206" t="str">
        <v/>
      </c>
      <c r="M3524" s="206" t="str">
        <v/>
      </c>
    </row>
    <row r="3525" spans="1:13" ht="14.4">
      <c r="A3525" s="201"/>
      <c r="B3525" s="209"/>
      <c r="C3525" s="201"/>
      <c r="D3525" s="201"/>
      <c r="E3525" s="202"/>
      <c r="F3525" s="210"/>
      <c r="G3525" s="210"/>
      <c r="H3525" s="206" t="s">
        <v>121</v>
      </c>
      <c r="I3525" s="206" t="s">
        <v>121</v>
      </c>
      <c r="J3525" s="206" t="s">
        <v>121</v>
      </c>
      <c r="K3525" s="206" t="s">
        <v>121</v>
      </c>
      <c r="L3525" s="206" t="str">
        <v/>
      </c>
      <c r="M3525" s="206" t="str">
        <v/>
      </c>
    </row>
    <row r="3526" spans="1:13" ht="14.4">
      <c r="A3526" s="201"/>
      <c r="B3526" s="209"/>
      <c r="C3526" s="201"/>
      <c r="D3526" s="201"/>
      <c r="E3526" s="202"/>
      <c r="F3526" s="210"/>
      <c r="G3526" s="210"/>
      <c r="H3526" s="206" t="s">
        <v>121</v>
      </c>
      <c r="I3526" s="206" t="s">
        <v>121</v>
      </c>
      <c r="J3526" s="206" t="s">
        <v>121</v>
      </c>
      <c r="K3526" s="206" t="s">
        <v>121</v>
      </c>
      <c r="L3526" s="206" t="str">
        <v/>
      </c>
      <c r="M3526" s="206" t="str">
        <v/>
      </c>
    </row>
    <row r="3527" spans="1:13" ht="14.4">
      <c r="A3527" s="201"/>
      <c r="B3527" s="209"/>
      <c r="C3527" s="201"/>
      <c r="D3527" s="201"/>
      <c r="E3527" s="202"/>
      <c r="F3527" s="210"/>
      <c r="G3527" s="210"/>
      <c r="H3527" s="206" t="s">
        <v>121</v>
      </c>
      <c r="I3527" s="206" t="s">
        <v>121</v>
      </c>
      <c r="J3527" s="206" t="s">
        <v>121</v>
      </c>
      <c r="K3527" s="206" t="s">
        <v>121</v>
      </c>
      <c r="L3527" s="206" t="str">
        <v/>
      </c>
      <c r="M3527" s="206" t="str">
        <v/>
      </c>
    </row>
    <row r="3528" spans="1:13" ht="14.4">
      <c r="A3528" s="201"/>
      <c r="B3528" s="209"/>
      <c r="C3528" s="201"/>
      <c r="D3528" s="201"/>
      <c r="E3528" s="202"/>
      <c r="F3528" s="210"/>
      <c r="G3528" s="210"/>
      <c r="H3528" s="206" t="s">
        <v>121</v>
      </c>
      <c r="I3528" s="206" t="s">
        <v>121</v>
      </c>
      <c r="J3528" s="206" t="s">
        <v>121</v>
      </c>
      <c r="K3528" s="206" t="s">
        <v>121</v>
      </c>
      <c r="L3528" s="206" t="str">
        <v/>
      </c>
      <c r="M3528" s="206" t="str">
        <v/>
      </c>
    </row>
    <row r="3529" spans="1:13" ht="14.4">
      <c r="A3529" s="201"/>
      <c r="B3529" s="209"/>
      <c r="C3529" s="201"/>
      <c r="D3529" s="201"/>
      <c r="E3529" s="202"/>
      <c r="F3529" s="210"/>
      <c r="G3529" s="210"/>
      <c r="H3529" s="206" t="s">
        <v>121</v>
      </c>
      <c r="I3529" s="206" t="s">
        <v>121</v>
      </c>
      <c r="J3529" s="206" t="s">
        <v>121</v>
      </c>
      <c r="K3529" s="206" t="s">
        <v>121</v>
      </c>
      <c r="L3529" s="206" t="str">
        <v/>
      </c>
      <c r="M3529" s="206" t="str">
        <v/>
      </c>
    </row>
    <row r="3530" spans="1:13" ht="14.4">
      <c r="A3530" s="201"/>
      <c r="B3530" s="209"/>
      <c r="C3530" s="201"/>
      <c r="D3530" s="201"/>
      <c r="E3530" s="202"/>
      <c r="F3530" s="210"/>
      <c r="G3530" s="210"/>
      <c r="H3530" s="206" t="s">
        <v>121</v>
      </c>
      <c r="I3530" s="206" t="s">
        <v>121</v>
      </c>
      <c r="J3530" s="206" t="s">
        <v>121</v>
      </c>
      <c r="K3530" s="206" t="s">
        <v>121</v>
      </c>
      <c r="L3530" s="206" t="str">
        <v/>
      </c>
      <c r="M3530" s="206" t="str">
        <v/>
      </c>
    </row>
    <row r="3531" spans="1:13" ht="14.4">
      <c r="A3531" s="201"/>
      <c r="B3531" s="209"/>
      <c r="C3531" s="201"/>
      <c r="D3531" s="201"/>
      <c r="E3531" s="202"/>
      <c r="F3531" s="210"/>
      <c r="G3531" s="210"/>
      <c r="H3531" s="206" t="s">
        <v>121</v>
      </c>
      <c r="I3531" s="206" t="s">
        <v>121</v>
      </c>
      <c r="J3531" s="206" t="s">
        <v>121</v>
      </c>
      <c r="K3531" s="206" t="s">
        <v>121</v>
      </c>
      <c r="L3531" s="206" t="str">
        <v/>
      </c>
      <c r="M3531" s="206" t="str">
        <v/>
      </c>
    </row>
    <row r="3532" spans="1:13" ht="14.4">
      <c r="A3532" s="201"/>
      <c r="B3532" s="209"/>
      <c r="C3532" s="201"/>
      <c r="D3532" s="201"/>
      <c r="E3532" s="202"/>
      <c r="F3532" s="210"/>
      <c r="G3532" s="210"/>
      <c r="H3532" s="206" t="s">
        <v>121</v>
      </c>
      <c r="I3532" s="206" t="s">
        <v>121</v>
      </c>
      <c r="J3532" s="206" t="s">
        <v>121</v>
      </c>
      <c r="K3532" s="206" t="s">
        <v>121</v>
      </c>
      <c r="L3532" s="206" t="str">
        <v/>
      </c>
      <c r="M3532" s="206" t="str">
        <v/>
      </c>
    </row>
    <row r="3533" spans="1:13" ht="14.4">
      <c r="A3533" s="201"/>
      <c r="B3533" s="209"/>
      <c r="C3533" s="201"/>
      <c r="D3533" s="201"/>
      <c r="E3533" s="202"/>
      <c r="F3533" s="210"/>
      <c r="G3533" s="210"/>
      <c r="H3533" s="206" t="s">
        <v>121</v>
      </c>
      <c r="I3533" s="206" t="s">
        <v>121</v>
      </c>
      <c r="J3533" s="206" t="s">
        <v>121</v>
      </c>
      <c r="K3533" s="206" t="s">
        <v>121</v>
      </c>
      <c r="L3533" s="206" t="str">
        <v/>
      </c>
      <c r="M3533" s="206" t="str">
        <v/>
      </c>
    </row>
    <row r="3534" spans="1:13" ht="14.4">
      <c r="A3534" s="201"/>
      <c r="B3534" s="209"/>
      <c r="C3534" s="201"/>
      <c r="D3534" s="201"/>
      <c r="E3534" s="202"/>
      <c r="F3534" s="210"/>
      <c r="G3534" s="210"/>
      <c r="H3534" s="206" t="s">
        <v>121</v>
      </c>
      <c r="I3534" s="206" t="s">
        <v>121</v>
      </c>
      <c r="J3534" s="206" t="s">
        <v>121</v>
      </c>
      <c r="K3534" s="206" t="s">
        <v>121</v>
      </c>
      <c r="L3534" s="206" t="str">
        <v/>
      </c>
      <c r="M3534" s="206" t="str">
        <v/>
      </c>
    </row>
    <row r="3535" spans="1:13" ht="14.4">
      <c r="A3535" s="201"/>
      <c r="B3535" s="209"/>
      <c r="C3535" s="201"/>
      <c r="D3535" s="201"/>
      <c r="E3535" s="202"/>
      <c r="F3535" s="210"/>
      <c r="G3535" s="210"/>
      <c r="H3535" s="206" t="s">
        <v>121</v>
      </c>
      <c r="I3535" s="206" t="s">
        <v>121</v>
      </c>
      <c r="J3535" s="206" t="s">
        <v>121</v>
      </c>
      <c r="K3535" s="206" t="s">
        <v>121</v>
      </c>
      <c r="L3535" s="206" t="str">
        <v/>
      </c>
      <c r="M3535" s="206" t="str">
        <v/>
      </c>
    </row>
    <row r="3536" spans="1:13" ht="14.4">
      <c r="A3536" s="201"/>
      <c r="B3536" s="209"/>
      <c r="C3536" s="201"/>
      <c r="D3536" s="201"/>
      <c r="E3536" s="202"/>
      <c r="F3536" s="210"/>
      <c r="G3536" s="210"/>
      <c r="H3536" s="206" t="s">
        <v>121</v>
      </c>
      <c r="I3536" s="206" t="s">
        <v>121</v>
      </c>
      <c r="J3536" s="206" t="s">
        <v>121</v>
      </c>
      <c r="K3536" s="206" t="s">
        <v>121</v>
      </c>
      <c r="L3536" s="206" t="str">
        <v/>
      </c>
      <c r="M3536" s="206" t="str">
        <v/>
      </c>
    </row>
    <row r="3537" spans="1:13" ht="14.4">
      <c r="A3537" s="201"/>
      <c r="B3537" s="209"/>
      <c r="C3537" s="201"/>
      <c r="D3537" s="201"/>
      <c r="E3537" s="202"/>
      <c r="F3537" s="210"/>
      <c r="G3537" s="210"/>
      <c r="H3537" s="206" t="s">
        <v>121</v>
      </c>
      <c r="I3537" s="206" t="s">
        <v>121</v>
      </c>
      <c r="J3537" s="206" t="s">
        <v>121</v>
      </c>
      <c r="K3537" s="206" t="s">
        <v>121</v>
      </c>
      <c r="L3537" s="206" t="str">
        <v/>
      </c>
      <c r="M3537" s="206" t="str">
        <v/>
      </c>
    </row>
    <row r="3538" spans="1:13" ht="14.4">
      <c r="A3538" s="201"/>
      <c r="B3538" s="209"/>
      <c r="C3538" s="201"/>
      <c r="D3538" s="201"/>
      <c r="E3538" s="202"/>
      <c r="F3538" s="210"/>
      <c r="G3538" s="210"/>
      <c r="H3538" s="206" t="s">
        <v>121</v>
      </c>
      <c r="I3538" s="206" t="s">
        <v>121</v>
      </c>
      <c r="J3538" s="206" t="s">
        <v>121</v>
      </c>
      <c r="K3538" s="206" t="s">
        <v>121</v>
      </c>
      <c r="L3538" s="206" t="str">
        <v/>
      </c>
      <c r="M3538" s="206" t="str">
        <v/>
      </c>
    </row>
    <row r="3539" spans="1:13" ht="14.4">
      <c r="A3539" s="201"/>
      <c r="B3539" s="209"/>
      <c r="C3539" s="201"/>
      <c r="D3539" s="201"/>
      <c r="E3539" s="202"/>
      <c r="F3539" s="210"/>
      <c r="G3539" s="210"/>
      <c r="H3539" s="206" t="s">
        <v>121</v>
      </c>
      <c r="I3539" s="206" t="s">
        <v>121</v>
      </c>
      <c r="J3539" s="206" t="s">
        <v>121</v>
      </c>
      <c r="K3539" s="206" t="s">
        <v>121</v>
      </c>
      <c r="L3539" s="206" t="str">
        <v/>
      </c>
      <c r="M3539" s="206" t="str">
        <v/>
      </c>
    </row>
    <row r="3540" spans="1:13" ht="14.4">
      <c r="A3540" s="201"/>
      <c r="B3540" s="209"/>
      <c r="C3540" s="201"/>
      <c r="D3540" s="201"/>
      <c r="E3540" s="202"/>
      <c r="F3540" s="210"/>
      <c r="G3540" s="210"/>
      <c r="H3540" s="206" t="s">
        <v>121</v>
      </c>
      <c r="I3540" s="206" t="s">
        <v>121</v>
      </c>
      <c r="J3540" s="206" t="s">
        <v>121</v>
      </c>
      <c r="K3540" s="206" t="s">
        <v>121</v>
      </c>
      <c r="L3540" s="206" t="str">
        <v/>
      </c>
      <c r="M3540" s="206" t="str">
        <v/>
      </c>
    </row>
    <row r="3541" spans="1:13" ht="14.4">
      <c r="A3541" s="201"/>
      <c r="B3541" s="209"/>
      <c r="C3541" s="201"/>
      <c r="D3541" s="201"/>
      <c r="E3541" s="202"/>
      <c r="F3541" s="210"/>
      <c r="G3541" s="210"/>
      <c r="H3541" s="206" t="s">
        <v>121</v>
      </c>
      <c r="I3541" s="206" t="s">
        <v>121</v>
      </c>
      <c r="J3541" s="206" t="s">
        <v>121</v>
      </c>
      <c r="K3541" s="206" t="s">
        <v>121</v>
      </c>
      <c r="L3541" s="206" t="str">
        <v/>
      </c>
      <c r="M3541" s="206" t="str">
        <v/>
      </c>
    </row>
    <row r="3542" spans="1:13" ht="14.4">
      <c r="A3542" s="201"/>
      <c r="B3542" s="209"/>
      <c r="C3542" s="201"/>
      <c r="D3542" s="201"/>
      <c r="E3542" s="202"/>
      <c r="F3542" s="210"/>
      <c r="G3542" s="210"/>
      <c r="H3542" s="206" t="s">
        <v>121</v>
      </c>
      <c r="I3542" s="206" t="s">
        <v>121</v>
      </c>
      <c r="J3542" s="206" t="s">
        <v>121</v>
      </c>
      <c r="K3542" s="206" t="s">
        <v>121</v>
      </c>
      <c r="L3542" s="206" t="str">
        <v/>
      </c>
      <c r="M3542" s="206" t="str">
        <v/>
      </c>
    </row>
    <row r="3543" spans="1:13" ht="14.4">
      <c r="A3543" s="201"/>
      <c r="B3543" s="209"/>
      <c r="C3543" s="201"/>
      <c r="D3543" s="201"/>
      <c r="E3543" s="202"/>
      <c r="F3543" s="210"/>
      <c r="G3543" s="210"/>
      <c r="H3543" s="206" t="s">
        <v>121</v>
      </c>
      <c r="I3543" s="206" t="s">
        <v>121</v>
      </c>
      <c r="J3543" s="206" t="s">
        <v>121</v>
      </c>
      <c r="K3543" s="206" t="s">
        <v>121</v>
      </c>
      <c r="L3543" s="206" t="str">
        <v/>
      </c>
      <c r="M3543" s="206" t="str">
        <v/>
      </c>
    </row>
    <row r="3544" spans="1:13" ht="14.4">
      <c r="A3544" s="201"/>
      <c r="B3544" s="209"/>
      <c r="C3544" s="201"/>
      <c r="D3544" s="201"/>
      <c r="E3544" s="202"/>
      <c r="F3544" s="210"/>
      <c r="G3544" s="210"/>
      <c r="H3544" s="206" t="s">
        <v>121</v>
      </c>
      <c r="I3544" s="206" t="s">
        <v>121</v>
      </c>
      <c r="J3544" s="206" t="s">
        <v>121</v>
      </c>
      <c r="K3544" s="206" t="s">
        <v>121</v>
      </c>
      <c r="L3544" s="206" t="str">
        <v/>
      </c>
      <c r="M3544" s="206" t="str">
        <v/>
      </c>
    </row>
    <row r="3545" spans="1:13" ht="14.4">
      <c r="A3545" s="201"/>
      <c r="B3545" s="209"/>
      <c r="C3545" s="201"/>
      <c r="D3545" s="201"/>
      <c r="E3545" s="202"/>
      <c r="F3545" s="210"/>
      <c r="G3545" s="210"/>
      <c r="H3545" s="206" t="s">
        <v>121</v>
      </c>
      <c r="I3545" s="206" t="s">
        <v>121</v>
      </c>
      <c r="J3545" s="206" t="s">
        <v>121</v>
      </c>
      <c r="K3545" s="206" t="s">
        <v>121</v>
      </c>
      <c r="L3545" s="206" t="str">
        <v/>
      </c>
      <c r="M3545" s="206" t="str">
        <v/>
      </c>
    </row>
    <row r="3546" spans="1:13" ht="14.4">
      <c r="A3546" s="201"/>
      <c r="B3546" s="209"/>
      <c r="C3546" s="201"/>
      <c r="D3546" s="201"/>
      <c r="E3546" s="202"/>
      <c r="F3546" s="210"/>
      <c r="G3546" s="210"/>
      <c r="H3546" s="206" t="s">
        <v>121</v>
      </c>
      <c r="I3546" s="206" t="s">
        <v>121</v>
      </c>
      <c r="J3546" s="206" t="s">
        <v>121</v>
      </c>
      <c r="K3546" s="206" t="s">
        <v>121</v>
      </c>
      <c r="L3546" s="206" t="str">
        <v/>
      </c>
      <c r="M3546" s="206" t="str">
        <v/>
      </c>
    </row>
    <row r="3547" spans="1:13" ht="14.4">
      <c r="A3547" s="201"/>
      <c r="B3547" s="209"/>
      <c r="C3547" s="201"/>
      <c r="D3547" s="201"/>
      <c r="E3547" s="202"/>
      <c r="F3547" s="210"/>
      <c r="G3547" s="210"/>
      <c r="H3547" s="206" t="s">
        <v>121</v>
      </c>
      <c r="I3547" s="206" t="s">
        <v>121</v>
      </c>
      <c r="J3547" s="206" t="s">
        <v>121</v>
      </c>
      <c r="K3547" s="206" t="s">
        <v>121</v>
      </c>
      <c r="L3547" s="206" t="str">
        <v/>
      </c>
      <c r="M3547" s="206" t="str">
        <v/>
      </c>
    </row>
    <row r="3548" spans="1:13" ht="14.4">
      <c r="A3548" s="201"/>
      <c r="B3548" s="209"/>
      <c r="C3548" s="201"/>
      <c r="D3548" s="201"/>
      <c r="E3548" s="202"/>
      <c r="F3548" s="210"/>
      <c r="G3548" s="210"/>
      <c r="H3548" s="206" t="s">
        <v>121</v>
      </c>
      <c r="I3548" s="206" t="s">
        <v>121</v>
      </c>
      <c r="J3548" s="206" t="s">
        <v>121</v>
      </c>
      <c r="K3548" s="206" t="s">
        <v>121</v>
      </c>
      <c r="L3548" s="206" t="str">
        <v/>
      </c>
      <c r="M3548" s="206" t="str">
        <v/>
      </c>
    </row>
    <row r="3549" spans="1:13" ht="14.4">
      <c r="A3549" s="201"/>
      <c r="B3549" s="209"/>
      <c r="C3549" s="201"/>
      <c r="D3549" s="201"/>
      <c r="E3549" s="202"/>
      <c r="F3549" s="210"/>
      <c r="G3549" s="210"/>
      <c r="H3549" s="206" t="s">
        <v>121</v>
      </c>
      <c r="I3549" s="206" t="s">
        <v>121</v>
      </c>
      <c r="J3549" s="206" t="s">
        <v>121</v>
      </c>
      <c r="K3549" s="206" t="s">
        <v>121</v>
      </c>
      <c r="L3549" s="206" t="str">
        <v/>
      </c>
      <c r="M3549" s="206" t="str">
        <v/>
      </c>
    </row>
    <row r="3550" spans="1:13" ht="14.4">
      <c r="A3550" s="201"/>
      <c r="B3550" s="209"/>
      <c r="C3550" s="201"/>
      <c r="D3550" s="201"/>
      <c r="E3550" s="202"/>
      <c r="F3550" s="210"/>
      <c r="G3550" s="210"/>
      <c r="H3550" s="206" t="s">
        <v>121</v>
      </c>
      <c r="I3550" s="206" t="s">
        <v>121</v>
      </c>
      <c r="J3550" s="206" t="s">
        <v>121</v>
      </c>
      <c r="K3550" s="206" t="s">
        <v>121</v>
      </c>
      <c r="L3550" s="206" t="str">
        <v/>
      </c>
      <c r="M3550" s="206" t="str">
        <v/>
      </c>
    </row>
    <row r="3551" spans="1:13" ht="14.4">
      <c r="A3551" s="201"/>
      <c r="B3551" s="209"/>
      <c r="C3551" s="201"/>
      <c r="D3551" s="201"/>
      <c r="E3551" s="202"/>
      <c r="F3551" s="210"/>
      <c r="G3551" s="210"/>
      <c r="H3551" s="206" t="s">
        <v>121</v>
      </c>
      <c r="I3551" s="206" t="s">
        <v>121</v>
      </c>
      <c r="J3551" s="206" t="s">
        <v>121</v>
      </c>
      <c r="K3551" s="206" t="s">
        <v>121</v>
      </c>
      <c r="L3551" s="206" t="str">
        <v/>
      </c>
      <c r="M3551" s="206" t="str">
        <v/>
      </c>
    </row>
    <row r="3552" spans="1:13" ht="14.4">
      <c r="A3552" s="201"/>
      <c r="B3552" s="209"/>
      <c r="C3552" s="201"/>
      <c r="D3552" s="201"/>
      <c r="E3552" s="202"/>
      <c r="F3552" s="210"/>
      <c r="G3552" s="210"/>
      <c r="H3552" s="206" t="s">
        <v>121</v>
      </c>
      <c r="I3552" s="206" t="s">
        <v>121</v>
      </c>
      <c r="J3552" s="206" t="s">
        <v>121</v>
      </c>
      <c r="K3552" s="206" t="s">
        <v>121</v>
      </c>
      <c r="L3552" s="206" t="str">
        <v/>
      </c>
      <c r="M3552" s="206" t="str">
        <v/>
      </c>
    </row>
    <row r="3553" spans="1:13" ht="14.4">
      <c r="A3553" s="201"/>
      <c r="B3553" s="209"/>
      <c r="C3553" s="201"/>
      <c r="D3553" s="201"/>
      <c r="E3553" s="202"/>
      <c r="F3553" s="210"/>
      <c r="G3553" s="210"/>
      <c r="H3553" s="206" t="s">
        <v>121</v>
      </c>
      <c r="I3553" s="206" t="s">
        <v>121</v>
      </c>
      <c r="J3553" s="206" t="s">
        <v>121</v>
      </c>
      <c r="K3553" s="206" t="s">
        <v>121</v>
      </c>
      <c r="L3553" s="206" t="str">
        <v/>
      </c>
      <c r="M3553" s="206" t="str">
        <v/>
      </c>
    </row>
    <row r="3554" spans="1:13" ht="14.4">
      <c r="A3554" s="201"/>
      <c r="B3554" s="209"/>
      <c r="C3554" s="201"/>
      <c r="D3554" s="201"/>
      <c r="E3554" s="202"/>
      <c r="F3554" s="210"/>
      <c r="G3554" s="210"/>
      <c r="H3554" s="206" t="s">
        <v>121</v>
      </c>
      <c r="I3554" s="206" t="s">
        <v>121</v>
      </c>
      <c r="J3554" s="206" t="s">
        <v>121</v>
      </c>
      <c r="K3554" s="206" t="s">
        <v>121</v>
      </c>
      <c r="L3554" s="206" t="str">
        <v/>
      </c>
      <c r="M3554" s="206" t="str">
        <v/>
      </c>
    </row>
    <row r="3555" spans="1:13" ht="14.4">
      <c r="A3555" s="201"/>
      <c r="B3555" s="209"/>
      <c r="C3555" s="201"/>
      <c r="D3555" s="201"/>
      <c r="E3555" s="202"/>
      <c r="F3555" s="210"/>
      <c r="G3555" s="210"/>
      <c r="H3555" s="206" t="s">
        <v>121</v>
      </c>
      <c r="I3555" s="206" t="s">
        <v>121</v>
      </c>
      <c r="J3555" s="206" t="s">
        <v>121</v>
      </c>
      <c r="K3555" s="206" t="s">
        <v>121</v>
      </c>
      <c r="L3555" s="206" t="str">
        <v/>
      </c>
      <c r="M3555" s="206" t="str">
        <v/>
      </c>
    </row>
    <row r="3556" spans="1:13" ht="14.4">
      <c r="A3556" s="201"/>
      <c r="B3556" s="209"/>
      <c r="C3556" s="201"/>
      <c r="D3556" s="201"/>
      <c r="E3556" s="202"/>
      <c r="F3556" s="210"/>
      <c r="G3556" s="210"/>
      <c r="H3556" s="206" t="s">
        <v>121</v>
      </c>
      <c r="I3556" s="206" t="s">
        <v>121</v>
      </c>
      <c r="J3556" s="206" t="s">
        <v>121</v>
      </c>
      <c r="K3556" s="206" t="s">
        <v>121</v>
      </c>
      <c r="L3556" s="206" t="str">
        <v/>
      </c>
      <c r="M3556" s="206" t="str">
        <v/>
      </c>
    </row>
    <row r="3557" spans="1:13" ht="14.4">
      <c r="A3557" s="201"/>
      <c r="B3557" s="209"/>
      <c r="C3557" s="201"/>
      <c r="D3557" s="201"/>
      <c r="E3557" s="202"/>
      <c r="F3557" s="210"/>
      <c r="G3557" s="210"/>
      <c r="H3557" s="206" t="s">
        <v>121</v>
      </c>
      <c r="I3557" s="206" t="s">
        <v>121</v>
      </c>
      <c r="J3557" s="206" t="s">
        <v>121</v>
      </c>
      <c r="K3557" s="206" t="s">
        <v>121</v>
      </c>
      <c r="L3557" s="206" t="str">
        <v/>
      </c>
      <c r="M3557" s="206" t="str">
        <v/>
      </c>
    </row>
    <row r="3558" spans="1:13" ht="14.4">
      <c r="A3558" s="201"/>
      <c r="B3558" s="209"/>
      <c r="C3558" s="201"/>
      <c r="D3558" s="201"/>
      <c r="E3558" s="202"/>
      <c r="F3558" s="210"/>
      <c r="G3558" s="210"/>
      <c r="H3558" s="206" t="s">
        <v>121</v>
      </c>
      <c r="I3558" s="206" t="s">
        <v>121</v>
      </c>
      <c r="J3558" s="206" t="s">
        <v>121</v>
      </c>
      <c r="K3558" s="206" t="s">
        <v>121</v>
      </c>
      <c r="L3558" s="206" t="str">
        <v/>
      </c>
      <c r="M3558" s="206" t="str">
        <v/>
      </c>
    </row>
    <row r="3559" spans="1:13" ht="14.4">
      <c r="A3559" s="201"/>
      <c r="B3559" s="209"/>
      <c r="C3559" s="201"/>
      <c r="D3559" s="201"/>
      <c r="E3559" s="202"/>
      <c r="F3559" s="210"/>
      <c r="G3559" s="210"/>
      <c r="H3559" s="206" t="s">
        <v>121</v>
      </c>
      <c r="I3559" s="206" t="s">
        <v>121</v>
      </c>
      <c r="J3559" s="206" t="s">
        <v>121</v>
      </c>
      <c r="K3559" s="206" t="s">
        <v>121</v>
      </c>
      <c r="L3559" s="206" t="str">
        <v/>
      </c>
      <c r="M3559" s="206" t="str">
        <v/>
      </c>
    </row>
    <row r="3560" spans="1:13" ht="14.4">
      <c r="A3560" s="201"/>
      <c r="B3560" s="209"/>
      <c r="C3560" s="201"/>
      <c r="D3560" s="201"/>
      <c r="E3560" s="202"/>
      <c r="F3560" s="210"/>
      <c r="G3560" s="210"/>
      <c r="H3560" s="206" t="s">
        <v>121</v>
      </c>
      <c r="I3560" s="206" t="s">
        <v>121</v>
      </c>
      <c r="J3560" s="206" t="s">
        <v>121</v>
      </c>
      <c r="K3560" s="206" t="s">
        <v>121</v>
      </c>
      <c r="L3560" s="206" t="str">
        <v/>
      </c>
      <c r="M3560" s="206" t="str">
        <v/>
      </c>
    </row>
    <row r="3561" spans="1:13" ht="14.4">
      <c r="A3561" s="201"/>
      <c r="B3561" s="209"/>
      <c r="C3561" s="201"/>
      <c r="D3561" s="201"/>
      <c r="E3561" s="202"/>
      <c r="F3561" s="210"/>
      <c r="G3561" s="210"/>
      <c r="H3561" s="206" t="s">
        <v>121</v>
      </c>
      <c r="I3561" s="206" t="s">
        <v>121</v>
      </c>
      <c r="J3561" s="206" t="s">
        <v>121</v>
      </c>
      <c r="K3561" s="206" t="s">
        <v>121</v>
      </c>
      <c r="L3561" s="206" t="str">
        <v/>
      </c>
      <c r="M3561" s="206" t="str">
        <v/>
      </c>
    </row>
    <row r="3562" spans="1:13" ht="14.4">
      <c r="A3562" s="201"/>
      <c r="B3562" s="209"/>
      <c r="C3562" s="201"/>
      <c r="D3562" s="201"/>
      <c r="E3562" s="202"/>
      <c r="F3562" s="210"/>
      <c r="G3562" s="210"/>
      <c r="H3562" s="206" t="s">
        <v>121</v>
      </c>
      <c r="I3562" s="206" t="s">
        <v>121</v>
      </c>
      <c r="J3562" s="206" t="s">
        <v>121</v>
      </c>
      <c r="K3562" s="206" t="s">
        <v>121</v>
      </c>
      <c r="L3562" s="206" t="str">
        <v/>
      </c>
      <c r="M3562" s="206" t="str">
        <v/>
      </c>
    </row>
    <row r="3563" spans="1:13" ht="14.4">
      <c r="A3563" s="201"/>
      <c r="B3563" s="209"/>
      <c r="C3563" s="201"/>
      <c r="D3563" s="201"/>
      <c r="E3563" s="202"/>
      <c r="F3563" s="210"/>
      <c r="G3563" s="210"/>
      <c r="H3563" s="206" t="s">
        <v>121</v>
      </c>
      <c r="I3563" s="206" t="s">
        <v>121</v>
      </c>
      <c r="J3563" s="206" t="s">
        <v>121</v>
      </c>
      <c r="K3563" s="206" t="s">
        <v>121</v>
      </c>
      <c r="L3563" s="206" t="str">
        <v/>
      </c>
      <c r="M3563" s="206" t="str">
        <v/>
      </c>
    </row>
    <row r="3564" spans="1:13" ht="14.4">
      <c r="A3564" s="201"/>
      <c r="B3564" s="209"/>
      <c r="C3564" s="201"/>
      <c r="D3564" s="201"/>
      <c r="E3564" s="202"/>
      <c r="F3564" s="210"/>
      <c r="G3564" s="210"/>
      <c r="H3564" s="206" t="s">
        <v>121</v>
      </c>
      <c r="I3564" s="206" t="s">
        <v>121</v>
      </c>
      <c r="J3564" s="206" t="s">
        <v>121</v>
      </c>
      <c r="K3564" s="206" t="s">
        <v>121</v>
      </c>
      <c r="L3564" s="206" t="str">
        <v/>
      </c>
      <c r="M3564" s="206" t="str">
        <v/>
      </c>
    </row>
    <row r="3565" spans="1:13" ht="14.4">
      <c r="A3565" s="201"/>
      <c r="B3565" s="209"/>
      <c r="C3565" s="201"/>
      <c r="D3565" s="201"/>
      <c r="E3565" s="202"/>
      <c r="F3565" s="210"/>
      <c r="G3565" s="210"/>
      <c r="H3565" s="206" t="s">
        <v>121</v>
      </c>
      <c r="I3565" s="206" t="s">
        <v>121</v>
      </c>
      <c r="J3565" s="206" t="s">
        <v>121</v>
      </c>
      <c r="K3565" s="206" t="s">
        <v>121</v>
      </c>
      <c r="L3565" s="206" t="str">
        <v/>
      </c>
      <c r="M3565" s="206" t="str">
        <v/>
      </c>
    </row>
    <row r="3566" spans="1:13" ht="14.4">
      <c r="A3566" s="201"/>
      <c r="B3566" s="209"/>
      <c r="C3566" s="201"/>
      <c r="D3566" s="201"/>
      <c r="E3566" s="202"/>
      <c r="F3566" s="210"/>
      <c r="G3566" s="210"/>
      <c r="H3566" s="206" t="s">
        <v>121</v>
      </c>
      <c r="I3566" s="206" t="s">
        <v>121</v>
      </c>
      <c r="J3566" s="206" t="s">
        <v>121</v>
      </c>
      <c r="K3566" s="206" t="s">
        <v>121</v>
      </c>
      <c r="L3566" s="206" t="str">
        <v/>
      </c>
      <c r="M3566" s="206" t="str">
        <v/>
      </c>
    </row>
    <row r="3567" spans="1:13" ht="14.4">
      <c r="A3567" s="201"/>
      <c r="B3567" s="209"/>
      <c r="C3567" s="201"/>
      <c r="D3567" s="201"/>
      <c r="E3567" s="202"/>
      <c r="F3567" s="210"/>
      <c r="G3567" s="210"/>
      <c r="H3567" s="206" t="s">
        <v>121</v>
      </c>
      <c r="I3567" s="206" t="s">
        <v>121</v>
      </c>
      <c r="J3567" s="206" t="s">
        <v>121</v>
      </c>
      <c r="K3567" s="206" t="s">
        <v>121</v>
      </c>
      <c r="L3567" s="206" t="str">
        <v/>
      </c>
      <c r="M3567" s="206" t="str">
        <v/>
      </c>
    </row>
    <row r="3568" spans="1:13" ht="14.4">
      <c r="A3568" s="201"/>
      <c r="B3568" s="209"/>
      <c r="C3568" s="201"/>
      <c r="D3568" s="201"/>
      <c r="E3568" s="202"/>
      <c r="F3568" s="210"/>
      <c r="G3568" s="210"/>
      <c r="H3568" s="206" t="s">
        <v>121</v>
      </c>
      <c r="I3568" s="206" t="s">
        <v>121</v>
      </c>
      <c r="J3568" s="206" t="s">
        <v>121</v>
      </c>
      <c r="K3568" s="206" t="s">
        <v>121</v>
      </c>
      <c r="L3568" s="206" t="str">
        <v/>
      </c>
      <c r="M3568" s="206" t="str">
        <v/>
      </c>
    </row>
    <row r="3569" spans="1:13" ht="14.4">
      <c r="A3569" s="201"/>
      <c r="B3569" s="209"/>
      <c r="C3569" s="201"/>
      <c r="D3569" s="201"/>
      <c r="E3569" s="202"/>
      <c r="F3569" s="210"/>
      <c r="G3569" s="210"/>
      <c r="H3569" s="206" t="s">
        <v>121</v>
      </c>
      <c r="I3569" s="206" t="s">
        <v>121</v>
      </c>
      <c r="J3569" s="206" t="s">
        <v>121</v>
      </c>
      <c r="K3569" s="206" t="s">
        <v>121</v>
      </c>
      <c r="L3569" s="206" t="str">
        <v/>
      </c>
      <c r="M3569" s="206" t="str">
        <v/>
      </c>
    </row>
    <row r="3570" spans="1:13" ht="14.4">
      <c r="A3570" s="201"/>
      <c r="B3570" s="209"/>
      <c r="C3570" s="201"/>
      <c r="D3570" s="201"/>
      <c r="E3570" s="202"/>
      <c r="F3570" s="210"/>
      <c r="G3570" s="210"/>
      <c r="H3570" s="206" t="s">
        <v>121</v>
      </c>
      <c r="I3570" s="206" t="s">
        <v>121</v>
      </c>
      <c r="J3570" s="206" t="s">
        <v>121</v>
      </c>
      <c r="K3570" s="206" t="s">
        <v>121</v>
      </c>
      <c r="L3570" s="206" t="str">
        <v/>
      </c>
      <c r="M3570" s="206" t="str">
        <v/>
      </c>
    </row>
    <row r="3571" spans="1:13" ht="14.4">
      <c r="A3571" s="201"/>
      <c r="B3571" s="209"/>
      <c r="C3571" s="201"/>
      <c r="D3571" s="201"/>
      <c r="E3571" s="202"/>
      <c r="F3571" s="210"/>
      <c r="G3571" s="210"/>
      <c r="H3571" s="206" t="s">
        <v>121</v>
      </c>
      <c r="I3571" s="206" t="s">
        <v>121</v>
      </c>
      <c r="J3571" s="206" t="s">
        <v>121</v>
      </c>
      <c r="K3571" s="206" t="s">
        <v>121</v>
      </c>
      <c r="L3571" s="206" t="str">
        <v/>
      </c>
      <c r="M3571" s="206" t="str">
        <v/>
      </c>
    </row>
    <row r="3572" spans="1:13" ht="14.4">
      <c r="A3572" s="201"/>
      <c r="B3572" s="209"/>
      <c r="C3572" s="201"/>
      <c r="D3572" s="201"/>
      <c r="E3572" s="202"/>
      <c r="F3572" s="210"/>
      <c r="G3572" s="210"/>
      <c r="H3572" s="206" t="s">
        <v>121</v>
      </c>
      <c r="I3572" s="206" t="s">
        <v>121</v>
      </c>
      <c r="J3572" s="206" t="s">
        <v>121</v>
      </c>
      <c r="K3572" s="206" t="s">
        <v>121</v>
      </c>
      <c r="L3572" s="206" t="str">
        <v/>
      </c>
      <c r="M3572" s="206" t="str">
        <v/>
      </c>
    </row>
    <row r="3573" spans="1:13" ht="14.4">
      <c r="A3573" s="201"/>
      <c r="B3573" s="209"/>
      <c r="C3573" s="201"/>
      <c r="D3573" s="201"/>
      <c r="E3573" s="202"/>
      <c r="F3573" s="210"/>
      <c r="G3573" s="210"/>
      <c r="H3573" s="206" t="s">
        <v>121</v>
      </c>
      <c r="I3573" s="206" t="s">
        <v>121</v>
      </c>
      <c r="J3573" s="206" t="s">
        <v>121</v>
      </c>
      <c r="K3573" s="206" t="s">
        <v>121</v>
      </c>
      <c r="L3573" s="206" t="str">
        <v/>
      </c>
      <c r="M3573" s="206" t="str">
        <v/>
      </c>
    </row>
    <row r="3574" spans="1:13" ht="14.4">
      <c r="A3574" s="201"/>
      <c r="B3574" s="209"/>
      <c r="C3574" s="201"/>
      <c r="D3574" s="201"/>
      <c r="E3574" s="202"/>
      <c r="F3574" s="210"/>
      <c r="G3574" s="210"/>
      <c r="H3574" s="206" t="s">
        <v>121</v>
      </c>
      <c r="I3574" s="206" t="s">
        <v>121</v>
      </c>
      <c r="J3574" s="206" t="s">
        <v>121</v>
      </c>
      <c r="K3574" s="206" t="s">
        <v>121</v>
      </c>
      <c r="L3574" s="206" t="str">
        <v/>
      </c>
      <c r="M3574" s="206" t="str">
        <v/>
      </c>
    </row>
    <row r="3575" spans="1:13" ht="14.4">
      <c r="A3575" s="201"/>
      <c r="B3575" s="209"/>
      <c r="C3575" s="201"/>
      <c r="D3575" s="201"/>
      <c r="E3575" s="202"/>
      <c r="F3575" s="210"/>
      <c r="G3575" s="210"/>
      <c r="H3575" s="206" t="s">
        <v>121</v>
      </c>
      <c r="I3575" s="206" t="s">
        <v>121</v>
      </c>
      <c r="J3575" s="206" t="s">
        <v>121</v>
      </c>
      <c r="K3575" s="206" t="s">
        <v>121</v>
      </c>
      <c r="L3575" s="206" t="str">
        <v/>
      </c>
      <c r="M3575" s="206" t="str">
        <v/>
      </c>
    </row>
    <row r="3576" spans="1:13" ht="14.4">
      <c r="A3576" s="201"/>
      <c r="B3576" s="209"/>
      <c r="C3576" s="201"/>
      <c r="D3576" s="201"/>
      <c r="E3576" s="202"/>
      <c r="F3576" s="210"/>
      <c r="G3576" s="210"/>
      <c r="H3576" s="206" t="s">
        <v>121</v>
      </c>
      <c r="I3576" s="206" t="s">
        <v>121</v>
      </c>
      <c r="J3576" s="206" t="s">
        <v>121</v>
      </c>
      <c r="K3576" s="206" t="s">
        <v>121</v>
      </c>
      <c r="L3576" s="206" t="str">
        <v/>
      </c>
      <c r="M3576" s="206" t="str">
        <v/>
      </c>
    </row>
    <row r="3577" spans="1:13" ht="14.4">
      <c r="A3577" s="201"/>
      <c r="B3577" s="209"/>
      <c r="C3577" s="201"/>
      <c r="D3577" s="201"/>
      <c r="E3577" s="202"/>
      <c r="F3577" s="210"/>
      <c r="G3577" s="210"/>
      <c r="H3577" s="206" t="s">
        <v>121</v>
      </c>
      <c r="I3577" s="206" t="s">
        <v>121</v>
      </c>
      <c r="J3577" s="206" t="s">
        <v>121</v>
      </c>
      <c r="K3577" s="206" t="s">
        <v>121</v>
      </c>
      <c r="L3577" s="206" t="str">
        <v/>
      </c>
      <c r="M3577" s="206" t="str">
        <v/>
      </c>
    </row>
    <row r="3578" spans="1:13" ht="14.4">
      <c r="A3578" s="201"/>
      <c r="B3578" s="209"/>
      <c r="C3578" s="201"/>
      <c r="D3578" s="201"/>
      <c r="E3578" s="202"/>
      <c r="F3578" s="210"/>
      <c r="G3578" s="210"/>
      <c r="H3578" s="206" t="s">
        <v>121</v>
      </c>
      <c r="I3578" s="206" t="s">
        <v>121</v>
      </c>
      <c r="J3578" s="206" t="s">
        <v>121</v>
      </c>
      <c r="K3578" s="206" t="s">
        <v>121</v>
      </c>
      <c r="L3578" s="206" t="str">
        <v/>
      </c>
      <c r="M3578" s="206" t="str">
        <v/>
      </c>
    </row>
    <row r="3579" spans="1:13" ht="14.4">
      <c r="A3579" s="201"/>
      <c r="B3579" s="209"/>
      <c r="C3579" s="201"/>
      <c r="D3579" s="201"/>
      <c r="E3579" s="202"/>
      <c r="F3579" s="210"/>
      <c r="G3579" s="210"/>
      <c r="H3579" s="206" t="s">
        <v>121</v>
      </c>
      <c r="I3579" s="206" t="s">
        <v>121</v>
      </c>
      <c r="J3579" s="206" t="s">
        <v>121</v>
      </c>
      <c r="K3579" s="206" t="s">
        <v>121</v>
      </c>
      <c r="L3579" s="206" t="str">
        <v/>
      </c>
      <c r="M3579" s="206" t="str">
        <v/>
      </c>
    </row>
    <row r="3580" spans="1:13" ht="14.4">
      <c r="A3580" s="201"/>
      <c r="B3580" s="209"/>
      <c r="C3580" s="201"/>
      <c r="D3580" s="201"/>
      <c r="E3580" s="202"/>
      <c r="F3580" s="210"/>
      <c r="G3580" s="210"/>
      <c r="H3580" s="206" t="s">
        <v>121</v>
      </c>
      <c r="I3580" s="206" t="s">
        <v>121</v>
      </c>
      <c r="J3580" s="206" t="s">
        <v>121</v>
      </c>
      <c r="K3580" s="206" t="s">
        <v>121</v>
      </c>
      <c r="L3580" s="206" t="str">
        <v/>
      </c>
      <c r="M3580" s="206" t="str">
        <v/>
      </c>
    </row>
    <row r="3581" spans="1:13" ht="14.4">
      <c r="A3581" s="201"/>
      <c r="B3581" s="209"/>
      <c r="C3581" s="201"/>
      <c r="D3581" s="201"/>
      <c r="E3581" s="202"/>
      <c r="F3581" s="210"/>
      <c r="G3581" s="210"/>
      <c r="H3581" s="206" t="s">
        <v>121</v>
      </c>
      <c r="I3581" s="206" t="s">
        <v>121</v>
      </c>
      <c r="J3581" s="206" t="s">
        <v>121</v>
      </c>
      <c r="K3581" s="206" t="s">
        <v>121</v>
      </c>
      <c r="L3581" s="206" t="str">
        <v/>
      </c>
      <c r="M3581" s="206" t="str">
        <v/>
      </c>
    </row>
    <row r="3582" spans="1:13" ht="14.4">
      <c r="A3582" s="201"/>
      <c r="B3582" s="209"/>
      <c r="C3582" s="201"/>
      <c r="D3582" s="201"/>
      <c r="E3582" s="202"/>
      <c r="F3582" s="210"/>
      <c r="G3582" s="210"/>
      <c r="H3582" s="206" t="s">
        <v>121</v>
      </c>
      <c r="I3582" s="206" t="s">
        <v>121</v>
      </c>
      <c r="J3582" s="206" t="s">
        <v>121</v>
      </c>
      <c r="K3582" s="206" t="s">
        <v>121</v>
      </c>
      <c r="L3582" s="206" t="str">
        <v/>
      </c>
      <c r="M3582" s="206" t="str">
        <v/>
      </c>
    </row>
    <row r="3583" spans="1:13" ht="14.4">
      <c r="A3583" s="201"/>
      <c r="B3583" s="209"/>
      <c r="C3583" s="201"/>
      <c r="D3583" s="201"/>
      <c r="E3583" s="202"/>
      <c r="F3583" s="210"/>
      <c r="G3583" s="210"/>
      <c r="H3583" s="206" t="s">
        <v>121</v>
      </c>
      <c r="I3583" s="206" t="s">
        <v>121</v>
      </c>
      <c r="J3583" s="206" t="s">
        <v>121</v>
      </c>
      <c r="K3583" s="206" t="s">
        <v>121</v>
      </c>
      <c r="L3583" s="206" t="str">
        <v/>
      </c>
      <c r="M3583" s="206" t="str">
        <v/>
      </c>
    </row>
    <row r="3584" spans="1:13" ht="14.4">
      <c r="A3584" s="201"/>
      <c r="B3584" s="209"/>
      <c r="C3584" s="201"/>
      <c r="D3584" s="201"/>
      <c r="E3584" s="202"/>
      <c r="F3584" s="210"/>
      <c r="G3584" s="210"/>
      <c r="H3584" s="206" t="s">
        <v>121</v>
      </c>
      <c r="I3584" s="206" t="s">
        <v>121</v>
      </c>
      <c r="J3584" s="206" t="s">
        <v>121</v>
      </c>
      <c r="K3584" s="206" t="s">
        <v>121</v>
      </c>
      <c r="L3584" s="206" t="str">
        <v/>
      </c>
      <c r="M3584" s="206" t="str">
        <v/>
      </c>
    </row>
    <row r="3585" spans="1:13" ht="14.4">
      <c r="A3585" s="201"/>
      <c r="B3585" s="209"/>
      <c r="C3585" s="201"/>
      <c r="D3585" s="201"/>
      <c r="E3585" s="202"/>
      <c r="F3585" s="210"/>
      <c r="G3585" s="210"/>
      <c r="H3585" s="206" t="s">
        <v>121</v>
      </c>
      <c r="I3585" s="206" t="s">
        <v>121</v>
      </c>
      <c r="J3585" s="206" t="s">
        <v>121</v>
      </c>
      <c r="K3585" s="206" t="s">
        <v>121</v>
      </c>
      <c r="L3585" s="206" t="str">
        <v/>
      </c>
      <c r="M3585" s="206" t="str">
        <v/>
      </c>
    </row>
    <row r="3586" spans="1:13" ht="14.4">
      <c r="A3586" s="201"/>
      <c r="B3586" s="209"/>
      <c r="C3586" s="201"/>
      <c r="D3586" s="201"/>
      <c r="E3586" s="202"/>
      <c r="F3586" s="210"/>
      <c r="G3586" s="210"/>
      <c r="H3586" s="206" t="s">
        <v>121</v>
      </c>
      <c r="I3586" s="206" t="s">
        <v>121</v>
      </c>
      <c r="J3586" s="206" t="s">
        <v>121</v>
      </c>
      <c r="K3586" s="206" t="s">
        <v>121</v>
      </c>
      <c r="L3586" s="206" t="str">
        <v/>
      </c>
      <c r="M3586" s="206" t="str">
        <v/>
      </c>
    </row>
    <row r="3587" spans="1:13" ht="14.4">
      <c r="A3587" s="201"/>
      <c r="B3587" s="209"/>
      <c r="C3587" s="201"/>
      <c r="D3587" s="201"/>
      <c r="E3587" s="202"/>
      <c r="F3587" s="210"/>
      <c r="G3587" s="210"/>
      <c r="H3587" s="206" t="s">
        <v>121</v>
      </c>
      <c r="I3587" s="206" t="s">
        <v>121</v>
      </c>
      <c r="J3587" s="206" t="s">
        <v>121</v>
      </c>
      <c r="K3587" s="206" t="s">
        <v>121</v>
      </c>
      <c r="L3587" s="206" t="str">
        <v/>
      </c>
      <c r="M3587" s="206" t="str">
        <v/>
      </c>
    </row>
    <row r="3588" spans="1:13" ht="14.4">
      <c r="A3588" s="201"/>
      <c r="B3588" s="209"/>
      <c r="C3588" s="201"/>
      <c r="D3588" s="201"/>
      <c r="E3588" s="202"/>
      <c r="F3588" s="210"/>
      <c r="G3588" s="210"/>
      <c r="H3588" s="206" t="s">
        <v>121</v>
      </c>
      <c r="I3588" s="206" t="s">
        <v>121</v>
      </c>
      <c r="J3588" s="206" t="s">
        <v>121</v>
      </c>
      <c r="K3588" s="206" t="s">
        <v>121</v>
      </c>
      <c r="L3588" s="206" t="str">
        <v/>
      </c>
      <c r="M3588" s="206" t="str">
        <v/>
      </c>
    </row>
    <row r="3589" spans="1:13" ht="14.4">
      <c r="A3589" s="201"/>
      <c r="B3589" s="209"/>
      <c r="C3589" s="201"/>
      <c r="D3589" s="201"/>
      <c r="E3589" s="202"/>
      <c r="F3589" s="210"/>
      <c r="G3589" s="210"/>
      <c r="H3589" s="206" t="s">
        <v>121</v>
      </c>
      <c r="I3589" s="206" t="s">
        <v>121</v>
      </c>
      <c r="J3589" s="206" t="s">
        <v>121</v>
      </c>
      <c r="K3589" s="206" t="s">
        <v>121</v>
      </c>
      <c r="L3589" s="206" t="str">
        <v/>
      </c>
      <c r="M3589" s="206" t="str">
        <v/>
      </c>
    </row>
    <row r="3590" spans="1:13" ht="14.4">
      <c r="A3590" s="201"/>
      <c r="B3590" s="209"/>
      <c r="C3590" s="201"/>
      <c r="D3590" s="201"/>
      <c r="E3590" s="202"/>
      <c r="F3590" s="210"/>
      <c r="G3590" s="210"/>
      <c r="H3590" s="206" t="s">
        <v>121</v>
      </c>
      <c r="I3590" s="206" t="s">
        <v>121</v>
      </c>
      <c r="J3590" s="206" t="s">
        <v>121</v>
      </c>
      <c r="K3590" s="206" t="s">
        <v>121</v>
      </c>
      <c r="L3590" s="206" t="str">
        <v/>
      </c>
      <c r="M3590" s="206" t="str">
        <v/>
      </c>
    </row>
    <row r="3591" spans="1:13" ht="14.4">
      <c r="A3591" s="201"/>
      <c r="B3591" s="209"/>
      <c r="C3591" s="201"/>
      <c r="D3591" s="201"/>
      <c r="E3591" s="202"/>
      <c r="F3591" s="210"/>
      <c r="G3591" s="210"/>
      <c r="H3591" s="206" t="s">
        <v>121</v>
      </c>
      <c r="I3591" s="206" t="s">
        <v>121</v>
      </c>
      <c r="J3591" s="206" t="s">
        <v>121</v>
      </c>
      <c r="K3591" s="206" t="s">
        <v>121</v>
      </c>
      <c r="L3591" s="206" t="str">
        <v/>
      </c>
      <c r="M3591" s="206" t="str">
        <v/>
      </c>
    </row>
    <row r="3592" spans="1:13" ht="14.4">
      <c r="A3592" s="201"/>
      <c r="B3592" s="209"/>
      <c r="C3592" s="201"/>
      <c r="D3592" s="201"/>
      <c r="E3592" s="202"/>
      <c r="F3592" s="210"/>
      <c r="G3592" s="210"/>
      <c r="H3592" s="206" t="s">
        <v>121</v>
      </c>
      <c r="I3592" s="206" t="s">
        <v>121</v>
      </c>
      <c r="J3592" s="206" t="s">
        <v>121</v>
      </c>
      <c r="K3592" s="206" t="s">
        <v>121</v>
      </c>
      <c r="L3592" s="206" t="str">
        <v/>
      </c>
      <c r="M3592" s="206" t="str">
        <v/>
      </c>
    </row>
    <row r="3593" spans="1:13" ht="14.4">
      <c r="A3593" s="201"/>
      <c r="B3593" s="209"/>
      <c r="C3593" s="201"/>
      <c r="D3593" s="201"/>
      <c r="E3593" s="202"/>
      <c r="F3593" s="210"/>
      <c r="G3593" s="210"/>
      <c r="H3593" s="206" t="s">
        <v>121</v>
      </c>
      <c r="I3593" s="206" t="s">
        <v>121</v>
      </c>
      <c r="J3593" s="206" t="s">
        <v>121</v>
      </c>
      <c r="K3593" s="206" t="s">
        <v>121</v>
      </c>
      <c r="L3593" s="206" t="str">
        <v/>
      </c>
      <c r="M3593" s="206" t="str">
        <v/>
      </c>
    </row>
    <row r="3594" spans="1:13" ht="14.4">
      <c r="A3594" s="201"/>
      <c r="B3594" s="209"/>
      <c r="C3594" s="201"/>
      <c r="D3594" s="201"/>
      <c r="E3594" s="202"/>
      <c r="F3594" s="210"/>
      <c r="G3594" s="210"/>
      <c r="H3594" s="206" t="s">
        <v>121</v>
      </c>
      <c r="I3594" s="206" t="s">
        <v>121</v>
      </c>
      <c r="J3594" s="206" t="s">
        <v>121</v>
      </c>
      <c r="K3594" s="206" t="s">
        <v>121</v>
      </c>
      <c r="L3594" s="206" t="str">
        <v/>
      </c>
      <c r="M3594" s="206" t="str">
        <v/>
      </c>
    </row>
    <row r="3595" spans="1:13" ht="14.4">
      <c r="A3595" s="201"/>
      <c r="B3595" s="209"/>
      <c r="C3595" s="201"/>
      <c r="D3595" s="201"/>
      <c r="E3595" s="202"/>
      <c r="F3595" s="210"/>
      <c r="G3595" s="210"/>
      <c r="H3595" s="206" t="s">
        <v>121</v>
      </c>
      <c r="I3595" s="206" t="s">
        <v>121</v>
      </c>
      <c r="J3595" s="206" t="s">
        <v>121</v>
      </c>
      <c r="K3595" s="206" t="s">
        <v>121</v>
      </c>
      <c r="L3595" s="206" t="str">
        <v/>
      </c>
      <c r="M3595" s="206" t="str">
        <v/>
      </c>
    </row>
    <row r="3596" spans="1:13" ht="14.4">
      <c r="A3596" s="201"/>
      <c r="B3596" s="209"/>
      <c r="C3596" s="201"/>
      <c r="D3596" s="201"/>
      <c r="E3596" s="202"/>
      <c r="F3596" s="210"/>
      <c r="G3596" s="210"/>
      <c r="H3596" s="206" t="s">
        <v>121</v>
      </c>
      <c r="I3596" s="206" t="s">
        <v>121</v>
      </c>
      <c r="J3596" s="206" t="s">
        <v>121</v>
      </c>
      <c r="K3596" s="206" t="s">
        <v>121</v>
      </c>
      <c r="L3596" s="206" t="str">
        <v/>
      </c>
      <c r="M3596" s="206" t="str">
        <v/>
      </c>
    </row>
    <row r="3597" spans="1:13" ht="14.4">
      <c r="A3597" s="201"/>
      <c r="B3597" s="209"/>
      <c r="C3597" s="201"/>
      <c r="D3597" s="201"/>
      <c r="E3597" s="202"/>
      <c r="F3597" s="210"/>
      <c r="G3597" s="210"/>
      <c r="H3597" s="206" t="s">
        <v>121</v>
      </c>
      <c r="I3597" s="206" t="s">
        <v>121</v>
      </c>
      <c r="J3597" s="206" t="s">
        <v>121</v>
      </c>
      <c r="K3597" s="206" t="s">
        <v>121</v>
      </c>
      <c r="L3597" s="206" t="str">
        <v/>
      </c>
      <c r="M3597" s="206" t="str">
        <v/>
      </c>
    </row>
    <row r="3598" spans="1:13" ht="14.4">
      <c r="A3598" s="201"/>
      <c r="B3598" s="209"/>
      <c r="C3598" s="201"/>
      <c r="D3598" s="201"/>
      <c r="E3598" s="202"/>
      <c r="F3598" s="210"/>
      <c r="G3598" s="210"/>
      <c r="H3598" s="206" t="s">
        <v>121</v>
      </c>
      <c r="I3598" s="206" t="s">
        <v>121</v>
      </c>
      <c r="J3598" s="206" t="s">
        <v>121</v>
      </c>
      <c r="K3598" s="206" t="s">
        <v>121</v>
      </c>
      <c r="L3598" s="206" t="str">
        <v/>
      </c>
      <c r="M3598" s="206" t="str">
        <v/>
      </c>
    </row>
    <row r="3599" spans="1:13" ht="14.4">
      <c r="A3599" s="201"/>
      <c r="B3599" s="209"/>
      <c r="C3599" s="201"/>
      <c r="D3599" s="201"/>
      <c r="E3599" s="202"/>
      <c r="F3599" s="210"/>
      <c r="G3599" s="210"/>
      <c r="H3599" s="206" t="s">
        <v>121</v>
      </c>
      <c r="I3599" s="206" t="s">
        <v>121</v>
      </c>
      <c r="J3599" s="206" t="s">
        <v>121</v>
      </c>
      <c r="K3599" s="206" t="s">
        <v>121</v>
      </c>
      <c r="L3599" s="206" t="str">
        <v/>
      </c>
      <c r="M3599" s="206" t="str">
        <v/>
      </c>
    </row>
    <row r="3600" spans="1:13" ht="14.4">
      <c r="A3600" s="201"/>
      <c r="B3600" s="209"/>
      <c r="C3600" s="201"/>
      <c r="D3600" s="201"/>
      <c r="E3600" s="202"/>
      <c r="F3600" s="210"/>
      <c r="G3600" s="210"/>
      <c r="H3600" s="206" t="s">
        <v>121</v>
      </c>
      <c r="I3600" s="206" t="s">
        <v>121</v>
      </c>
      <c r="J3600" s="206" t="s">
        <v>121</v>
      </c>
      <c r="K3600" s="206" t="s">
        <v>121</v>
      </c>
      <c r="L3600" s="206" t="str">
        <v/>
      </c>
      <c r="M3600" s="206" t="str">
        <v/>
      </c>
    </row>
    <row r="3601" spans="1:13" ht="14.4">
      <c r="A3601" s="201"/>
      <c r="B3601" s="209"/>
      <c r="C3601" s="201"/>
      <c r="D3601" s="201"/>
      <c r="E3601" s="202"/>
      <c r="F3601" s="210"/>
      <c r="G3601" s="210"/>
      <c r="H3601" s="206" t="s">
        <v>121</v>
      </c>
      <c r="I3601" s="206" t="s">
        <v>121</v>
      </c>
      <c r="J3601" s="206" t="s">
        <v>121</v>
      </c>
      <c r="K3601" s="206" t="s">
        <v>121</v>
      </c>
      <c r="L3601" s="206" t="str">
        <v/>
      </c>
      <c r="M3601" s="206" t="str">
        <v/>
      </c>
    </row>
    <row r="3602" spans="1:13" ht="14.4">
      <c r="A3602" s="201"/>
      <c r="B3602" s="209"/>
      <c r="C3602" s="201"/>
      <c r="D3602" s="201"/>
      <c r="E3602" s="202"/>
      <c r="F3602" s="210"/>
      <c r="G3602" s="210"/>
      <c r="H3602" s="206" t="s">
        <v>121</v>
      </c>
      <c r="I3602" s="206" t="s">
        <v>121</v>
      </c>
      <c r="J3602" s="206" t="s">
        <v>121</v>
      </c>
      <c r="K3602" s="206" t="s">
        <v>121</v>
      </c>
      <c r="L3602" s="206" t="str">
        <v/>
      </c>
      <c r="M3602" s="206" t="str">
        <v/>
      </c>
    </row>
    <row r="3603" spans="1:13" ht="14.4">
      <c r="A3603" s="201"/>
      <c r="B3603" s="209"/>
      <c r="C3603" s="201"/>
      <c r="D3603" s="201"/>
      <c r="E3603" s="202"/>
      <c r="F3603" s="210"/>
      <c r="G3603" s="210"/>
      <c r="H3603" s="206" t="s">
        <v>121</v>
      </c>
      <c r="I3603" s="206" t="s">
        <v>121</v>
      </c>
      <c r="J3603" s="206" t="s">
        <v>121</v>
      </c>
      <c r="K3603" s="206" t="s">
        <v>121</v>
      </c>
      <c r="L3603" s="206" t="str">
        <v/>
      </c>
      <c r="M3603" s="206" t="str">
        <v/>
      </c>
    </row>
    <row r="3604" spans="1:13" ht="14.4">
      <c r="A3604" s="201"/>
      <c r="B3604" s="209"/>
      <c r="C3604" s="201"/>
      <c r="D3604" s="201"/>
      <c r="E3604" s="202"/>
      <c r="F3604" s="210"/>
      <c r="G3604" s="210"/>
      <c r="H3604" s="206" t="s">
        <v>121</v>
      </c>
      <c r="I3604" s="206" t="s">
        <v>121</v>
      </c>
      <c r="J3604" s="206" t="s">
        <v>121</v>
      </c>
      <c r="K3604" s="206" t="s">
        <v>121</v>
      </c>
      <c r="L3604" s="206" t="str">
        <v/>
      </c>
      <c r="M3604" s="206" t="str">
        <v/>
      </c>
    </row>
    <row r="3605" spans="1:13" ht="14.4">
      <c r="A3605" s="201"/>
      <c r="B3605" s="209"/>
      <c r="C3605" s="201"/>
      <c r="D3605" s="201"/>
      <c r="E3605" s="202"/>
      <c r="F3605" s="210"/>
      <c r="G3605" s="210"/>
      <c r="H3605" s="206" t="s">
        <v>121</v>
      </c>
      <c r="I3605" s="206" t="s">
        <v>121</v>
      </c>
      <c r="J3605" s="206" t="s">
        <v>121</v>
      </c>
      <c r="K3605" s="206" t="s">
        <v>121</v>
      </c>
      <c r="L3605" s="206" t="str">
        <v/>
      </c>
      <c r="M3605" s="206" t="str">
        <v/>
      </c>
    </row>
    <row r="3606" spans="1:13" ht="14.4">
      <c r="A3606" s="201"/>
      <c r="B3606" s="209"/>
      <c r="C3606" s="201"/>
      <c r="D3606" s="201"/>
      <c r="E3606" s="202"/>
      <c r="F3606" s="210"/>
      <c r="G3606" s="210"/>
      <c r="H3606" s="206" t="s">
        <v>121</v>
      </c>
      <c r="I3606" s="206" t="s">
        <v>121</v>
      </c>
      <c r="J3606" s="206" t="s">
        <v>121</v>
      </c>
      <c r="K3606" s="206" t="s">
        <v>121</v>
      </c>
      <c r="L3606" s="206" t="str">
        <v/>
      </c>
      <c r="M3606" s="206" t="str">
        <v/>
      </c>
    </row>
    <row r="3607" spans="1:13" ht="14.4">
      <c r="A3607" s="201"/>
      <c r="B3607" s="209"/>
      <c r="C3607" s="201"/>
      <c r="D3607" s="201"/>
      <c r="E3607" s="202"/>
      <c r="F3607" s="210"/>
      <c r="G3607" s="210"/>
      <c r="H3607" s="206" t="s">
        <v>121</v>
      </c>
      <c r="I3607" s="206" t="s">
        <v>121</v>
      </c>
      <c r="J3607" s="206" t="s">
        <v>121</v>
      </c>
      <c r="K3607" s="206" t="s">
        <v>121</v>
      </c>
      <c r="L3607" s="206" t="str">
        <v/>
      </c>
      <c r="M3607" s="206" t="str">
        <v/>
      </c>
    </row>
    <row r="3608" spans="1:13" ht="14.4">
      <c r="A3608" s="201"/>
      <c r="B3608" s="209"/>
      <c r="C3608" s="201"/>
      <c r="D3608" s="201"/>
      <c r="E3608" s="202"/>
      <c r="F3608" s="210"/>
      <c r="G3608" s="210"/>
      <c r="H3608" s="206" t="s">
        <v>121</v>
      </c>
      <c r="I3608" s="206" t="s">
        <v>121</v>
      </c>
      <c r="J3608" s="206" t="s">
        <v>121</v>
      </c>
      <c r="K3608" s="206" t="s">
        <v>121</v>
      </c>
      <c r="L3608" s="206" t="str">
        <v/>
      </c>
      <c r="M3608" s="206" t="str">
        <v/>
      </c>
    </row>
    <row r="3609" spans="1:13" ht="14.4">
      <c r="A3609" s="201"/>
      <c r="B3609" s="209"/>
      <c r="C3609" s="201"/>
      <c r="D3609" s="201"/>
      <c r="E3609" s="202"/>
      <c r="F3609" s="210"/>
      <c r="G3609" s="210"/>
      <c r="H3609" s="206" t="s">
        <v>121</v>
      </c>
      <c r="I3609" s="206" t="s">
        <v>121</v>
      </c>
      <c r="J3609" s="206" t="s">
        <v>121</v>
      </c>
      <c r="K3609" s="206" t="s">
        <v>121</v>
      </c>
      <c r="L3609" s="206" t="str">
        <v/>
      </c>
      <c r="M3609" s="206" t="str">
        <v/>
      </c>
    </row>
    <row r="3610" spans="1:13" ht="14.4">
      <c r="A3610" s="201"/>
      <c r="B3610" s="209"/>
      <c r="C3610" s="201"/>
      <c r="D3610" s="201"/>
      <c r="E3610" s="202"/>
      <c r="F3610" s="210"/>
      <c r="G3610" s="210"/>
      <c r="H3610" s="206" t="s">
        <v>121</v>
      </c>
      <c r="I3610" s="206" t="s">
        <v>121</v>
      </c>
      <c r="J3610" s="206" t="s">
        <v>121</v>
      </c>
      <c r="K3610" s="206" t="s">
        <v>121</v>
      </c>
      <c r="L3610" s="206" t="str">
        <v/>
      </c>
      <c r="M3610" s="206" t="str">
        <v/>
      </c>
    </row>
    <row r="3611" spans="1:13" ht="14.4">
      <c r="A3611" s="201"/>
      <c r="B3611" s="209"/>
      <c r="C3611" s="201"/>
      <c r="D3611" s="201"/>
      <c r="E3611" s="202"/>
      <c r="F3611" s="210"/>
      <c r="G3611" s="210"/>
      <c r="H3611" s="206" t="s">
        <v>121</v>
      </c>
      <c r="I3611" s="206" t="s">
        <v>121</v>
      </c>
      <c r="J3611" s="206" t="s">
        <v>121</v>
      </c>
      <c r="K3611" s="206" t="s">
        <v>121</v>
      </c>
      <c r="L3611" s="206" t="str">
        <v/>
      </c>
      <c r="M3611" s="206" t="str">
        <v/>
      </c>
    </row>
    <row r="3612" spans="1:13" ht="14.4">
      <c r="A3612" s="201"/>
      <c r="B3612" s="209"/>
      <c r="C3612" s="201"/>
      <c r="D3612" s="201"/>
      <c r="E3612" s="202"/>
      <c r="F3612" s="210"/>
      <c r="G3612" s="210"/>
      <c r="H3612" s="206" t="s">
        <v>121</v>
      </c>
      <c r="I3612" s="206" t="s">
        <v>121</v>
      </c>
      <c r="J3612" s="206" t="s">
        <v>121</v>
      </c>
      <c r="K3612" s="206" t="s">
        <v>121</v>
      </c>
      <c r="L3612" s="206" t="str">
        <v/>
      </c>
      <c r="M3612" s="206" t="str">
        <v/>
      </c>
    </row>
    <row r="3613" spans="1:13" ht="14.4">
      <c r="A3613" s="201"/>
      <c r="B3613" s="209"/>
      <c r="C3613" s="201"/>
      <c r="D3613" s="201"/>
      <c r="E3613" s="202"/>
      <c r="F3613" s="210"/>
      <c r="G3613" s="210"/>
      <c r="H3613" s="206" t="s">
        <v>121</v>
      </c>
      <c r="I3613" s="206" t="s">
        <v>121</v>
      </c>
      <c r="J3613" s="206" t="s">
        <v>121</v>
      </c>
      <c r="K3613" s="206" t="s">
        <v>121</v>
      </c>
      <c r="L3613" s="206" t="str">
        <v/>
      </c>
      <c r="M3613" s="206" t="str">
        <v/>
      </c>
    </row>
    <row r="3614" spans="1:13" ht="14.4">
      <c r="A3614" s="201"/>
      <c r="B3614" s="209"/>
      <c r="C3614" s="201"/>
      <c r="D3614" s="201"/>
      <c r="E3614" s="202"/>
      <c r="F3614" s="210"/>
      <c r="G3614" s="210"/>
      <c r="H3614" s="206" t="s">
        <v>121</v>
      </c>
      <c r="I3614" s="206" t="s">
        <v>121</v>
      </c>
      <c r="J3614" s="206" t="s">
        <v>121</v>
      </c>
      <c r="K3614" s="206" t="s">
        <v>121</v>
      </c>
      <c r="L3614" s="206" t="str">
        <v/>
      </c>
      <c r="M3614" s="206" t="str">
        <v/>
      </c>
    </row>
    <row r="3615" spans="1:13" ht="14.4">
      <c r="A3615" s="201"/>
      <c r="B3615" s="209"/>
      <c r="C3615" s="201"/>
      <c r="D3615" s="201"/>
      <c r="E3615" s="202"/>
      <c r="F3615" s="210"/>
      <c r="G3615" s="210"/>
      <c r="H3615" s="206" t="s">
        <v>121</v>
      </c>
      <c r="I3615" s="206" t="s">
        <v>121</v>
      </c>
      <c r="J3615" s="206" t="s">
        <v>121</v>
      </c>
      <c r="K3615" s="206" t="s">
        <v>121</v>
      </c>
      <c r="L3615" s="206" t="str">
        <v/>
      </c>
      <c r="M3615" s="206" t="str">
        <v/>
      </c>
    </row>
    <row r="3616" spans="1:13" ht="14.4">
      <c r="A3616" s="201"/>
      <c r="B3616" s="209"/>
      <c r="C3616" s="201"/>
      <c r="D3616" s="201"/>
      <c r="E3616" s="202"/>
      <c r="F3616" s="210"/>
      <c r="G3616" s="210"/>
      <c r="H3616" s="206" t="s">
        <v>121</v>
      </c>
      <c r="I3616" s="206" t="s">
        <v>121</v>
      </c>
      <c r="J3616" s="206" t="s">
        <v>121</v>
      </c>
      <c r="K3616" s="206" t="s">
        <v>121</v>
      </c>
      <c r="L3616" s="206" t="str">
        <v/>
      </c>
      <c r="M3616" s="206" t="str">
        <v/>
      </c>
    </row>
    <row r="3617" spans="1:13" ht="14.4">
      <c r="A3617" s="201"/>
      <c r="B3617" s="209"/>
      <c r="C3617" s="201"/>
      <c r="D3617" s="201"/>
      <c r="E3617" s="202"/>
      <c r="F3617" s="210"/>
      <c r="G3617" s="210"/>
      <c r="H3617" s="206" t="s">
        <v>121</v>
      </c>
      <c r="I3617" s="206" t="s">
        <v>121</v>
      </c>
      <c r="J3617" s="206" t="s">
        <v>121</v>
      </c>
      <c r="K3617" s="206" t="s">
        <v>121</v>
      </c>
      <c r="L3617" s="206" t="str">
        <v/>
      </c>
      <c r="M3617" s="206" t="str">
        <v/>
      </c>
    </row>
    <row r="3618" spans="1:13" ht="14.4">
      <c r="A3618" s="201"/>
      <c r="B3618" s="209"/>
      <c r="C3618" s="201"/>
      <c r="D3618" s="201"/>
      <c r="E3618" s="202"/>
      <c r="F3618" s="210"/>
      <c r="G3618" s="210"/>
      <c r="H3618" s="206" t="s">
        <v>121</v>
      </c>
      <c r="I3618" s="206" t="s">
        <v>121</v>
      </c>
      <c r="J3618" s="206" t="s">
        <v>121</v>
      </c>
      <c r="K3618" s="206" t="s">
        <v>121</v>
      </c>
      <c r="L3618" s="206" t="str">
        <v/>
      </c>
      <c r="M3618" s="206" t="str">
        <v/>
      </c>
    </row>
    <row r="3619" spans="1:13" ht="14.4">
      <c r="A3619" s="201"/>
      <c r="B3619" s="209"/>
      <c r="C3619" s="201"/>
      <c r="D3619" s="201"/>
      <c r="E3619" s="202"/>
      <c r="F3619" s="210"/>
      <c r="G3619" s="210"/>
      <c r="H3619" s="206" t="s">
        <v>121</v>
      </c>
      <c r="I3619" s="206" t="s">
        <v>121</v>
      </c>
      <c r="J3619" s="206" t="s">
        <v>121</v>
      </c>
      <c r="K3619" s="206" t="s">
        <v>121</v>
      </c>
      <c r="L3619" s="206" t="str">
        <v/>
      </c>
      <c r="M3619" s="206" t="str">
        <v/>
      </c>
    </row>
    <row r="3620" spans="1:13" ht="14.4">
      <c r="A3620" s="201"/>
      <c r="B3620" s="209"/>
      <c r="C3620" s="201"/>
      <c r="D3620" s="201"/>
      <c r="E3620" s="202"/>
      <c r="F3620" s="210"/>
      <c r="G3620" s="210"/>
      <c r="H3620" s="206" t="s">
        <v>121</v>
      </c>
      <c r="I3620" s="206" t="s">
        <v>121</v>
      </c>
      <c r="J3620" s="206" t="s">
        <v>121</v>
      </c>
      <c r="K3620" s="206" t="s">
        <v>121</v>
      </c>
      <c r="L3620" s="206" t="str">
        <v/>
      </c>
      <c r="M3620" s="206" t="str">
        <v/>
      </c>
    </row>
    <row r="3621" spans="1:13" ht="14.4">
      <c r="A3621" s="201"/>
      <c r="B3621" s="209"/>
      <c r="C3621" s="201"/>
      <c r="D3621" s="201"/>
      <c r="E3621" s="202"/>
      <c r="F3621" s="210"/>
      <c r="G3621" s="210"/>
      <c r="H3621" s="206" t="s">
        <v>121</v>
      </c>
      <c r="I3621" s="206" t="s">
        <v>121</v>
      </c>
      <c r="J3621" s="206" t="s">
        <v>121</v>
      </c>
      <c r="K3621" s="206" t="s">
        <v>121</v>
      </c>
      <c r="L3621" s="206" t="str">
        <v/>
      </c>
      <c r="M3621" s="206" t="str">
        <v/>
      </c>
    </row>
    <row r="3622" spans="1:13" ht="14.4">
      <c r="A3622" s="201"/>
      <c r="B3622" s="209"/>
      <c r="C3622" s="201"/>
      <c r="D3622" s="201"/>
      <c r="E3622" s="202"/>
      <c r="F3622" s="210"/>
      <c r="G3622" s="210"/>
      <c r="H3622" s="206" t="s">
        <v>121</v>
      </c>
      <c r="I3622" s="206" t="s">
        <v>121</v>
      </c>
      <c r="J3622" s="206" t="s">
        <v>121</v>
      </c>
      <c r="K3622" s="206" t="s">
        <v>121</v>
      </c>
      <c r="L3622" s="206" t="str">
        <v/>
      </c>
      <c r="M3622" s="206" t="str">
        <v/>
      </c>
    </row>
    <row r="3623" spans="1:13" ht="14.4">
      <c r="A3623" s="201"/>
      <c r="B3623" s="209"/>
      <c r="C3623" s="201"/>
      <c r="D3623" s="201"/>
      <c r="E3623" s="202"/>
      <c r="F3623" s="210"/>
      <c r="G3623" s="210"/>
      <c r="H3623" s="206" t="s">
        <v>121</v>
      </c>
      <c r="I3623" s="206" t="s">
        <v>121</v>
      </c>
      <c r="J3623" s="206" t="s">
        <v>121</v>
      </c>
      <c r="K3623" s="206" t="s">
        <v>121</v>
      </c>
      <c r="L3623" s="206" t="str">
        <v/>
      </c>
      <c r="M3623" s="206" t="str">
        <v/>
      </c>
    </row>
    <row r="3624" spans="1:13" ht="14.4">
      <c r="A3624" s="201"/>
      <c r="B3624" s="209"/>
      <c r="C3624" s="201"/>
      <c r="D3624" s="201"/>
      <c r="E3624" s="202"/>
      <c r="F3624" s="210"/>
      <c r="G3624" s="210"/>
      <c r="H3624" s="206" t="s">
        <v>121</v>
      </c>
      <c r="I3624" s="206" t="s">
        <v>121</v>
      </c>
      <c r="J3624" s="206" t="s">
        <v>121</v>
      </c>
      <c r="K3624" s="206" t="s">
        <v>121</v>
      </c>
      <c r="L3624" s="206" t="str">
        <v/>
      </c>
      <c r="M3624" s="206" t="str">
        <v/>
      </c>
    </row>
    <row r="3625" spans="1:13" ht="14.4">
      <c r="A3625" s="201"/>
      <c r="B3625" s="209"/>
      <c r="C3625" s="201"/>
      <c r="D3625" s="201"/>
      <c r="E3625" s="202"/>
      <c r="F3625" s="210"/>
      <c r="G3625" s="210"/>
      <c r="H3625" s="206" t="s">
        <v>121</v>
      </c>
      <c r="I3625" s="206" t="s">
        <v>121</v>
      </c>
      <c r="J3625" s="206" t="s">
        <v>121</v>
      </c>
      <c r="K3625" s="206" t="s">
        <v>121</v>
      </c>
      <c r="L3625" s="206" t="str">
        <v/>
      </c>
      <c r="M3625" s="206" t="str">
        <v/>
      </c>
    </row>
    <row r="3626" spans="1:13" ht="14.4">
      <c r="A3626" s="201"/>
      <c r="B3626" s="209"/>
      <c r="C3626" s="201"/>
      <c r="D3626" s="201"/>
      <c r="E3626" s="202"/>
      <c r="F3626" s="210"/>
      <c r="G3626" s="210"/>
      <c r="H3626" s="206" t="s">
        <v>121</v>
      </c>
      <c r="I3626" s="206" t="s">
        <v>121</v>
      </c>
      <c r="J3626" s="206" t="s">
        <v>121</v>
      </c>
      <c r="K3626" s="206" t="s">
        <v>121</v>
      </c>
      <c r="L3626" s="206" t="str">
        <v/>
      </c>
      <c r="M3626" s="206" t="str">
        <v/>
      </c>
    </row>
    <row r="3627" spans="1:13" ht="14.4">
      <c r="A3627" s="201"/>
      <c r="B3627" s="209"/>
      <c r="C3627" s="201"/>
      <c r="D3627" s="201"/>
      <c r="E3627" s="202"/>
      <c r="F3627" s="210"/>
      <c r="G3627" s="210"/>
      <c r="H3627" s="206" t="s">
        <v>121</v>
      </c>
      <c r="I3627" s="206" t="s">
        <v>121</v>
      </c>
      <c r="J3627" s="206" t="s">
        <v>121</v>
      </c>
      <c r="K3627" s="206" t="s">
        <v>121</v>
      </c>
      <c r="L3627" s="206" t="str">
        <v/>
      </c>
      <c r="M3627" s="206" t="str">
        <v/>
      </c>
    </row>
    <row r="3628" spans="1:13" ht="14.4">
      <c r="A3628" s="201"/>
      <c r="B3628" s="209"/>
      <c r="C3628" s="201"/>
      <c r="D3628" s="201"/>
      <c r="E3628" s="202"/>
      <c r="F3628" s="210"/>
      <c r="G3628" s="210"/>
      <c r="H3628" s="206" t="s">
        <v>121</v>
      </c>
      <c r="I3628" s="206" t="s">
        <v>121</v>
      </c>
      <c r="J3628" s="206" t="s">
        <v>121</v>
      </c>
      <c r="K3628" s="206" t="s">
        <v>121</v>
      </c>
      <c r="L3628" s="206" t="str">
        <v/>
      </c>
      <c r="M3628" s="206" t="str">
        <v/>
      </c>
    </row>
    <row r="3629" spans="1:13" ht="14.4">
      <c r="A3629" s="201"/>
      <c r="B3629" s="209"/>
      <c r="C3629" s="201"/>
      <c r="D3629" s="201"/>
      <c r="E3629" s="202"/>
      <c r="F3629" s="210"/>
      <c r="G3629" s="210"/>
      <c r="H3629" s="206" t="s">
        <v>121</v>
      </c>
      <c r="I3629" s="206" t="s">
        <v>121</v>
      </c>
      <c r="J3629" s="206" t="s">
        <v>121</v>
      </c>
      <c r="K3629" s="206" t="s">
        <v>121</v>
      </c>
      <c r="L3629" s="206" t="str">
        <v/>
      </c>
      <c r="M3629" s="206" t="str">
        <v/>
      </c>
    </row>
    <row r="3630" spans="1:13" ht="14.4">
      <c r="A3630" s="201"/>
      <c r="B3630" s="209"/>
      <c r="C3630" s="201"/>
      <c r="D3630" s="201"/>
      <c r="E3630" s="202"/>
      <c r="F3630" s="210"/>
      <c r="G3630" s="210"/>
      <c r="H3630" s="206" t="s">
        <v>121</v>
      </c>
      <c r="I3630" s="206" t="s">
        <v>121</v>
      </c>
      <c r="J3630" s="206" t="s">
        <v>121</v>
      </c>
      <c r="K3630" s="206" t="s">
        <v>121</v>
      </c>
      <c r="L3630" s="206" t="str">
        <v/>
      </c>
      <c r="M3630" s="206" t="str">
        <v/>
      </c>
    </row>
    <row r="3631" spans="1:13" ht="14.4">
      <c r="A3631" s="201"/>
      <c r="B3631" s="209"/>
      <c r="C3631" s="201"/>
      <c r="D3631" s="201"/>
      <c r="E3631" s="202"/>
      <c r="F3631" s="210"/>
      <c r="G3631" s="210"/>
      <c r="H3631" s="206" t="s">
        <v>121</v>
      </c>
      <c r="I3631" s="206" t="s">
        <v>121</v>
      </c>
      <c r="J3631" s="206" t="s">
        <v>121</v>
      </c>
      <c r="K3631" s="206" t="s">
        <v>121</v>
      </c>
      <c r="L3631" s="206" t="str">
        <v/>
      </c>
      <c r="M3631" s="206" t="str">
        <v/>
      </c>
    </row>
    <row r="3632" spans="1:13" ht="14.4">
      <c r="A3632" s="201"/>
      <c r="B3632" s="209"/>
      <c r="C3632" s="201"/>
      <c r="D3632" s="201"/>
      <c r="E3632" s="202"/>
      <c r="F3632" s="210"/>
      <c r="G3632" s="210"/>
      <c r="H3632" s="206" t="s">
        <v>121</v>
      </c>
      <c r="I3632" s="206" t="s">
        <v>121</v>
      </c>
      <c r="J3632" s="206" t="s">
        <v>121</v>
      </c>
      <c r="K3632" s="206" t="s">
        <v>121</v>
      </c>
      <c r="L3632" s="206" t="str">
        <v/>
      </c>
      <c r="M3632" s="206" t="str">
        <v/>
      </c>
    </row>
    <row r="3633" spans="1:13" ht="14.4">
      <c r="A3633" s="201"/>
      <c r="B3633" s="209"/>
      <c r="C3633" s="201"/>
      <c r="D3633" s="201"/>
      <c r="E3633" s="202"/>
      <c r="F3633" s="210"/>
      <c r="G3633" s="210"/>
      <c r="H3633" s="206" t="s">
        <v>121</v>
      </c>
      <c r="I3633" s="206" t="s">
        <v>121</v>
      </c>
      <c r="J3633" s="206" t="s">
        <v>121</v>
      </c>
      <c r="K3633" s="206" t="s">
        <v>121</v>
      </c>
      <c r="L3633" s="206" t="str">
        <v/>
      </c>
      <c r="M3633" s="206" t="str">
        <v/>
      </c>
    </row>
    <row r="3634" spans="1:13" ht="14.4">
      <c r="A3634" s="201"/>
      <c r="B3634" s="209"/>
      <c r="C3634" s="201"/>
      <c r="D3634" s="201"/>
      <c r="E3634" s="202"/>
      <c r="F3634" s="210"/>
      <c r="G3634" s="210"/>
      <c r="H3634" s="206" t="s">
        <v>121</v>
      </c>
      <c r="I3634" s="206" t="s">
        <v>121</v>
      </c>
      <c r="J3634" s="206" t="s">
        <v>121</v>
      </c>
      <c r="K3634" s="206" t="s">
        <v>121</v>
      </c>
      <c r="L3634" s="206" t="str">
        <v/>
      </c>
      <c r="M3634" s="206" t="str">
        <v/>
      </c>
    </row>
    <row r="3635" spans="1:13" ht="14.4">
      <c r="A3635" s="201"/>
      <c r="B3635" s="209"/>
      <c r="C3635" s="201"/>
      <c r="D3635" s="201"/>
      <c r="E3635" s="202"/>
      <c r="F3635" s="210"/>
      <c r="G3635" s="210"/>
      <c r="H3635" s="206" t="s">
        <v>121</v>
      </c>
      <c r="I3635" s="206" t="s">
        <v>121</v>
      </c>
      <c r="J3635" s="206" t="s">
        <v>121</v>
      </c>
      <c r="K3635" s="206" t="s">
        <v>121</v>
      </c>
      <c r="L3635" s="206" t="str">
        <v/>
      </c>
      <c r="M3635" s="206" t="str">
        <v/>
      </c>
    </row>
    <row r="3636" spans="1:13" ht="14.4">
      <c r="A3636" s="201"/>
      <c r="B3636" s="209"/>
      <c r="C3636" s="201"/>
      <c r="D3636" s="201"/>
      <c r="E3636" s="202"/>
      <c r="F3636" s="210"/>
      <c r="G3636" s="210"/>
      <c r="H3636" s="206" t="s">
        <v>121</v>
      </c>
      <c r="I3636" s="206" t="s">
        <v>121</v>
      </c>
      <c r="J3636" s="206" t="s">
        <v>121</v>
      </c>
      <c r="K3636" s="206" t="s">
        <v>121</v>
      </c>
      <c r="L3636" s="206" t="str">
        <v/>
      </c>
      <c r="M3636" s="206" t="str">
        <v/>
      </c>
    </row>
    <row r="3637" spans="1:13" ht="14.4">
      <c r="A3637" s="201"/>
      <c r="B3637" s="209"/>
      <c r="C3637" s="201"/>
      <c r="D3637" s="201"/>
      <c r="E3637" s="202"/>
      <c r="F3637" s="210"/>
      <c r="G3637" s="210"/>
      <c r="H3637" s="206" t="s">
        <v>121</v>
      </c>
      <c r="I3637" s="206" t="s">
        <v>121</v>
      </c>
      <c r="J3637" s="206" t="s">
        <v>121</v>
      </c>
      <c r="K3637" s="206" t="s">
        <v>121</v>
      </c>
      <c r="L3637" s="206" t="str">
        <v/>
      </c>
      <c r="M3637" s="206" t="str">
        <v/>
      </c>
    </row>
    <row r="3638" spans="1:13" ht="14.4">
      <c r="A3638" s="201"/>
      <c r="B3638" s="209"/>
      <c r="C3638" s="201"/>
      <c r="D3638" s="201"/>
      <c r="E3638" s="202"/>
      <c r="F3638" s="210"/>
      <c r="G3638" s="210"/>
      <c r="H3638" s="206" t="s">
        <v>121</v>
      </c>
      <c r="I3638" s="206" t="s">
        <v>121</v>
      </c>
      <c r="J3638" s="206" t="s">
        <v>121</v>
      </c>
      <c r="K3638" s="206" t="s">
        <v>121</v>
      </c>
      <c r="L3638" s="206" t="str">
        <v/>
      </c>
      <c r="M3638" s="206" t="str">
        <v/>
      </c>
    </row>
    <row r="3639" spans="1:13" ht="14.4">
      <c r="A3639" s="201"/>
      <c r="B3639" s="209"/>
      <c r="C3639" s="201"/>
      <c r="D3639" s="201"/>
      <c r="E3639" s="202"/>
      <c r="F3639" s="210"/>
      <c r="G3639" s="210"/>
      <c r="H3639" s="206" t="s">
        <v>121</v>
      </c>
      <c r="I3639" s="206" t="s">
        <v>121</v>
      </c>
      <c r="J3639" s="206" t="s">
        <v>121</v>
      </c>
      <c r="K3639" s="206" t="s">
        <v>121</v>
      </c>
      <c r="L3639" s="206" t="str">
        <v/>
      </c>
      <c r="M3639" s="206" t="str">
        <v/>
      </c>
    </row>
    <row r="3640" spans="1:13" ht="14.4">
      <c r="A3640" s="201"/>
      <c r="B3640" s="209"/>
      <c r="C3640" s="201"/>
      <c r="D3640" s="201"/>
      <c r="E3640" s="202"/>
      <c r="F3640" s="210"/>
      <c r="G3640" s="210"/>
      <c r="H3640" s="206" t="s">
        <v>121</v>
      </c>
      <c r="I3640" s="206" t="s">
        <v>121</v>
      </c>
      <c r="J3640" s="206" t="s">
        <v>121</v>
      </c>
      <c r="K3640" s="206" t="s">
        <v>121</v>
      </c>
      <c r="L3640" s="206" t="str">
        <v/>
      </c>
      <c r="M3640" s="206" t="str">
        <v/>
      </c>
    </row>
    <row r="3641" spans="1:13" ht="14.4">
      <c r="A3641" s="201"/>
      <c r="B3641" s="209"/>
      <c r="C3641" s="201"/>
      <c r="D3641" s="201"/>
      <c r="E3641" s="202"/>
      <c r="F3641" s="210"/>
      <c r="G3641" s="210"/>
      <c r="H3641" s="206" t="s">
        <v>121</v>
      </c>
      <c r="I3641" s="206" t="s">
        <v>121</v>
      </c>
      <c r="J3641" s="206" t="s">
        <v>121</v>
      </c>
      <c r="K3641" s="206" t="s">
        <v>121</v>
      </c>
      <c r="L3641" s="206" t="str">
        <v/>
      </c>
      <c r="M3641" s="206" t="str">
        <v/>
      </c>
    </row>
    <row r="3642" spans="1:13" ht="14.4">
      <c r="A3642" s="201"/>
      <c r="B3642" s="209"/>
      <c r="C3642" s="201"/>
      <c r="D3642" s="201"/>
      <c r="E3642" s="202"/>
      <c r="F3642" s="210"/>
      <c r="G3642" s="210"/>
      <c r="H3642" s="206" t="s">
        <v>121</v>
      </c>
      <c r="I3642" s="206" t="s">
        <v>121</v>
      </c>
      <c r="J3642" s="206" t="s">
        <v>121</v>
      </c>
      <c r="K3642" s="206" t="s">
        <v>121</v>
      </c>
      <c r="L3642" s="206" t="str">
        <v/>
      </c>
      <c r="M3642" s="206" t="str">
        <v/>
      </c>
    </row>
    <row r="3643" spans="1:13" ht="14.4">
      <c r="A3643" s="201"/>
      <c r="B3643" s="209"/>
      <c r="C3643" s="201"/>
      <c r="D3643" s="201"/>
      <c r="E3643" s="202"/>
      <c r="F3643" s="210"/>
      <c r="G3643" s="210"/>
      <c r="H3643" s="206" t="s">
        <v>121</v>
      </c>
      <c r="I3643" s="206" t="s">
        <v>121</v>
      </c>
      <c r="J3643" s="206" t="s">
        <v>121</v>
      </c>
      <c r="K3643" s="206" t="s">
        <v>121</v>
      </c>
      <c r="L3643" s="206" t="str">
        <v/>
      </c>
      <c r="M3643" s="206" t="str">
        <v/>
      </c>
    </row>
    <row r="3644" spans="1:13" ht="14.4">
      <c r="A3644" s="201"/>
      <c r="B3644" s="209"/>
      <c r="C3644" s="201"/>
      <c r="D3644" s="201"/>
      <c r="E3644" s="202"/>
      <c r="F3644" s="210"/>
      <c r="G3644" s="210"/>
      <c r="H3644" s="206" t="s">
        <v>121</v>
      </c>
      <c r="I3644" s="206" t="s">
        <v>121</v>
      </c>
      <c r="J3644" s="206" t="s">
        <v>121</v>
      </c>
      <c r="K3644" s="206" t="s">
        <v>121</v>
      </c>
      <c r="L3644" s="206" t="str">
        <v/>
      </c>
      <c r="M3644" s="206" t="str">
        <v/>
      </c>
    </row>
    <row r="3645" spans="1:13" ht="14.4">
      <c r="A3645" s="201"/>
      <c r="B3645" s="209"/>
      <c r="C3645" s="201"/>
      <c r="D3645" s="201"/>
      <c r="E3645" s="202"/>
      <c r="F3645" s="210"/>
      <c r="G3645" s="210"/>
      <c r="H3645" s="206" t="s">
        <v>121</v>
      </c>
      <c r="I3645" s="206" t="s">
        <v>121</v>
      </c>
      <c r="J3645" s="206" t="s">
        <v>121</v>
      </c>
      <c r="K3645" s="206" t="s">
        <v>121</v>
      </c>
      <c r="L3645" s="206" t="str">
        <v/>
      </c>
      <c r="M3645" s="206" t="str">
        <v/>
      </c>
    </row>
    <row r="3646" spans="1:13" ht="14.4">
      <c r="A3646" s="201"/>
      <c r="B3646" s="209"/>
      <c r="C3646" s="201"/>
      <c r="D3646" s="201"/>
      <c r="E3646" s="202"/>
      <c r="F3646" s="210"/>
      <c r="G3646" s="210"/>
      <c r="H3646" s="206" t="s">
        <v>121</v>
      </c>
      <c r="I3646" s="206" t="s">
        <v>121</v>
      </c>
      <c r="J3646" s="206" t="s">
        <v>121</v>
      </c>
      <c r="K3646" s="206" t="s">
        <v>121</v>
      </c>
      <c r="L3646" s="206" t="str">
        <v/>
      </c>
      <c r="M3646" s="206" t="str">
        <v/>
      </c>
    </row>
    <row r="3647" spans="1:13" ht="14.4">
      <c r="A3647" s="201"/>
      <c r="B3647" s="209"/>
      <c r="C3647" s="201"/>
      <c r="D3647" s="201"/>
      <c r="E3647" s="202"/>
      <c r="F3647" s="210"/>
      <c r="G3647" s="210"/>
      <c r="H3647" s="206" t="s">
        <v>121</v>
      </c>
      <c r="I3647" s="206" t="s">
        <v>121</v>
      </c>
      <c r="J3647" s="206" t="s">
        <v>121</v>
      </c>
      <c r="K3647" s="206" t="s">
        <v>121</v>
      </c>
      <c r="L3647" s="206" t="str">
        <v/>
      </c>
      <c r="M3647" s="206" t="str">
        <v/>
      </c>
    </row>
    <row r="3648" spans="1:13" ht="14.4">
      <c r="A3648" s="201"/>
      <c r="B3648" s="209"/>
      <c r="C3648" s="201"/>
      <c r="D3648" s="201"/>
      <c r="E3648" s="202"/>
      <c r="F3648" s="210"/>
      <c r="G3648" s="210"/>
      <c r="H3648" s="206" t="s">
        <v>121</v>
      </c>
      <c r="I3648" s="206" t="s">
        <v>121</v>
      </c>
      <c r="J3648" s="206" t="s">
        <v>121</v>
      </c>
      <c r="K3648" s="206" t="s">
        <v>121</v>
      </c>
      <c r="L3648" s="206" t="str">
        <v/>
      </c>
      <c r="M3648" s="206" t="str">
        <v/>
      </c>
    </row>
    <row r="3649" spans="1:13" ht="14.4">
      <c r="A3649" s="201"/>
      <c r="B3649" s="209"/>
      <c r="C3649" s="201"/>
      <c r="D3649" s="201"/>
      <c r="E3649" s="202"/>
      <c r="F3649" s="210"/>
      <c r="G3649" s="210"/>
      <c r="H3649" s="206" t="s">
        <v>121</v>
      </c>
      <c r="I3649" s="206" t="s">
        <v>121</v>
      </c>
      <c r="J3649" s="206" t="s">
        <v>121</v>
      </c>
      <c r="K3649" s="206" t="s">
        <v>121</v>
      </c>
      <c r="L3649" s="206" t="str">
        <v/>
      </c>
      <c r="M3649" s="206" t="str">
        <v/>
      </c>
    </row>
    <row r="3650" spans="1:13" ht="14.4">
      <c r="A3650" s="201"/>
      <c r="B3650" s="209"/>
      <c r="C3650" s="201"/>
      <c r="D3650" s="201"/>
      <c r="E3650" s="202"/>
      <c r="F3650" s="210"/>
      <c r="G3650" s="210"/>
      <c r="H3650" s="206" t="s">
        <v>121</v>
      </c>
      <c r="I3650" s="206" t="s">
        <v>121</v>
      </c>
      <c r="J3650" s="206" t="s">
        <v>121</v>
      </c>
      <c r="K3650" s="206" t="s">
        <v>121</v>
      </c>
      <c r="L3650" s="206" t="str">
        <v/>
      </c>
      <c r="M3650" s="206" t="str">
        <v/>
      </c>
    </row>
    <row r="3651" spans="1:13" ht="14.4">
      <c r="A3651" s="201"/>
      <c r="B3651" s="209"/>
      <c r="C3651" s="201"/>
      <c r="D3651" s="201"/>
      <c r="E3651" s="202"/>
      <c r="F3651" s="210"/>
      <c r="G3651" s="210"/>
      <c r="H3651" s="206" t="s">
        <v>121</v>
      </c>
      <c r="I3651" s="206" t="s">
        <v>121</v>
      </c>
      <c r="J3651" s="206" t="s">
        <v>121</v>
      </c>
      <c r="K3651" s="206" t="s">
        <v>121</v>
      </c>
      <c r="L3651" s="206" t="str">
        <v/>
      </c>
      <c r="M3651" s="206" t="str">
        <v/>
      </c>
    </row>
    <row r="3652" spans="1:13" ht="14.4">
      <c r="A3652" s="201"/>
      <c r="B3652" s="209"/>
      <c r="C3652" s="201"/>
      <c r="D3652" s="201"/>
      <c r="E3652" s="202"/>
      <c r="F3652" s="210"/>
      <c r="G3652" s="210"/>
      <c r="H3652" s="206" t="s">
        <v>121</v>
      </c>
      <c r="I3652" s="206" t="s">
        <v>121</v>
      </c>
      <c r="J3652" s="206" t="s">
        <v>121</v>
      </c>
      <c r="K3652" s="206" t="s">
        <v>121</v>
      </c>
      <c r="L3652" s="206" t="str">
        <v/>
      </c>
      <c r="M3652" s="206" t="str">
        <v/>
      </c>
    </row>
    <row r="3653" spans="1:13" ht="14.4">
      <c r="A3653" s="201"/>
      <c r="B3653" s="209"/>
      <c r="C3653" s="201"/>
      <c r="D3653" s="201"/>
      <c r="E3653" s="202"/>
      <c r="F3653" s="210"/>
      <c r="G3653" s="210"/>
      <c r="H3653" s="206" t="s">
        <v>121</v>
      </c>
      <c r="I3653" s="206" t="s">
        <v>121</v>
      </c>
      <c r="J3653" s="206" t="s">
        <v>121</v>
      </c>
      <c r="K3653" s="206" t="s">
        <v>121</v>
      </c>
      <c r="L3653" s="206" t="str">
        <v/>
      </c>
      <c r="M3653" s="206" t="str">
        <v/>
      </c>
    </row>
    <row r="3654" spans="1:13" ht="14.4">
      <c r="A3654" s="201"/>
      <c r="B3654" s="209"/>
      <c r="C3654" s="201"/>
      <c r="D3654" s="201"/>
      <c r="E3654" s="202"/>
      <c r="F3654" s="210"/>
      <c r="G3654" s="210"/>
      <c r="H3654" s="206" t="s">
        <v>121</v>
      </c>
      <c r="I3654" s="206" t="s">
        <v>121</v>
      </c>
      <c r="J3654" s="206" t="s">
        <v>121</v>
      </c>
      <c r="K3654" s="206" t="s">
        <v>121</v>
      </c>
      <c r="L3654" s="206" t="str">
        <v/>
      </c>
      <c r="M3654" s="206" t="str">
        <v/>
      </c>
    </row>
    <row r="3655" spans="1:13" ht="14.4">
      <c r="A3655" s="201"/>
      <c r="B3655" s="209"/>
      <c r="C3655" s="201"/>
      <c r="D3655" s="201"/>
      <c r="E3655" s="202"/>
      <c r="F3655" s="210"/>
      <c r="G3655" s="210"/>
      <c r="H3655" s="206" t="s">
        <v>121</v>
      </c>
      <c r="I3655" s="206" t="s">
        <v>121</v>
      </c>
      <c r="J3655" s="206" t="s">
        <v>121</v>
      </c>
      <c r="K3655" s="206" t="s">
        <v>121</v>
      </c>
      <c r="L3655" s="206" t="str">
        <v/>
      </c>
      <c r="M3655" s="206" t="str">
        <v/>
      </c>
    </row>
    <row r="3656" spans="1:13" ht="14.4">
      <c r="A3656" s="201"/>
      <c r="B3656" s="209"/>
      <c r="C3656" s="201"/>
      <c r="D3656" s="201"/>
      <c r="E3656" s="202"/>
      <c r="F3656" s="210"/>
      <c r="G3656" s="210"/>
      <c r="H3656" s="206" t="s">
        <v>121</v>
      </c>
      <c r="I3656" s="206" t="s">
        <v>121</v>
      </c>
      <c r="J3656" s="206" t="s">
        <v>121</v>
      </c>
      <c r="K3656" s="206" t="s">
        <v>121</v>
      </c>
      <c r="L3656" s="206" t="str">
        <v/>
      </c>
      <c r="M3656" s="206" t="str">
        <v/>
      </c>
    </row>
    <row r="3657" spans="1:13" ht="14.4">
      <c r="A3657" s="201"/>
      <c r="B3657" s="209"/>
      <c r="C3657" s="201"/>
      <c r="D3657" s="201"/>
      <c r="E3657" s="202"/>
      <c r="F3657" s="210"/>
      <c r="G3657" s="210"/>
      <c r="H3657" s="206" t="s">
        <v>121</v>
      </c>
      <c r="I3657" s="206" t="s">
        <v>121</v>
      </c>
      <c r="J3657" s="206" t="s">
        <v>121</v>
      </c>
      <c r="K3657" s="206" t="s">
        <v>121</v>
      </c>
      <c r="L3657" s="206" t="str">
        <v/>
      </c>
      <c r="M3657" s="206" t="str">
        <v/>
      </c>
    </row>
    <row r="3658" spans="1:13" ht="14.4">
      <c r="A3658" s="201"/>
      <c r="B3658" s="209"/>
      <c r="C3658" s="201"/>
      <c r="D3658" s="201"/>
      <c r="E3658" s="202"/>
      <c r="F3658" s="210"/>
      <c r="G3658" s="210"/>
      <c r="H3658" s="206" t="s">
        <v>121</v>
      </c>
      <c r="I3658" s="206" t="s">
        <v>121</v>
      </c>
      <c r="J3658" s="206" t="s">
        <v>121</v>
      </c>
      <c r="K3658" s="206" t="s">
        <v>121</v>
      </c>
      <c r="L3658" s="206" t="str">
        <v/>
      </c>
      <c r="M3658" s="206" t="str">
        <v/>
      </c>
    </row>
    <row r="3659" spans="1:13" ht="14.4">
      <c r="A3659" s="201"/>
      <c r="B3659" s="209"/>
      <c r="C3659" s="201"/>
      <c r="D3659" s="201"/>
      <c r="E3659" s="202"/>
      <c r="F3659" s="210"/>
      <c r="G3659" s="210"/>
      <c r="H3659" s="206" t="s">
        <v>121</v>
      </c>
      <c r="I3659" s="206" t="s">
        <v>121</v>
      </c>
      <c r="J3659" s="206" t="s">
        <v>121</v>
      </c>
      <c r="K3659" s="206" t="s">
        <v>121</v>
      </c>
      <c r="L3659" s="206" t="str">
        <v/>
      </c>
      <c r="M3659" s="206" t="str">
        <v/>
      </c>
    </row>
    <row r="3660" spans="1:13" ht="14.4">
      <c r="A3660" s="201"/>
      <c r="B3660" s="209"/>
      <c r="C3660" s="201"/>
      <c r="D3660" s="201"/>
      <c r="E3660" s="202"/>
      <c r="F3660" s="210"/>
      <c r="G3660" s="210"/>
      <c r="H3660" s="206" t="s">
        <v>121</v>
      </c>
      <c r="I3660" s="206" t="s">
        <v>121</v>
      </c>
      <c r="J3660" s="206" t="s">
        <v>121</v>
      </c>
      <c r="K3660" s="206" t="s">
        <v>121</v>
      </c>
      <c r="L3660" s="206" t="str">
        <v/>
      </c>
      <c r="M3660" s="206" t="str">
        <v/>
      </c>
    </row>
    <row r="3661" spans="1:13" ht="14.4">
      <c r="A3661" s="201"/>
      <c r="B3661" s="209"/>
      <c r="C3661" s="201"/>
      <c r="D3661" s="201"/>
      <c r="E3661" s="202"/>
      <c r="F3661" s="210"/>
      <c r="G3661" s="210"/>
      <c r="H3661" s="206" t="s">
        <v>121</v>
      </c>
      <c r="I3661" s="206" t="s">
        <v>121</v>
      </c>
      <c r="J3661" s="206" t="s">
        <v>121</v>
      </c>
      <c r="K3661" s="206" t="s">
        <v>121</v>
      </c>
      <c r="L3661" s="206" t="str">
        <v/>
      </c>
      <c r="M3661" s="206" t="str">
        <v/>
      </c>
    </row>
    <row r="3662" spans="1:13" ht="14.4">
      <c r="A3662" s="201"/>
      <c r="B3662" s="209"/>
      <c r="C3662" s="201"/>
      <c r="D3662" s="201"/>
      <c r="E3662" s="202"/>
      <c r="F3662" s="210"/>
      <c r="G3662" s="210"/>
      <c r="H3662" s="206" t="s">
        <v>121</v>
      </c>
      <c r="I3662" s="206" t="s">
        <v>121</v>
      </c>
      <c r="J3662" s="206" t="s">
        <v>121</v>
      </c>
      <c r="K3662" s="206" t="s">
        <v>121</v>
      </c>
      <c r="L3662" s="206" t="str">
        <v/>
      </c>
      <c r="M3662" s="206" t="str">
        <v/>
      </c>
    </row>
    <row r="3663" spans="1:13" ht="14.4">
      <c r="A3663" s="201"/>
      <c r="B3663" s="209"/>
      <c r="C3663" s="201"/>
      <c r="D3663" s="201"/>
      <c r="E3663" s="202"/>
      <c r="F3663" s="210"/>
      <c r="G3663" s="210"/>
      <c r="H3663" s="206" t="s">
        <v>121</v>
      </c>
      <c r="I3663" s="206" t="s">
        <v>121</v>
      </c>
      <c r="J3663" s="206" t="s">
        <v>121</v>
      </c>
      <c r="K3663" s="206" t="s">
        <v>121</v>
      </c>
      <c r="L3663" s="206" t="str">
        <v/>
      </c>
      <c r="M3663" s="206" t="str">
        <v/>
      </c>
    </row>
    <row r="3664" spans="1:13" ht="14.4">
      <c r="A3664" s="201"/>
      <c r="B3664" s="209"/>
      <c r="C3664" s="201"/>
      <c r="D3664" s="201"/>
      <c r="E3664" s="202"/>
      <c r="F3664" s="210"/>
      <c r="G3664" s="210"/>
      <c r="H3664" s="206" t="s">
        <v>121</v>
      </c>
      <c r="I3664" s="206" t="s">
        <v>121</v>
      </c>
      <c r="J3664" s="206" t="s">
        <v>121</v>
      </c>
      <c r="K3664" s="206" t="s">
        <v>121</v>
      </c>
      <c r="L3664" s="206" t="str">
        <v/>
      </c>
      <c r="M3664" s="206" t="str">
        <v/>
      </c>
    </row>
    <row r="3665" spans="1:13" ht="14.4">
      <c r="A3665" s="201"/>
      <c r="B3665" s="209"/>
      <c r="C3665" s="201"/>
      <c r="D3665" s="201"/>
      <c r="E3665" s="202"/>
      <c r="F3665" s="210"/>
      <c r="G3665" s="210"/>
      <c r="H3665" s="206" t="s">
        <v>121</v>
      </c>
      <c r="I3665" s="206" t="s">
        <v>121</v>
      </c>
      <c r="J3665" s="206" t="s">
        <v>121</v>
      </c>
      <c r="K3665" s="206" t="s">
        <v>121</v>
      </c>
      <c r="L3665" s="206" t="str">
        <v/>
      </c>
      <c r="M3665" s="206" t="str">
        <v/>
      </c>
    </row>
    <row r="3666" spans="1:13" ht="14.4">
      <c r="A3666" s="201"/>
      <c r="B3666" s="209"/>
      <c r="C3666" s="201"/>
      <c r="D3666" s="201"/>
      <c r="E3666" s="202"/>
      <c r="F3666" s="210"/>
      <c r="G3666" s="210"/>
      <c r="H3666" s="206" t="s">
        <v>121</v>
      </c>
      <c r="I3666" s="206" t="s">
        <v>121</v>
      </c>
      <c r="J3666" s="206" t="s">
        <v>121</v>
      </c>
      <c r="K3666" s="206" t="s">
        <v>121</v>
      </c>
      <c r="L3666" s="206" t="str">
        <v/>
      </c>
      <c r="M3666" s="206" t="str">
        <v/>
      </c>
    </row>
    <row r="3667" spans="1:13" ht="14.4">
      <c r="A3667" s="201"/>
      <c r="B3667" s="209"/>
      <c r="C3667" s="201"/>
      <c r="D3667" s="201"/>
      <c r="E3667" s="202"/>
      <c r="F3667" s="210"/>
      <c r="G3667" s="210"/>
      <c r="H3667" s="206" t="s">
        <v>121</v>
      </c>
      <c r="I3667" s="206" t="s">
        <v>121</v>
      </c>
      <c r="J3667" s="206" t="s">
        <v>121</v>
      </c>
      <c r="K3667" s="206" t="s">
        <v>121</v>
      </c>
      <c r="L3667" s="206" t="str">
        <v/>
      </c>
      <c r="M3667" s="206" t="str">
        <v/>
      </c>
    </row>
    <row r="3668" spans="1:13" ht="14.4">
      <c r="A3668" s="201"/>
      <c r="B3668" s="209"/>
      <c r="C3668" s="201"/>
      <c r="D3668" s="201"/>
      <c r="E3668" s="202"/>
      <c r="F3668" s="210"/>
      <c r="G3668" s="210"/>
      <c r="H3668" s="206" t="s">
        <v>121</v>
      </c>
      <c r="I3668" s="206" t="s">
        <v>121</v>
      </c>
      <c r="J3668" s="206" t="s">
        <v>121</v>
      </c>
      <c r="K3668" s="206" t="s">
        <v>121</v>
      </c>
      <c r="L3668" s="206" t="str">
        <v/>
      </c>
      <c r="M3668" s="206" t="str">
        <v/>
      </c>
    </row>
    <row r="3669" spans="1:13" ht="14.4">
      <c r="A3669" s="201"/>
      <c r="B3669" s="209"/>
      <c r="C3669" s="201"/>
      <c r="D3669" s="201"/>
      <c r="E3669" s="202"/>
      <c r="F3669" s="210"/>
      <c r="G3669" s="210"/>
      <c r="H3669" s="206" t="s">
        <v>121</v>
      </c>
      <c r="I3669" s="206" t="s">
        <v>121</v>
      </c>
      <c r="J3669" s="206" t="s">
        <v>121</v>
      </c>
      <c r="K3669" s="206" t="s">
        <v>121</v>
      </c>
      <c r="L3669" s="206" t="str">
        <v/>
      </c>
      <c r="M3669" s="206" t="str">
        <v/>
      </c>
    </row>
    <row r="3670" spans="1:13" ht="14.4">
      <c r="A3670" s="201"/>
      <c r="B3670" s="209"/>
      <c r="C3670" s="201"/>
      <c r="D3670" s="201"/>
      <c r="E3670" s="202"/>
      <c r="F3670" s="210"/>
      <c r="G3670" s="210"/>
      <c r="H3670" s="206" t="s">
        <v>121</v>
      </c>
      <c r="I3670" s="206" t="s">
        <v>121</v>
      </c>
      <c r="J3670" s="206" t="s">
        <v>121</v>
      </c>
      <c r="K3670" s="206" t="s">
        <v>121</v>
      </c>
      <c r="L3670" s="206" t="str">
        <v/>
      </c>
      <c r="M3670" s="206" t="str">
        <v/>
      </c>
    </row>
    <row r="3671" spans="1:13" ht="14.4">
      <c r="A3671" s="201"/>
      <c r="B3671" s="209"/>
      <c r="C3671" s="201"/>
      <c r="D3671" s="201"/>
      <c r="E3671" s="202"/>
      <c r="F3671" s="210"/>
      <c r="G3671" s="210"/>
      <c r="H3671" s="206" t="s">
        <v>121</v>
      </c>
      <c r="I3671" s="206" t="s">
        <v>121</v>
      </c>
      <c r="J3671" s="206" t="s">
        <v>121</v>
      </c>
      <c r="K3671" s="206" t="s">
        <v>121</v>
      </c>
      <c r="L3671" s="206" t="str">
        <v/>
      </c>
      <c r="M3671" s="206" t="str">
        <v/>
      </c>
    </row>
    <row r="3672" spans="1:13" ht="14.4">
      <c r="A3672" s="201"/>
      <c r="B3672" s="209"/>
      <c r="C3672" s="201"/>
      <c r="D3672" s="201"/>
      <c r="E3672" s="202"/>
      <c r="F3672" s="210"/>
      <c r="G3672" s="210"/>
      <c r="H3672" s="206" t="s">
        <v>121</v>
      </c>
      <c r="I3672" s="206" t="s">
        <v>121</v>
      </c>
      <c r="J3672" s="206" t="s">
        <v>121</v>
      </c>
      <c r="K3672" s="206" t="s">
        <v>121</v>
      </c>
      <c r="L3672" s="206" t="str">
        <v/>
      </c>
      <c r="M3672" s="206" t="str">
        <v/>
      </c>
    </row>
    <row r="3673" spans="1:13" ht="14.4">
      <c r="A3673" s="201"/>
      <c r="B3673" s="209"/>
      <c r="C3673" s="201"/>
      <c r="D3673" s="201"/>
      <c r="E3673" s="202"/>
      <c r="F3673" s="210"/>
      <c r="G3673" s="210"/>
      <c r="H3673" s="206" t="s">
        <v>121</v>
      </c>
      <c r="I3673" s="206" t="s">
        <v>121</v>
      </c>
      <c r="J3673" s="206" t="s">
        <v>121</v>
      </c>
      <c r="K3673" s="206" t="s">
        <v>121</v>
      </c>
      <c r="L3673" s="206" t="str">
        <v/>
      </c>
      <c r="M3673" s="206" t="str">
        <v/>
      </c>
    </row>
    <row r="3674" spans="1:13" ht="14.4">
      <c r="A3674" s="201"/>
      <c r="B3674" s="209"/>
      <c r="C3674" s="201"/>
      <c r="D3674" s="201"/>
      <c r="E3674" s="202"/>
      <c r="F3674" s="210"/>
      <c r="G3674" s="210"/>
      <c r="H3674" s="206" t="s">
        <v>121</v>
      </c>
      <c r="I3674" s="206" t="s">
        <v>121</v>
      </c>
      <c r="J3674" s="206" t="s">
        <v>121</v>
      </c>
      <c r="K3674" s="206" t="s">
        <v>121</v>
      </c>
      <c r="L3674" s="206" t="str">
        <v/>
      </c>
      <c r="M3674" s="206" t="str">
        <v/>
      </c>
    </row>
    <row r="3675" spans="1:13" ht="14.4">
      <c r="A3675" s="201"/>
      <c r="B3675" s="209"/>
      <c r="C3675" s="201"/>
      <c r="D3675" s="201"/>
      <c r="E3675" s="202"/>
      <c r="F3675" s="210"/>
      <c r="G3675" s="210"/>
      <c r="H3675" s="206" t="s">
        <v>121</v>
      </c>
      <c r="I3675" s="206" t="s">
        <v>121</v>
      </c>
      <c r="J3675" s="206" t="s">
        <v>121</v>
      </c>
      <c r="K3675" s="206" t="s">
        <v>121</v>
      </c>
      <c r="L3675" s="206" t="str">
        <v/>
      </c>
      <c r="M3675" s="206" t="str">
        <v/>
      </c>
    </row>
    <row r="3676" spans="1:13" ht="14.4">
      <c r="A3676" s="201"/>
      <c r="B3676" s="209"/>
      <c r="C3676" s="201"/>
      <c r="D3676" s="201"/>
      <c r="E3676" s="202"/>
      <c r="F3676" s="210"/>
      <c r="G3676" s="210"/>
      <c r="H3676" s="206" t="s">
        <v>121</v>
      </c>
      <c r="I3676" s="206" t="s">
        <v>121</v>
      </c>
      <c r="J3676" s="206" t="s">
        <v>121</v>
      </c>
      <c r="K3676" s="206" t="s">
        <v>121</v>
      </c>
      <c r="L3676" s="206" t="str">
        <v/>
      </c>
      <c r="M3676" s="206" t="str">
        <v/>
      </c>
    </row>
    <row r="3677" spans="1:13" ht="14.4">
      <c r="A3677" s="201"/>
      <c r="B3677" s="209"/>
      <c r="C3677" s="201"/>
      <c r="D3677" s="201"/>
      <c r="E3677" s="202"/>
      <c r="F3677" s="210"/>
      <c r="G3677" s="210"/>
      <c r="H3677" s="206" t="s">
        <v>121</v>
      </c>
      <c r="I3677" s="206" t="s">
        <v>121</v>
      </c>
      <c r="J3677" s="206" t="s">
        <v>121</v>
      </c>
      <c r="K3677" s="206" t="s">
        <v>121</v>
      </c>
      <c r="L3677" s="206" t="str">
        <v/>
      </c>
      <c r="M3677" s="206" t="str">
        <v/>
      </c>
    </row>
    <row r="3678" spans="1:13" ht="14.4">
      <c r="A3678" s="201"/>
      <c r="B3678" s="209"/>
      <c r="C3678" s="201"/>
      <c r="D3678" s="201"/>
      <c r="E3678" s="202"/>
      <c r="F3678" s="210"/>
      <c r="G3678" s="210"/>
      <c r="H3678" s="206" t="s">
        <v>121</v>
      </c>
      <c r="I3678" s="206" t="s">
        <v>121</v>
      </c>
      <c r="J3678" s="206" t="s">
        <v>121</v>
      </c>
      <c r="K3678" s="206" t="s">
        <v>121</v>
      </c>
      <c r="L3678" s="206" t="str">
        <v/>
      </c>
      <c r="M3678" s="206" t="str">
        <v/>
      </c>
    </row>
    <row r="3679" spans="1:13" ht="14.4">
      <c r="A3679" s="201"/>
      <c r="B3679" s="209"/>
      <c r="C3679" s="201"/>
      <c r="D3679" s="201"/>
      <c r="E3679" s="202"/>
      <c r="F3679" s="210"/>
      <c r="G3679" s="210"/>
      <c r="H3679" s="206" t="s">
        <v>121</v>
      </c>
      <c r="I3679" s="206" t="s">
        <v>121</v>
      </c>
      <c r="J3679" s="206" t="s">
        <v>121</v>
      </c>
      <c r="K3679" s="206" t="s">
        <v>121</v>
      </c>
      <c r="L3679" s="206" t="str">
        <v/>
      </c>
      <c r="M3679" s="206" t="str">
        <v/>
      </c>
    </row>
    <row r="3680" spans="1:13" ht="14.4">
      <c r="A3680" s="201"/>
      <c r="B3680" s="209"/>
      <c r="C3680" s="201"/>
      <c r="D3680" s="201"/>
      <c r="E3680" s="202"/>
      <c r="F3680" s="210"/>
      <c r="G3680" s="210"/>
      <c r="H3680" s="206" t="s">
        <v>121</v>
      </c>
      <c r="I3680" s="206" t="s">
        <v>121</v>
      </c>
      <c r="J3680" s="206" t="s">
        <v>121</v>
      </c>
      <c r="K3680" s="206" t="s">
        <v>121</v>
      </c>
      <c r="L3680" s="206" t="str">
        <v/>
      </c>
      <c r="M3680" s="206" t="str">
        <v/>
      </c>
    </row>
    <row r="3681" spans="1:13" ht="14.4">
      <c r="A3681" s="201"/>
      <c r="B3681" s="209"/>
      <c r="C3681" s="201"/>
      <c r="D3681" s="201"/>
      <c r="E3681" s="202"/>
      <c r="F3681" s="210"/>
      <c r="G3681" s="210"/>
      <c r="H3681" s="206" t="s">
        <v>121</v>
      </c>
      <c r="I3681" s="206" t="s">
        <v>121</v>
      </c>
      <c r="J3681" s="206" t="s">
        <v>121</v>
      </c>
      <c r="K3681" s="206" t="s">
        <v>121</v>
      </c>
      <c r="L3681" s="206" t="str">
        <v/>
      </c>
      <c r="M3681" s="206" t="str">
        <v/>
      </c>
    </row>
    <row r="3682" spans="1:13" ht="14.4">
      <c r="A3682" s="201"/>
      <c r="B3682" s="209"/>
      <c r="C3682" s="201"/>
      <c r="D3682" s="201"/>
      <c r="E3682" s="202"/>
      <c r="F3682" s="210"/>
      <c r="G3682" s="210"/>
      <c r="H3682" s="206" t="s">
        <v>121</v>
      </c>
      <c r="I3682" s="206" t="s">
        <v>121</v>
      </c>
      <c r="J3682" s="206" t="s">
        <v>121</v>
      </c>
      <c r="K3682" s="206" t="s">
        <v>121</v>
      </c>
      <c r="L3682" s="206" t="str">
        <v/>
      </c>
      <c r="M3682" s="206" t="str">
        <v/>
      </c>
    </row>
    <row r="3683" spans="1:13" ht="14.4">
      <c r="A3683" s="201"/>
      <c r="B3683" s="209"/>
      <c r="C3683" s="201"/>
      <c r="D3683" s="201"/>
      <c r="E3683" s="202"/>
      <c r="F3683" s="210"/>
      <c r="G3683" s="210"/>
      <c r="H3683" s="206" t="s">
        <v>121</v>
      </c>
      <c r="I3683" s="206" t="s">
        <v>121</v>
      </c>
      <c r="J3683" s="206" t="s">
        <v>121</v>
      </c>
      <c r="K3683" s="206" t="s">
        <v>121</v>
      </c>
      <c r="L3683" s="206" t="str">
        <v/>
      </c>
      <c r="M3683" s="206" t="str">
        <v/>
      </c>
    </row>
    <row r="3684" spans="1:13" ht="14.4">
      <c r="A3684" s="201"/>
      <c r="B3684" s="209"/>
      <c r="C3684" s="201"/>
      <c r="D3684" s="201"/>
      <c r="E3684" s="202"/>
      <c r="F3684" s="210"/>
      <c r="G3684" s="210"/>
      <c r="H3684" s="206" t="s">
        <v>121</v>
      </c>
      <c r="I3684" s="206" t="s">
        <v>121</v>
      </c>
      <c r="J3684" s="206" t="s">
        <v>121</v>
      </c>
      <c r="K3684" s="206" t="s">
        <v>121</v>
      </c>
      <c r="L3684" s="206" t="str">
        <v/>
      </c>
      <c r="M3684" s="206" t="str">
        <v/>
      </c>
    </row>
    <row r="3685" spans="1:13" ht="14.4">
      <c r="A3685" s="201"/>
      <c r="B3685" s="209"/>
      <c r="C3685" s="201"/>
      <c r="D3685" s="201"/>
      <c r="E3685" s="202"/>
      <c r="F3685" s="210"/>
      <c r="G3685" s="210"/>
      <c r="H3685" s="206" t="s">
        <v>121</v>
      </c>
      <c r="I3685" s="206" t="s">
        <v>121</v>
      </c>
      <c r="J3685" s="206" t="s">
        <v>121</v>
      </c>
      <c r="K3685" s="206" t="s">
        <v>121</v>
      </c>
      <c r="L3685" s="206" t="str">
        <v/>
      </c>
      <c r="M3685" s="206" t="str">
        <v/>
      </c>
    </row>
    <row r="3686" spans="1:13" ht="14.4">
      <c r="A3686" s="201"/>
      <c r="B3686" s="209"/>
      <c r="C3686" s="201"/>
      <c r="D3686" s="201"/>
      <c r="E3686" s="202"/>
      <c r="F3686" s="210"/>
      <c r="G3686" s="210"/>
      <c r="H3686" s="206" t="s">
        <v>121</v>
      </c>
      <c r="I3686" s="206" t="s">
        <v>121</v>
      </c>
      <c r="J3686" s="206" t="s">
        <v>121</v>
      </c>
      <c r="K3686" s="206" t="s">
        <v>121</v>
      </c>
      <c r="L3686" s="206" t="str">
        <v/>
      </c>
      <c r="M3686" s="206" t="str">
        <v/>
      </c>
    </row>
    <row r="3687" spans="1:13" ht="14.4">
      <c r="A3687" s="201"/>
      <c r="B3687" s="209"/>
      <c r="C3687" s="201"/>
      <c r="D3687" s="201"/>
      <c r="E3687" s="202"/>
      <c r="F3687" s="210"/>
      <c r="G3687" s="210"/>
      <c r="H3687" s="206" t="s">
        <v>121</v>
      </c>
      <c r="I3687" s="206" t="s">
        <v>121</v>
      </c>
      <c r="J3687" s="206" t="s">
        <v>121</v>
      </c>
      <c r="K3687" s="206" t="s">
        <v>121</v>
      </c>
      <c r="L3687" s="206" t="str">
        <v/>
      </c>
      <c r="M3687" s="206" t="str">
        <v/>
      </c>
    </row>
    <row r="3688" spans="1:13" ht="14.4">
      <c r="A3688" s="201"/>
      <c r="B3688" s="209"/>
      <c r="C3688" s="201"/>
      <c r="D3688" s="201"/>
      <c r="E3688" s="202"/>
      <c r="F3688" s="210"/>
      <c r="G3688" s="210"/>
      <c r="H3688" s="206" t="s">
        <v>121</v>
      </c>
      <c r="I3688" s="206" t="s">
        <v>121</v>
      </c>
      <c r="J3688" s="206" t="s">
        <v>121</v>
      </c>
      <c r="K3688" s="206" t="s">
        <v>121</v>
      </c>
      <c r="L3688" s="206" t="str">
        <v/>
      </c>
      <c r="M3688" s="206" t="str">
        <v/>
      </c>
    </row>
    <row r="3689" spans="1:13" ht="14.4">
      <c r="A3689" s="201"/>
      <c r="B3689" s="209"/>
      <c r="C3689" s="201"/>
      <c r="D3689" s="201"/>
      <c r="E3689" s="202"/>
      <c r="F3689" s="210"/>
      <c r="G3689" s="210"/>
      <c r="H3689" s="206" t="s">
        <v>121</v>
      </c>
      <c r="I3689" s="206" t="s">
        <v>121</v>
      </c>
      <c r="J3689" s="206" t="s">
        <v>121</v>
      </c>
      <c r="K3689" s="206" t="s">
        <v>121</v>
      </c>
      <c r="L3689" s="206" t="str">
        <v/>
      </c>
      <c r="M3689" s="206" t="str">
        <v/>
      </c>
    </row>
    <row r="3690" spans="1:13" ht="14.4">
      <c r="A3690" s="201"/>
      <c r="B3690" s="209"/>
      <c r="C3690" s="201"/>
      <c r="D3690" s="201"/>
      <c r="E3690" s="202"/>
      <c r="F3690" s="210"/>
      <c r="G3690" s="210"/>
      <c r="H3690" s="206" t="s">
        <v>121</v>
      </c>
      <c r="I3690" s="206" t="s">
        <v>121</v>
      </c>
      <c r="J3690" s="206" t="s">
        <v>121</v>
      </c>
      <c r="K3690" s="206" t="s">
        <v>121</v>
      </c>
      <c r="L3690" s="206" t="str">
        <v/>
      </c>
      <c r="M3690" s="206" t="str">
        <v/>
      </c>
    </row>
    <row r="3691" spans="1:13" ht="14.4">
      <c r="A3691" s="201"/>
      <c r="B3691" s="209"/>
      <c r="C3691" s="201"/>
      <c r="D3691" s="201"/>
      <c r="E3691" s="202"/>
      <c r="F3691" s="210"/>
      <c r="G3691" s="210"/>
      <c r="H3691" s="206" t="s">
        <v>121</v>
      </c>
      <c r="I3691" s="206" t="s">
        <v>121</v>
      </c>
      <c r="J3691" s="206" t="s">
        <v>121</v>
      </c>
      <c r="K3691" s="206" t="s">
        <v>121</v>
      </c>
      <c r="L3691" s="206" t="str">
        <v/>
      </c>
      <c r="M3691" s="206" t="str">
        <v/>
      </c>
    </row>
    <row r="3692" spans="1:13" ht="14.4">
      <c r="A3692" s="201"/>
      <c r="B3692" s="209"/>
      <c r="C3692" s="201"/>
      <c r="D3692" s="201"/>
      <c r="E3692" s="202"/>
      <c r="F3692" s="210"/>
      <c r="G3692" s="210"/>
      <c r="H3692" s="206" t="s">
        <v>121</v>
      </c>
      <c r="I3692" s="206" t="s">
        <v>121</v>
      </c>
      <c r="J3692" s="206" t="s">
        <v>121</v>
      </c>
      <c r="K3692" s="206" t="s">
        <v>121</v>
      </c>
      <c r="L3692" s="206" t="str">
        <v/>
      </c>
      <c r="M3692" s="206" t="str">
        <v/>
      </c>
    </row>
    <row r="3693" spans="1:13" ht="14.4">
      <c r="A3693" s="201"/>
      <c r="B3693" s="209"/>
      <c r="C3693" s="201"/>
      <c r="D3693" s="201"/>
      <c r="E3693" s="202"/>
      <c r="F3693" s="210"/>
      <c r="G3693" s="210"/>
      <c r="H3693" s="206" t="s">
        <v>121</v>
      </c>
      <c r="I3693" s="206" t="s">
        <v>121</v>
      </c>
      <c r="J3693" s="206" t="s">
        <v>121</v>
      </c>
      <c r="K3693" s="206" t="s">
        <v>121</v>
      </c>
      <c r="L3693" s="206" t="str">
        <v/>
      </c>
      <c r="M3693" s="206" t="str">
        <v/>
      </c>
    </row>
    <row r="3694" spans="1:13" ht="14.4">
      <c r="A3694" s="201"/>
      <c r="B3694" s="209"/>
      <c r="C3694" s="201"/>
      <c r="D3694" s="201"/>
      <c r="E3694" s="202"/>
      <c r="F3694" s="210"/>
      <c r="G3694" s="210"/>
      <c r="H3694" s="206" t="s">
        <v>121</v>
      </c>
      <c r="I3694" s="206" t="s">
        <v>121</v>
      </c>
      <c r="J3694" s="206" t="s">
        <v>121</v>
      </c>
      <c r="K3694" s="206" t="s">
        <v>121</v>
      </c>
      <c r="L3694" s="206" t="str">
        <v/>
      </c>
      <c r="M3694" s="206" t="str">
        <v/>
      </c>
    </row>
    <row r="3695" spans="1:13" ht="14.4">
      <c r="A3695" s="201"/>
      <c r="B3695" s="209"/>
      <c r="C3695" s="201"/>
      <c r="D3695" s="201"/>
      <c r="E3695" s="202"/>
      <c r="F3695" s="210"/>
      <c r="G3695" s="210"/>
      <c r="H3695" s="206" t="s">
        <v>121</v>
      </c>
      <c r="I3695" s="206" t="s">
        <v>121</v>
      </c>
      <c r="J3695" s="206" t="s">
        <v>121</v>
      </c>
      <c r="K3695" s="206" t="s">
        <v>121</v>
      </c>
      <c r="L3695" s="206" t="str">
        <v/>
      </c>
      <c r="M3695" s="206" t="str">
        <v/>
      </c>
    </row>
    <row r="3696" spans="1:13" ht="14.4">
      <c r="A3696" s="201"/>
      <c r="B3696" s="209"/>
      <c r="C3696" s="201"/>
      <c r="D3696" s="201"/>
      <c r="E3696" s="202"/>
      <c r="F3696" s="210"/>
      <c r="G3696" s="210"/>
      <c r="H3696" s="206" t="s">
        <v>121</v>
      </c>
      <c r="I3696" s="206" t="s">
        <v>121</v>
      </c>
      <c r="J3696" s="206" t="s">
        <v>121</v>
      </c>
      <c r="K3696" s="206" t="s">
        <v>121</v>
      </c>
      <c r="L3696" s="206" t="str">
        <v/>
      </c>
      <c r="M3696" s="206" t="str">
        <v/>
      </c>
    </row>
    <row r="3697" spans="1:13" ht="14.4">
      <c r="A3697" s="201"/>
      <c r="B3697" s="209"/>
      <c r="C3697" s="201"/>
      <c r="D3697" s="201"/>
      <c r="E3697" s="202"/>
      <c r="F3697" s="210"/>
      <c r="G3697" s="210"/>
      <c r="H3697" s="206" t="s">
        <v>121</v>
      </c>
      <c r="I3697" s="206" t="s">
        <v>121</v>
      </c>
      <c r="J3697" s="206" t="s">
        <v>121</v>
      </c>
      <c r="K3697" s="206" t="s">
        <v>121</v>
      </c>
      <c r="L3697" s="206" t="str">
        <v/>
      </c>
      <c r="M3697" s="206" t="str">
        <v/>
      </c>
    </row>
    <row r="3698" spans="1:13" ht="14.4">
      <c r="A3698" s="201"/>
      <c r="B3698" s="209"/>
      <c r="C3698" s="201"/>
      <c r="D3698" s="201"/>
      <c r="E3698" s="202"/>
      <c r="F3698" s="210"/>
      <c r="G3698" s="210"/>
      <c r="H3698" s="206" t="s">
        <v>121</v>
      </c>
      <c r="I3698" s="206" t="s">
        <v>121</v>
      </c>
      <c r="J3698" s="206" t="s">
        <v>121</v>
      </c>
      <c r="K3698" s="206" t="s">
        <v>121</v>
      </c>
      <c r="L3698" s="206" t="str">
        <v/>
      </c>
      <c r="M3698" s="206" t="str">
        <v/>
      </c>
    </row>
    <row r="3699" spans="1:13" ht="14.4">
      <c r="A3699" s="201"/>
      <c r="B3699" s="209"/>
      <c r="C3699" s="201"/>
      <c r="D3699" s="201"/>
      <c r="E3699" s="202"/>
      <c r="F3699" s="210"/>
      <c r="G3699" s="210"/>
      <c r="H3699" s="206" t="s">
        <v>121</v>
      </c>
      <c r="I3699" s="206" t="s">
        <v>121</v>
      </c>
      <c r="J3699" s="206" t="s">
        <v>121</v>
      </c>
      <c r="K3699" s="206" t="s">
        <v>121</v>
      </c>
      <c r="L3699" s="206" t="str">
        <v/>
      </c>
      <c r="M3699" s="206" t="str">
        <v/>
      </c>
    </row>
    <row r="3700" spans="1:13" ht="14.4">
      <c r="A3700" s="201"/>
      <c r="B3700" s="209"/>
      <c r="C3700" s="201"/>
      <c r="D3700" s="201"/>
      <c r="E3700" s="202"/>
      <c r="F3700" s="210"/>
      <c r="G3700" s="210"/>
      <c r="H3700" s="206" t="s">
        <v>121</v>
      </c>
      <c r="I3700" s="206" t="s">
        <v>121</v>
      </c>
      <c r="J3700" s="206" t="s">
        <v>121</v>
      </c>
      <c r="K3700" s="206" t="s">
        <v>121</v>
      </c>
      <c r="L3700" s="206" t="str">
        <v/>
      </c>
      <c r="M3700" s="206" t="str">
        <v/>
      </c>
    </row>
    <row r="3701" spans="1:13" ht="14.4">
      <c r="A3701" s="201"/>
      <c r="B3701" s="209"/>
      <c r="C3701" s="201"/>
      <c r="D3701" s="201"/>
      <c r="E3701" s="202"/>
      <c r="F3701" s="210"/>
      <c r="G3701" s="210"/>
      <c r="H3701" s="206" t="s">
        <v>121</v>
      </c>
      <c r="I3701" s="206" t="s">
        <v>121</v>
      </c>
      <c r="J3701" s="206" t="s">
        <v>121</v>
      </c>
      <c r="K3701" s="206" t="s">
        <v>121</v>
      </c>
      <c r="L3701" s="206" t="str">
        <v/>
      </c>
      <c r="M3701" s="206" t="str">
        <v/>
      </c>
    </row>
    <row r="3702" spans="1:13" ht="14.4">
      <c r="A3702" s="201"/>
      <c r="B3702" s="209"/>
      <c r="C3702" s="201"/>
      <c r="D3702" s="201"/>
      <c r="E3702" s="202"/>
      <c r="F3702" s="210"/>
      <c r="G3702" s="210"/>
      <c r="H3702" s="206" t="s">
        <v>121</v>
      </c>
      <c r="I3702" s="206" t="s">
        <v>121</v>
      </c>
      <c r="J3702" s="206" t="s">
        <v>121</v>
      </c>
      <c r="K3702" s="206" t="s">
        <v>121</v>
      </c>
      <c r="L3702" s="206" t="str">
        <v/>
      </c>
      <c r="M3702" s="206" t="str">
        <v/>
      </c>
    </row>
    <row r="3703" spans="1:13" ht="14.4">
      <c r="A3703" s="201"/>
      <c r="B3703" s="209"/>
      <c r="C3703" s="201"/>
      <c r="D3703" s="201"/>
      <c r="E3703" s="202"/>
      <c r="F3703" s="210"/>
      <c r="G3703" s="210"/>
      <c r="H3703" s="206" t="s">
        <v>121</v>
      </c>
      <c r="I3703" s="206" t="s">
        <v>121</v>
      </c>
      <c r="J3703" s="206" t="s">
        <v>121</v>
      </c>
      <c r="K3703" s="206" t="s">
        <v>121</v>
      </c>
      <c r="L3703" s="206" t="str">
        <v/>
      </c>
      <c r="M3703" s="206" t="str">
        <v/>
      </c>
    </row>
    <row r="3704" spans="1:13" ht="14.4">
      <c r="A3704" s="201"/>
      <c r="B3704" s="209"/>
      <c r="C3704" s="201"/>
      <c r="D3704" s="201"/>
      <c r="E3704" s="202"/>
      <c r="F3704" s="210"/>
      <c r="G3704" s="210"/>
      <c r="H3704" s="206" t="s">
        <v>121</v>
      </c>
      <c r="I3704" s="206" t="s">
        <v>121</v>
      </c>
      <c r="J3704" s="206" t="s">
        <v>121</v>
      </c>
      <c r="K3704" s="206" t="s">
        <v>121</v>
      </c>
      <c r="L3704" s="206" t="str">
        <v/>
      </c>
      <c r="M3704" s="206" t="str">
        <v/>
      </c>
    </row>
    <row r="3705" spans="1:13" ht="14.4">
      <c r="A3705" s="201"/>
      <c r="B3705" s="209"/>
      <c r="C3705" s="201"/>
      <c r="D3705" s="201"/>
      <c r="E3705" s="202"/>
      <c r="F3705" s="210"/>
      <c r="G3705" s="210"/>
      <c r="H3705" s="206" t="s">
        <v>121</v>
      </c>
      <c r="I3705" s="206" t="s">
        <v>121</v>
      </c>
      <c r="J3705" s="206" t="s">
        <v>121</v>
      </c>
      <c r="K3705" s="206" t="s">
        <v>121</v>
      </c>
      <c r="L3705" s="206" t="str">
        <v/>
      </c>
      <c r="M3705" s="206" t="str">
        <v/>
      </c>
    </row>
    <row r="3706" spans="1:13" ht="14.4">
      <c r="A3706" s="201"/>
      <c r="B3706" s="209"/>
      <c r="C3706" s="201"/>
      <c r="D3706" s="201"/>
      <c r="E3706" s="202"/>
      <c r="F3706" s="210"/>
      <c r="G3706" s="210"/>
      <c r="H3706" s="206" t="s">
        <v>121</v>
      </c>
      <c r="I3706" s="206" t="s">
        <v>121</v>
      </c>
      <c r="J3706" s="206" t="s">
        <v>121</v>
      </c>
      <c r="K3706" s="206" t="s">
        <v>121</v>
      </c>
      <c r="L3706" s="206" t="str">
        <v/>
      </c>
      <c r="M3706" s="206" t="str">
        <v/>
      </c>
    </row>
    <row r="3707" spans="1:13" ht="14.4">
      <c r="A3707" s="201"/>
      <c r="B3707" s="209"/>
      <c r="C3707" s="201"/>
      <c r="D3707" s="201"/>
      <c r="E3707" s="202"/>
      <c r="F3707" s="210"/>
      <c r="G3707" s="210"/>
      <c r="H3707" s="206" t="s">
        <v>121</v>
      </c>
      <c r="I3707" s="206" t="s">
        <v>121</v>
      </c>
      <c r="J3707" s="206" t="s">
        <v>121</v>
      </c>
      <c r="K3707" s="206" t="s">
        <v>121</v>
      </c>
      <c r="L3707" s="206" t="str">
        <v/>
      </c>
      <c r="M3707" s="206" t="str">
        <v/>
      </c>
    </row>
    <row r="3708" spans="1:13" ht="14.4">
      <c r="A3708" s="201"/>
      <c r="B3708" s="209"/>
      <c r="C3708" s="201"/>
      <c r="D3708" s="201"/>
      <c r="E3708" s="202"/>
      <c r="F3708" s="210"/>
      <c r="G3708" s="210"/>
      <c r="H3708" s="206" t="s">
        <v>121</v>
      </c>
      <c r="I3708" s="206" t="s">
        <v>121</v>
      </c>
      <c r="J3708" s="206" t="s">
        <v>121</v>
      </c>
      <c r="K3708" s="206" t="s">
        <v>121</v>
      </c>
      <c r="L3708" s="206" t="str">
        <v/>
      </c>
      <c r="M3708" s="206" t="str">
        <v/>
      </c>
    </row>
    <row r="3709" spans="1:13" ht="14.4">
      <c r="A3709" s="201"/>
      <c r="B3709" s="209"/>
      <c r="C3709" s="201"/>
      <c r="D3709" s="201"/>
      <c r="E3709" s="202"/>
      <c r="F3709" s="210"/>
      <c r="G3709" s="210"/>
      <c r="H3709" s="206" t="s">
        <v>121</v>
      </c>
      <c r="I3709" s="206" t="s">
        <v>121</v>
      </c>
      <c r="J3709" s="206" t="s">
        <v>121</v>
      </c>
      <c r="K3709" s="206" t="s">
        <v>121</v>
      </c>
      <c r="L3709" s="206" t="str">
        <v/>
      </c>
      <c r="M3709" s="206" t="str">
        <v/>
      </c>
    </row>
    <row r="3710" spans="1:13" ht="14.4">
      <c r="A3710" s="201"/>
      <c r="B3710" s="209"/>
      <c r="C3710" s="201"/>
      <c r="D3710" s="201"/>
      <c r="E3710" s="202"/>
      <c r="F3710" s="210"/>
      <c r="G3710" s="210"/>
      <c r="H3710" s="206" t="s">
        <v>121</v>
      </c>
      <c r="I3710" s="206" t="s">
        <v>121</v>
      </c>
      <c r="J3710" s="206" t="s">
        <v>121</v>
      </c>
      <c r="K3710" s="206" t="s">
        <v>121</v>
      </c>
      <c r="L3710" s="206" t="str">
        <v/>
      </c>
      <c r="M3710" s="206" t="str">
        <v/>
      </c>
    </row>
    <row r="3711" spans="1:13" ht="14.4">
      <c r="A3711" s="201"/>
      <c r="B3711" s="209"/>
      <c r="C3711" s="201"/>
      <c r="D3711" s="201"/>
      <c r="E3711" s="202"/>
      <c r="F3711" s="210"/>
      <c r="G3711" s="210"/>
      <c r="H3711" s="206" t="s">
        <v>121</v>
      </c>
      <c r="I3711" s="206" t="s">
        <v>121</v>
      </c>
      <c r="J3711" s="206" t="s">
        <v>121</v>
      </c>
      <c r="K3711" s="206" t="s">
        <v>121</v>
      </c>
      <c r="L3711" s="206" t="str">
        <v/>
      </c>
      <c r="M3711" s="206" t="str">
        <v/>
      </c>
    </row>
    <row r="3712" spans="1:13" ht="14.4">
      <c r="A3712" s="201"/>
      <c r="B3712" s="209"/>
      <c r="C3712" s="201"/>
      <c r="D3712" s="201"/>
      <c r="E3712" s="202"/>
      <c r="F3712" s="210"/>
      <c r="G3712" s="210"/>
      <c r="H3712" s="206" t="s">
        <v>121</v>
      </c>
      <c r="I3712" s="206" t="s">
        <v>121</v>
      </c>
      <c r="J3712" s="206" t="s">
        <v>121</v>
      </c>
      <c r="K3712" s="206" t="s">
        <v>121</v>
      </c>
      <c r="L3712" s="206" t="str">
        <v/>
      </c>
      <c r="M3712" s="206" t="str">
        <v/>
      </c>
    </row>
    <row r="3713" spans="1:13" ht="14.4">
      <c r="A3713" s="201"/>
      <c r="B3713" s="209"/>
      <c r="C3713" s="201"/>
      <c r="D3713" s="201"/>
      <c r="E3713" s="202"/>
      <c r="F3713" s="210"/>
      <c r="G3713" s="210"/>
      <c r="H3713" s="206" t="s">
        <v>121</v>
      </c>
      <c r="I3713" s="206" t="s">
        <v>121</v>
      </c>
      <c r="J3713" s="206" t="s">
        <v>121</v>
      </c>
      <c r="K3713" s="206" t="s">
        <v>121</v>
      </c>
      <c r="L3713" s="206" t="str">
        <v/>
      </c>
      <c r="M3713" s="206" t="str">
        <v/>
      </c>
    </row>
    <row r="3714" spans="1:13" ht="14.4">
      <c r="A3714" s="201"/>
      <c r="B3714" s="209"/>
      <c r="C3714" s="201"/>
      <c r="D3714" s="201"/>
      <c r="E3714" s="202"/>
      <c r="F3714" s="210"/>
      <c r="G3714" s="210"/>
      <c r="H3714" s="206" t="s">
        <v>121</v>
      </c>
      <c r="I3714" s="206" t="s">
        <v>121</v>
      </c>
      <c r="J3714" s="206" t="s">
        <v>121</v>
      </c>
      <c r="K3714" s="206" t="s">
        <v>121</v>
      </c>
      <c r="L3714" s="206" t="str">
        <v/>
      </c>
      <c r="M3714" s="206" t="str">
        <v/>
      </c>
    </row>
    <row r="3715" spans="1:13" ht="14.4">
      <c r="A3715" s="201"/>
      <c r="B3715" s="209"/>
      <c r="C3715" s="201"/>
      <c r="D3715" s="201"/>
      <c r="E3715" s="202"/>
      <c r="F3715" s="210"/>
      <c r="G3715" s="210"/>
      <c r="H3715" s="206" t="s">
        <v>121</v>
      </c>
      <c r="I3715" s="206" t="s">
        <v>121</v>
      </c>
      <c r="J3715" s="206" t="s">
        <v>121</v>
      </c>
      <c r="K3715" s="206" t="s">
        <v>121</v>
      </c>
      <c r="L3715" s="206" t="str">
        <v/>
      </c>
      <c r="M3715" s="206" t="str">
        <v/>
      </c>
    </row>
    <row r="3716" spans="1:13" ht="14.4">
      <c r="A3716" s="201"/>
      <c r="B3716" s="209"/>
      <c r="C3716" s="201"/>
      <c r="D3716" s="201"/>
      <c r="E3716" s="202"/>
      <c r="F3716" s="210"/>
      <c r="G3716" s="210"/>
      <c r="H3716" s="206" t="s">
        <v>121</v>
      </c>
      <c r="I3716" s="206" t="s">
        <v>121</v>
      </c>
      <c r="J3716" s="206" t="s">
        <v>121</v>
      </c>
      <c r="K3716" s="206" t="s">
        <v>121</v>
      </c>
      <c r="L3716" s="206" t="str">
        <v/>
      </c>
      <c r="M3716" s="206" t="str">
        <v/>
      </c>
    </row>
    <row r="3717" spans="1:13" ht="14.4">
      <c r="A3717" s="201"/>
      <c r="B3717" s="209"/>
      <c r="C3717" s="201"/>
      <c r="D3717" s="201"/>
      <c r="E3717" s="202"/>
      <c r="F3717" s="210"/>
      <c r="G3717" s="210"/>
      <c r="H3717" s="206" t="s">
        <v>121</v>
      </c>
      <c r="I3717" s="206" t="s">
        <v>121</v>
      </c>
      <c r="J3717" s="206" t="s">
        <v>121</v>
      </c>
      <c r="K3717" s="206" t="s">
        <v>121</v>
      </c>
      <c r="L3717" s="206" t="str">
        <v/>
      </c>
      <c r="M3717" s="206" t="str">
        <v/>
      </c>
    </row>
    <row r="3718" spans="1:13" ht="14.4">
      <c r="A3718" s="201"/>
      <c r="B3718" s="209"/>
      <c r="C3718" s="201"/>
      <c r="D3718" s="201"/>
      <c r="E3718" s="202"/>
      <c r="F3718" s="210"/>
      <c r="G3718" s="210"/>
      <c r="H3718" s="206" t="s">
        <v>121</v>
      </c>
      <c r="I3718" s="206" t="s">
        <v>121</v>
      </c>
      <c r="J3718" s="206" t="s">
        <v>121</v>
      </c>
      <c r="K3718" s="206" t="s">
        <v>121</v>
      </c>
      <c r="L3718" s="206" t="str">
        <v/>
      </c>
      <c r="M3718" s="206" t="str">
        <v/>
      </c>
    </row>
    <row r="3719" spans="1:13" ht="14.4">
      <c r="A3719" s="201"/>
      <c r="B3719" s="209"/>
      <c r="C3719" s="201"/>
      <c r="D3719" s="201"/>
      <c r="E3719" s="202"/>
      <c r="F3719" s="210"/>
      <c r="G3719" s="210"/>
      <c r="H3719" s="206" t="s">
        <v>121</v>
      </c>
      <c r="I3719" s="206" t="s">
        <v>121</v>
      </c>
      <c r="J3719" s="206" t="s">
        <v>121</v>
      </c>
      <c r="K3719" s="206" t="s">
        <v>121</v>
      </c>
      <c r="L3719" s="206" t="str">
        <v/>
      </c>
      <c r="M3719" s="206" t="str">
        <v/>
      </c>
    </row>
    <row r="3720" spans="1:13" ht="14.4">
      <c r="A3720" s="201"/>
      <c r="B3720" s="209"/>
      <c r="C3720" s="201"/>
      <c r="D3720" s="201"/>
      <c r="E3720" s="202"/>
      <c r="F3720" s="210"/>
      <c r="G3720" s="210"/>
      <c r="H3720" s="206" t="s">
        <v>121</v>
      </c>
      <c r="I3720" s="206" t="s">
        <v>121</v>
      </c>
      <c r="J3720" s="206" t="s">
        <v>121</v>
      </c>
      <c r="K3720" s="206" t="s">
        <v>121</v>
      </c>
      <c r="L3720" s="206" t="str">
        <v/>
      </c>
      <c r="M3720" s="206" t="str">
        <v/>
      </c>
    </row>
    <row r="3721" spans="1:13" ht="14.4">
      <c r="A3721" s="201"/>
      <c r="B3721" s="209"/>
      <c r="C3721" s="201"/>
      <c r="D3721" s="201"/>
      <c r="E3721" s="202"/>
      <c r="F3721" s="210"/>
      <c r="G3721" s="210"/>
      <c r="H3721" s="206" t="s">
        <v>121</v>
      </c>
      <c r="I3721" s="206" t="s">
        <v>121</v>
      </c>
      <c r="J3721" s="206" t="s">
        <v>121</v>
      </c>
      <c r="K3721" s="206" t="s">
        <v>121</v>
      </c>
      <c r="L3721" s="206" t="str">
        <v/>
      </c>
      <c r="M3721" s="206" t="str">
        <v/>
      </c>
    </row>
    <row r="3722" spans="1:13" ht="14.4">
      <c r="A3722" s="201"/>
      <c r="B3722" s="209"/>
      <c r="C3722" s="201"/>
      <c r="D3722" s="201"/>
      <c r="E3722" s="202"/>
      <c r="F3722" s="210"/>
      <c r="G3722" s="210"/>
      <c r="H3722" s="206" t="s">
        <v>121</v>
      </c>
      <c r="I3722" s="206" t="s">
        <v>121</v>
      </c>
      <c r="J3722" s="206" t="s">
        <v>121</v>
      </c>
      <c r="K3722" s="206" t="s">
        <v>121</v>
      </c>
      <c r="L3722" s="206" t="str">
        <v/>
      </c>
      <c r="M3722" s="206" t="str">
        <v/>
      </c>
    </row>
    <row r="3723" spans="1:13" ht="14.4">
      <c r="A3723" s="201"/>
      <c r="B3723" s="209"/>
      <c r="C3723" s="201"/>
      <c r="D3723" s="201"/>
      <c r="E3723" s="202"/>
      <c r="F3723" s="210"/>
      <c r="G3723" s="210"/>
      <c r="H3723" s="206" t="s">
        <v>121</v>
      </c>
      <c r="I3723" s="206" t="s">
        <v>121</v>
      </c>
      <c r="J3723" s="206" t="s">
        <v>121</v>
      </c>
      <c r="K3723" s="206" t="s">
        <v>121</v>
      </c>
      <c r="L3723" s="206" t="str">
        <v/>
      </c>
      <c r="M3723" s="206" t="str">
        <v/>
      </c>
    </row>
    <row r="3724" spans="1:13" ht="14.4">
      <c r="A3724" s="201"/>
      <c r="B3724" s="209"/>
      <c r="C3724" s="201"/>
      <c r="D3724" s="201"/>
      <c r="E3724" s="202"/>
      <c r="F3724" s="210"/>
      <c r="G3724" s="210"/>
      <c r="H3724" s="206" t="s">
        <v>121</v>
      </c>
      <c r="I3724" s="206" t="s">
        <v>121</v>
      </c>
      <c r="J3724" s="206" t="s">
        <v>121</v>
      </c>
      <c r="K3724" s="206" t="s">
        <v>121</v>
      </c>
      <c r="L3724" s="206" t="str">
        <v/>
      </c>
      <c r="M3724" s="206" t="str">
        <v/>
      </c>
    </row>
    <row r="3725" spans="1:13" ht="14.4">
      <c r="A3725" s="201"/>
      <c r="B3725" s="209"/>
      <c r="C3725" s="201"/>
      <c r="D3725" s="201"/>
      <c r="E3725" s="202"/>
      <c r="F3725" s="210"/>
      <c r="G3725" s="210"/>
      <c r="H3725" s="206" t="s">
        <v>121</v>
      </c>
      <c r="I3725" s="206" t="s">
        <v>121</v>
      </c>
      <c r="J3725" s="206" t="s">
        <v>121</v>
      </c>
      <c r="K3725" s="206" t="s">
        <v>121</v>
      </c>
      <c r="L3725" s="206" t="str">
        <v/>
      </c>
      <c r="M3725" s="206" t="str">
        <v/>
      </c>
    </row>
    <row r="3726" spans="1:13" ht="14.4">
      <c r="A3726" s="201"/>
      <c r="B3726" s="209"/>
      <c r="C3726" s="201"/>
      <c r="D3726" s="201"/>
      <c r="E3726" s="202"/>
      <c r="F3726" s="210"/>
      <c r="G3726" s="210"/>
      <c r="H3726" s="206" t="s">
        <v>121</v>
      </c>
      <c r="I3726" s="206" t="s">
        <v>121</v>
      </c>
      <c r="J3726" s="206" t="s">
        <v>121</v>
      </c>
      <c r="K3726" s="206" t="s">
        <v>121</v>
      </c>
      <c r="L3726" s="206" t="str">
        <v/>
      </c>
      <c r="M3726" s="206" t="str">
        <v/>
      </c>
    </row>
    <row r="3727" spans="1:13" ht="14.4">
      <c r="A3727" s="201"/>
      <c r="B3727" s="209"/>
      <c r="C3727" s="201"/>
      <c r="D3727" s="201"/>
      <c r="E3727" s="202"/>
      <c r="F3727" s="210"/>
      <c r="G3727" s="210"/>
      <c r="H3727" s="206" t="s">
        <v>121</v>
      </c>
      <c r="I3727" s="206" t="s">
        <v>121</v>
      </c>
      <c r="J3727" s="206" t="s">
        <v>121</v>
      </c>
      <c r="K3727" s="206" t="s">
        <v>121</v>
      </c>
      <c r="L3727" s="206" t="str">
        <v/>
      </c>
      <c r="M3727" s="206" t="str">
        <v/>
      </c>
    </row>
    <row r="3728" spans="1:13" ht="14.4">
      <c r="A3728" s="201"/>
      <c r="B3728" s="209"/>
      <c r="C3728" s="201"/>
      <c r="D3728" s="201"/>
      <c r="E3728" s="202"/>
      <c r="F3728" s="210"/>
      <c r="G3728" s="210"/>
      <c r="H3728" s="206" t="s">
        <v>121</v>
      </c>
      <c r="I3728" s="206" t="s">
        <v>121</v>
      </c>
      <c r="J3728" s="206" t="s">
        <v>121</v>
      </c>
      <c r="K3728" s="206" t="s">
        <v>121</v>
      </c>
      <c r="L3728" s="206" t="str">
        <v/>
      </c>
      <c r="M3728" s="206" t="str">
        <v/>
      </c>
    </row>
    <row r="3729" spans="1:13" ht="14.4">
      <c r="A3729" s="201"/>
      <c r="B3729" s="209"/>
      <c r="C3729" s="201"/>
      <c r="D3729" s="201"/>
      <c r="E3729" s="202"/>
      <c r="F3729" s="210"/>
      <c r="G3729" s="210"/>
      <c r="H3729" s="206" t="s">
        <v>121</v>
      </c>
      <c r="I3729" s="206" t="s">
        <v>121</v>
      </c>
      <c r="J3729" s="206" t="s">
        <v>121</v>
      </c>
      <c r="K3729" s="206" t="s">
        <v>121</v>
      </c>
      <c r="L3729" s="206" t="str">
        <v/>
      </c>
      <c r="M3729" s="206" t="str">
        <v/>
      </c>
    </row>
    <row r="3730" spans="1:13" ht="14.4">
      <c r="A3730" s="201"/>
      <c r="B3730" s="209"/>
      <c r="C3730" s="201"/>
      <c r="D3730" s="201"/>
      <c r="E3730" s="202"/>
      <c r="F3730" s="210"/>
      <c r="G3730" s="210"/>
      <c r="H3730" s="206" t="s">
        <v>121</v>
      </c>
      <c r="I3730" s="206" t="s">
        <v>121</v>
      </c>
      <c r="J3730" s="206" t="s">
        <v>121</v>
      </c>
      <c r="K3730" s="206" t="s">
        <v>121</v>
      </c>
      <c r="L3730" s="206" t="str">
        <v/>
      </c>
      <c r="M3730" s="206" t="str">
        <v/>
      </c>
    </row>
    <row r="3731" spans="1:13" ht="14.4">
      <c r="A3731" s="201"/>
      <c r="B3731" s="209"/>
      <c r="C3731" s="201"/>
      <c r="D3731" s="201"/>
      <c r="E3731" s="202"/>
      <c r="F3731" s="210"/>
      <c r="G3731" s="210"/>
      <c r="H3731" s="206" t="s">
        <v>121</v>
      </c>
      <c r="I3731" s="206" t="s">
        <v>121</v>
      </c>
      <c r="J3731" s="206" t="s">
        <v>121</v>
      </c>
      <c r="K3731" s="206" t="s">
        <v>121</v>
      </c>
      <c r="L3731" s="206" t="str">
        <v/>
      </c>
      <c r="M3731" s="206" t="str">
        <v/>
      </c>
    </row>
    <row r="3732" spans="1:13" ht="14.4">
      <c r="A3732" s="201"/>
      <c r="B3732" s="209"/>
      <c r="C3732" s="201"/>
      <c r="D3732" s="201"/>
      <c r="E3732" s="202"/>
      <c r="F3732" s="210"/>
      <c r="G3732" s="210"/>
      <c r="H3732" s="206" t="s">
        <v>121</v>
      </c>
      <c r="I3732" s="206" t="s">
        <v>121</v>
      </c>
      <c r="J3732" s="206" t="s">
        <v>121</v>
      </c>
      <c r="K3732" s="206" t="s">
        <v>121</v>
      </c>
      <c r="L3732" s="206" t="str">
        <v/>
      </c>
      <c r="M3732" s="206" t="str">
        <v/>
      </c>
    </row>
    <row r="3733" spans="1:13" ht="14.4">
      <c r="A3733" s="201"/>
      <c r="B3733" s="209"/>
      <c r="C3733" s="201"/>
      <c r="D3733" s="201"/>
      <c r="E3733" s="202"/>
      <c r="F3733" s="210"/>
      <c r="G3733" s="210"/>
      <c r="H3733" s="206" t="s">
        <v>121</v>
      </c>
      <c r="I3733" s="206" t="s">
        <v>121</v>
      </c>
      <c r="J3733" s="206" t="s">
        <v>121</v>
      </c>
      <c r="K3733" s="206" t="s">
        <v>121</v>
      </c>
      <c r="L3733" s="206" t="str">
        <v/>
      </c>
      <c r="M3733" s="206" t="str">
        <v/>
      </c>
    </row>
    <row r="3734" spans="1:13" ht="14.4">
      <c r="A3734" s="201"/>
      <c r="B3734" s="209"/>
      <c r="C3734" s="201"/>
      <c r="D3734" s="201"/>
      <c r="E3734" s="202"/>
      <c r="F3734" s="210"/>
      <c r="G3734" s="210"/>
      <c r="H3734" s="206" t="s">
        <v>121</v>
      </c>
      <c r="I3734" s="206" t="s">
        <v>121</v>
      </c>
      <c r="J3734" s="206" t="s">
        <v>121</v>
      </c>
      <c r="K3734" s="206" t="s">
        <v>121</v>
      </c>
      <c r="L3734" s="206" t="str">
        <v/>
      </c>
      <c r="M3734" s="206" t="str">
        <v/>
      </c>
    </row>
    <row r="3735" spans="1:13" ht="14.4">
      <c r="A3735" s="201"/>
      <c r="B3735" s="209"/>
      <c r="C3735" s="201"/>
      <c r="D3735" s="201"/>
      <c r="E3735" s="202"/>
      <c r="F3735" s="210"/>
      <c r="G3735" s="210"/>
      <c r="H3735" s="206" t="s">
        <v>121</v>
      </c>
      <c r="I3735" s="206" t="s">
        <v>121</v>
      </c>
      <c r="J3735" s="206" t="s">
        <v>121</v>
      </c>
      <c r="K3735" s="206" t="s">
        <v>121</v>
      </c>
      <c r="L3735" s="206" t="str">
        <v/>
      </c>
      <c r="M3735" s="206" t="str">
        <v/>
      </c>
    </row>
    <row r="3736" spans="1:13" ht="14.4">
      <c r="A3736" s="201"/>
      <c r="B3736" s="209"/>
      <c r="C3736" s="201"/>
      <c r="D3736" s="201"/>
      <c r="E3736" s="202"/>
      <c r="F3736" s="210"/>
      <c r="G3736" s="210"/>
      <c r="H3736" s="206" t="s">
        <v>121</v>
      </c>
      <c r="I3736" s="206" t="s">
        <v>121</v>
      </c>
      <c r="J3736" s="206" t="s">
        <v>121</v>
      </c>
      <c r="K3736" s="206" t="s">
        <v>121</v>
      </c>
      <c r="L3736" s="206" t="str">
        <v/>
      </c>
      <c r="M3736" s="206" t="str">
        <v/>
      </c>
    </row>
    <row r="3737" spans="1:13" ht="14.4">
      <c r="A3737" s="201"/>
      <c r="B3737" s="209"/>
      <c r="C3737" s="201"/>
      <c r="D3737" s="201"/>
      <c r="E3737" s="202"/>
      <c r="F3737" s="210"/>
      <c r="G3737" s="210"/>
      <c r="H3737" s="206" t="s">
        <v>121</v>
      </c>
      <c r="I3737" s="206" t="s">
        <v>121</v>
      </c>
      <c r="J3737" s="206" t="s">
        <v>121</v>
      </c>
      <c r="K3737" s="206" t="s">
        <v>121</v>
      </c>
      <c r="L3737" s="206" t="str">
        <v/>
      </c>
      <c r="M3737" s="206" t="str">
        <v/>
      </c>
    </row>
    <row r="3738" spans="1:13" ht="14.4">
      <c r="A3738" s="201"/>
      <c r="B3738" s="209"/>
      <c r="C3738" s="201"/>
      <c r="D3738" s="201"/>
      <c r="E3738" s="202"/>
      <c r="F3738" s="210"/>
      <c r="G3738" s="210"/>
      <c r="H3738" s="206" t="s">
        <v>121</v>
      </c>
      <c r="I3738" s="206" t="s">
        <v>121</v>
      </c>
      <c r="J3738" s="206" t="s">
        <v>121</v>
      </c>
      <c r="K3738" s="206" t="s">
        <v>121</v>
      </c>
      <c r="L3738" s="206" t="str">
        <v/>
      </c>
      <c r="M3738" s="206" t="str">
        <v/>
      </c>
    </row>
    <row r="3739" spans="1:13" ht="14.4">
      <c r="A3739" s="201"/>
      <c r="B3739" s="209"/>
      <c r="C3739" s="201"/>
      <c r="D3739" s="201"/>
      <c r="E3739" s="202"/>
      <c r="F3739" s="210"/>
      <c r="G3739" s="210"/>
      <c r="H3739" s="206" t="s">
        <v>121</v>
      </c>
      <c r="I3739" s="206" t="s">
        <v>121</v>
      </c>
      <c r="J3739" s="206" t="s">
        <v>121</v>
      </c>
      <c r="K3739" s="206" t="s">
        <v>121</v>
      </c>
      <c r="L3739" s="206" t="str">
        <v/>
      </c>
      <c r="M3739" s="206" t="str">
        <v/>
      </c>
    </row>
    <row r="3740" spans="1:13" ht="14.4">
      <c r="A3740" s="201"/>
      <c r="B3740" s="209"/>
      <c r="C3740" s="201"/>
      <c r="D3740" s="201"/>
      <c r="E3740" s="202"/>
      <c r="F3740" s="210"/>
      <c r="G3740" s="210"/>
      <c r="H3740" s="206" t="s">
        <v>121</v>
      </c>
      <c r="I3740" s="206" t="s">
        <v>121</v>
      </c>
      <c r="J3740" s="206" t="s">
        <v>121</v>
      </c>
      <c r="K3740" s="206" t="s">
        <v>121</v>
      </c>
      <c r="L3740" s="206" t="str">
        <v/>
      </c>
      <c r="M3740" s="206" t="str">
        <v/>
      </c>
    </row>
    <row r="3741" spans="1:13" ht="14.4">
      <c r="A3741" s="201"/>
      <c r="B3741" s="209"/>
      <c r="C3741" s="201"/>
      <c r="D3741" s="201"/>
      <c r="E3741" s="202"/>
      <c r="F3741" s="210"/>
      <c r="G3741" s="210"/>
      <c r="H3741" s="206" t="s">
        <v>121</v>
      </c>
      <c r="I3741" s="206" t="s">
        <v>121</v>
      </c>
      <c r="J3741" s="206" t="s">
        <v>121</v>
      </c>
      <c r="K3741" s="206" t="s">
        <v>121</v>
      </c>
      <c r="L3741" s="206" t="str">
        <v/>
      </c>
      <c r="M3741" s="206" t="str">
        <v/>
      </c>
    </row>
    <row r="3742" spans="1:13" ht="14.4">
      <c r="A3742" s="201"/>
      <c r="B3742" s="209"/>
      <c r="C3742" s="201"/>
      <c r="D3742" s="201"/>
      <c r="E3742" s="202"/>
      <c r="F3742" s="210"/>
      <c r="G3742" s="210"/>
      <c r="H3742" s="206" t="s">
        <v>121</v>
      </c>
      <c r="I3742" s="206" t="s">
        <v>121</v>
      </c>
      <c r="J3742" s="206" t="s">
        <v>121</v>
      </c>
      <c r="K3742" s="206" t="s">
        <v>121</v>
      </c>
      <c r="L3742" s="206" t="str">
        <v/>
      </c>
      <c r="M3742" s="206" t="str">
        <v/>
      </c>
    </row>
    <row r="3743" spans="1:13" ht="14.4">
      <c r="A3743" s="201"/>
      <c r="B3743" s="209"/>
      <c r="C3743" s="201"/>
      <c r="D3743" s="201"/>
      <c r="E3743" s="202"/>
      <c r="F3743" s="210"/>
      <c r="G3743" s="210"/>
      <c r="H3743" s="206" t="s">
        <v>121</v>
      </c>
      <c r="I3743" s="206" t="s">
        <v>121</v>
      </c>
      <c r="J3743" s="206" t="s">
        <v>121</v>
      </c>
      <c r="K3743" s="206" t="s">
        <v>121</v>
      </c>
      <c r="L3743" s="206" t="str">
        <v/>
      </c>
      <c r="M3743" s="206" t="str">
        <v/>
      </c>
    </row>
    <row r="3744" spans="1:13" ht="14.4">
      <c r="A3744" s="201"/>
      <c r="B3744" s="209"/>
      <c r="C3744" s="201"/>
      <c r="D3744" s="201"/>
      <c r="E3744" s="202"/>
      <c r="F3744" s="210"/>
      <c r="G3744" s="210"/>
      <c r="H3744" s="206" t="s">
        <v>121</v>
      </c>
      <c r="I3744" s="206" t="s">
        <v>121</v>
      </c>
      <c r="J3744" s="206" t="s">
        <v>121</v>
      </c>
      <c r="K3744" s="206" t="s">
        <v>121</v>
      </c>
      <c r="L3744" s="206" t="str">
        <v/>
      </c>
      <c r="M3744" s="206" t="str">
        <v/>
      </c>
    </row>
    <row r="3745" spans="1:13" ht="14.4">
      <c r="A3745" s="201"/>
      <c r="B3745" s="209"/>
      <c r="C3745" s="201"/>
      <c r="D3745" s="201"/>
      <c r="E3745" s="202"/>
      <c r="F3745" s="210"/>
      <c r="G3745" s="210"/>
      <c r="H3745" s="206" t="s">
        <v>121</v>
      </c>
      <c r="I3745" s="206" t="s">
        <v>121</v>
      </c>
      <c r="J3745" s="206" t="s">
        <v>121</v>
      </c>
      <c r="K3745" s="206" t="s">
        <v>121</v>
      </c>
      <c r="L3745" s="206" t="str">
        <v/>
      </c>
      <c r="M3745" s="206" t="str">
        <v/>
      </c>
    </row>
    <row r="3746" spans="1:13" ht="14.4">
      <c r="A3746" s="201"/>
      <c r="B3746" s="209"/>
      <c r="C3746" s="201"/>
      <c r="D3746" s="201"/>
      <c r="E3746" s="202"/>
      <c r="F3746" s="210"/>
      <c r="G3746" s="210"/>
      <c r="H3746" s="206" t="s">
        <v>121</v>
      </c>
      <c r="I3746" s="206" t="s">
        <v>121</v>
      </c>
      <c r="J3746" s="206" t="s">
        <v>121</v>
      </c>
      <c r="K3746" s="206" t="s">
        <v>121</v>
      </c>
      <c r="L3746" s="206" t="str">
        <v/>
      </c>
      <c r="M3746" s="206" t="str">
        <v/>
      </c>
    </row>
    <row r="3747" spans="1:13" ht="14.4">
      <c r="A3747" s="201"/>
      <c r="B3747" s="209"/>
      <c r="C3747" s="201"/>
      <c r="D3747" s="201"/>
      <c r="E3747" s="202"/>
      <c r="F3747" s="210"/>
      <c r="G3747" s="210"/>
      <c r="H3747" s="206" t="s">
        <v>121</v>
      </c>
      <c r="I3747" s="206" t="s">
        <v>121</v>
      </c>
      <c r="J3747" s="206" t="s">
        <v>121</v>
      </c>
      <c r="K3747" s="206" t="s">
        <v>121</v>
      </c>
      <c r="L3747" s="206" t="str">
        <v/>
      </c>
      <c r="M3747" s="206" t="str">
        <v/>
      </c>
    </row>
    <row r="3748" spans="1:13" ht="14.4">
      <c r="A3748" s="201"/>
      <c r="B3748" s="209"/>
      <c r="C3748" s="201"/>
      <c r="D3748" s="201"/>
      <c r="E3748" s="202"/>
      <c r="F3748" s="210"/>
      <c r="G3748" s="210"/>
      <c r="H3748" s="206" t="s">
        <v>121</v>
      </c>
      <c r="I3748" s="206" t="s">
        <v>121</v>
      </c>
      <c r="J3748" s="206" t="s">
        <v>121</v>
      </c>
      <c r="K3748" s="206" t="s">
        <v>121</v>
      </c>
      <c r="L3748" s="206" t="str">
        <v/>
      </c>
      <c r="M3748" s="206" t="str">
        <v/>
      </c>
    </row>
    <row r="3749" spans="1:13" ht="14.4">
      <c r="A3749" s="201"/>
      <c r="B3749" s="209"/>
      <c r="C3749" s="201"/>
      <c r="D3749" s="201"/>
      <c r="E3749" s="202"/>
      <c r="F3749" s="210"/>
      <c r="G3749" s="210"/>
      <c r="H3749" s="206" t="s">
        <v>121</v>
      </c>
      <c r="I3749" s="206" t="s">
        <v>121</v>
      </c>
      <c r="J3749" s="206" t="s">
        <v>121</v>
      </c>
      <c r="K3749" s="206" t="s">
        <v>121</v>
      </c>
      <c r="L3749" s="206" t="str">
        <v/>
      </c>
      <c r="M3749" s="206" t="str">
        <v/>
      </c>
    </row>
    <row r="3750" spans="1:13" ht="14.4">
      <c r="A3750" s="201"/>
      <c r="B3750" s="209"/>
      <c r="C3750" s="201"/>
      <c r="D3750" s="201"/>
      <c r="E3750" s="202"/>
      <c r="F3750" s="210"/>
      <c r="G3750" s="210"/>
      <c r="H3750" s="206" t="s">
        <v>121</v>
      </c>
      <c r="I3750" s="206" t="s">
        <v>121</v>
      </c>
      <c r="J3750" s="206" t="s">
        <v>121</v>
      </c>
      <c r="K3750" s="206" t="s">
        <v>121</v>
      </c>
      <c r="L3750" s="206" t="str">
        <v/>
      </c>
      <c r="M3750" s="206" t="str">
        <v/>
      </c>
    </row>
    <row r="3751" spans="1:13" ht="14.4">
      <c r="A3751" s="201"/>
      <c r="B3751" s="209"/>
      <c r="C3751" s="201"/>
      <c r="D3751" s="201"/>
      <c r="E3751" s="202"/>
      <c r="F3751" s="210"/>
      <c r="G3751" s="210"/>
      <c r="H3751" s="206" t="s">
        <v>121</v>
      </c>
      <c r="I3751" s="206" t="s">
        <v>121</v>
      </c>
      <c r="J3751" s="206" t="s">
        <v>121</v>
      </c>
      <c r="K3751" s="206" t="s">
        <v>121</v>
      </c>
      <c r="L3751" s="206" t="str">
        <v/>
      </c>
      <c r="M3751" s="206" t="str">
        <v/>
      </c>
    </row>
    <row r="3752" spans="1:13" ht="14.4">
      <c r="A3752" s="201"/>
      <c r="B3752" s="209"/>
      <c r="C3752" s="201"/>
      <c r="D3752" s="201"/>
      <c r="E3752" s="202"/>
      <c r="F3752" s="210"/>
      <c r="G3752" s="210"/>
      <c r="H3752" s="206" t="s">
        <v>121</v>
      </c>
      <c r="I3752" s="206" t="s">
        <v>121</v>
      </c>
      <c r="J3752" s="206" t="s">
        <v>121</v>
      </c>
      <c r="K3752" s="206" t="s">
        <v>121</v>
      </c>
      <c r="L3752" s="206" t="str">
        <v/>
      </c>
      <c r="M3752" s="206" t="str">
        <v/>
      </c>
    </row>
    <row r="3753" spans="1:13" ht="14.4">
      <c r="A3753" s="201"/>
      <c r="B3753" s="209"/>
      <c r="C3753" s="201"/>
      <c r="D3753" s="201"/>
      <c r="E3753" s="202"/>
      <c r="F3753" s="210"/>
      <c r="G3753" s="210"/>
      <c r="H3753" s="206" t="s">
        <v>121</v>
      </c>
      <c r="I3753" s="206" t="s">
        <v>121</v>
      </c>
      <c r="J3753" s="206" t="s">
        <v>121</v>
      </c>
      <c r="K3753" s="206" t="s">
        <v>121</v>
      </c>
      <c r="L3753" s="206" t="str">
        <v/>
      </c>
      <c r="M3753" s="206" t="str">
        <v/>
      </c>
    </row>
    <row r="3754" spans="1:13" ht="14.4">
      <c r="A3754" s="201"/>
      <c r="B3754" s="209"/>
      <c r="C3754" s="201"/>
      <c r="D3754" s="201"/>
      <c r="E3754" s="202"/>
      <c r="F3754" s="210"/>
      <c r="G3754" s="210"/>
      <c r="H3754" s="206" t="s">
        <v>121</v>
      </c>
      <c r="I3754" s="206" t="s">
        <v>121</v>
      </c>
      <c r="J3754" s="206" t="s">
        <v>121</v>
      </c>
      <c r="K3754" s="206" t="s">
        <v>121</v>
      </c>
      <c r="L3754" s="206" t="str">
        <v/>
      </c>
      <c r="M3754" s="206" t="str">
        <v/>
      </c>
    </row>
    <row r="3755" spans="1:13" ht="14.4">
      <c r="A3755" s="201"/>
      <c r="B3755" s="209"/>
      <c r="C3755" s="201"/>
      <c r="D3755" s="201"/>
      <c r="E3755" s="202"/>
      <c r="F3755" s="210"/>
      <c r="G3755" s="210"/>
      <c r="H3755" s="206" t="s">
        <v>121</v>
      </c>
      <c r="I3755" s="206" t="s">
        <v>121</v>
      </c>
      <c r="J3755" s="206" t="s">
        <v>121</v>
      </c>
      <c r="K3755" s="206" t="s">
        <v>121</v>
      </c>
      <c r="L3755" s="206" t="str">
        <v/>
      </c>
      <c r="M3755" s="206" t="str">
        <v/>
      </c>
    </row>
    <row r="3756" spans="1:13" ht="14.4">
      <c r="A3756" s="201"/>
      <c r="B3756" s="209"/>
      <c r="C3756" s="201"/>
      <c r="D3756" s="201"/>
      <c r="E3756" s="202"/>
      <c r="F3756" s="210"/>
      <c r="G3756" s="210"/>
      <c r="H3756" s="206" t="s">
        <v>121</v>
      </c>
      <c r="I3756" s="206" t="s">
        <v>121</v>
      </c>
      <c r="J3756" s="206" t="s">
        <v>121</v>
      </c>
      <c r="K3756" s="206" t="s">
        <v>121</v>
      </c>
      <c r="L3756" s="206" t="str">
        <v/>
      </c>
      <c r="M3756" s="206" t="str">
        <v/>
      </c>
    </row>
    <row r="3757" spans="1:13" ht="14.4">
      <c r="A3757" s="201"/>
      <c r="B3757" s="209"/>
      <c r="C3757" s="201"/>
      <c r="D3757" s="201"/>
      <c r="E3757" s="202"/>
      <c r="F3757" s="210"/>
      <c r="G3757" s="210"/>
      <c r="H3757" s="206" t="s">
        <v>121</v>
      </c>
      <c r="I3757" s="206" t="s">
        <v>121</v>
      </c>
      <c r="J3757" s="206" t="s">
        <v>121</v>
      </c>
      <c r="K3757" s="206" t="s">
        <v>121</v>
      </c>
      <c r="L3757" s="206" t="str">
        <v/>
      </c>
      <c r="M3757" s="206" t="str">
        <v/>
      </c>
    </row>
    <row r="3758" spans="1:13" ht="14.4">
      <c r="A3758" s="201"/>
      <c r="B3758" s="209"/>
      <c r="C3758" s="201"/>
      <c r="D3758" s="201"/>
      <c r="E3758" s="202"/>
      <c r="F3758" s="210"/>
      <c r="G3758" s="210"/>
      <c r="H3758" s="206" t="s">
        <v>121</v>
      </c>
      <c r="I3758" s="206" t="s">
        <v>121</v>
      </c>
      <c r="J3758" s="206" t="s">
        <v>121</v>
      </c>
      <c r="K3758" s="206" t="s">
        <v>121</v>
      </c>
      <c r="L3758" s="206" t="str">
        <v/>
      </c>
      <c r="M3758" s="206" t="str">
        <v/>
      </c>
    </row>
    <row r="3759" spans="1:13" ht="14.4">
      <c r="A3759" s="201"/>
      <c r="B3759" s="209"/>
      <c r="C3759" s="201"/>
      <c r="D3759" s="201"/>
      <c r="E3759" s="202"/>
      <c r="F3759" s="210"/>
      <c r="G3759" s="210"/>
      <c r="H3759" s="206" t="s">
        <v>121</v>
      </c>
      <c r="I3759" s="206" t="s">
        <v>121</v>
      </c>
      <c r="J3759" s="206" t="s">
        <v>121</v>
      </c>
      <c r="K3759" s="206" t="s">
        <v>121</v>
      </c>
      <c r="L3759" s="206" t="str">
        <v/>
      </c>
      <c r="M3759" s="206" t="str">
        <v/>
      </c>
    </row>
    <row r="3760" spans="1:13" ht="14.4">
      <c r="A3760" s="201"/>
      <c r="B3760" s="209"/>
      <c r="C3760" s="201"/>
      <c r="D3760" s="201"/>
      <c r="E3760" s="202"/>
      <c r="F3760" s="210"/>
      <c r="G3760" s="210"/>
      <c r="H3760" s="206" t="s">
        <v>121</v>
      </c>
      <c r="I3760" s="206" t="s">
        <v>121</v>
      </c>
      <c r="J3760" s="206" t="s">
        <v>121</v>
      </c>
      <c r="K3760" s="206" t="s">
        <v>121</v>
      </c>
      <c r="L3760" s="206" t="str">
        <v/>
      </c>
      <c r="M3760" s="206" t="str">
        <v/>
      </c>
    </row>
    <row r="3761" spans="1:13" ht="14.4">
      <c r="A3761" s="201"/>
      <c r="B3761" s="209"/>
      <c r="C3761" s="201"/>
      <c r="D3761" s="201"/>
      <c r="E3761" s="202"/>
      <c r="F3761" s="210"/>
      <c r="G3761" s="210"/>
      <c r="H3761" s="206" t="s">
        <v>121</v>
      </c>
      <c r="I3761" s="206" t="s">
        <v>121</v>
      </c>
      <c r="J3761" s="206" t="s">
        <v>121</v>
      </c>
      <c r="K3761" s="206" t="s">
        <v>121</v>
      </c>
      <c r="L3761" s="206" t="str">
        <v/>
      </c>
      <c r="M3761" s="206" t="str">
        <v/>
      </c>
    </row>
    <row r="3762" spans="1:13" ht="14.4">
      <c r="A3762" s="201"/>
      <c r="B3762" s="209"/>
      <c r="C3762" s="201"/>
      <c r="D3762" s="201"/>
      <c r="E3762" s="202"/>
      <c r="F3762" s="210"/>
      <c r="G3762" s="210"/>
      <c r="H3762" s="206" t="s">
        <v>121</v>
      </c>
      <c r="I3762" s="206" t="s">
        <v>121</v>
      </c>
      <c r="J3762" s="206" t="s">
        <v>121</v>
      </c>
      <c r="K3762" s="206" t="s">
        <v>121</v>
      </c>
      <c r="L3762" s="206" t="str">
        <v/>
      </c>
      <c r="M3762" s="206" t="str">
        <v/>
      </c>
    </row>
    <row r="3763" spans="1:13" ht="14.4">
      <c r="A3763" s="201"/>
      <c r="B3763" s="209"/>
      <c r="C3763" s="201"/>
      <c r="D3763" s="201"/>
      <c r="E3763" s="202"/>
      <c r="F3763" s="210"/>
      <c r="G3763" s="210"/>
      <c r="H3763" s="206" t="s">
        <v>121</v>
      </c>
      <c r="I3763" s="206" t="s">
        <v>121</v>
      </c>
      <c r="J3763" s="206" t="s">
        <v>121</v>
      </c>
      <c r="K3763" s="206" t="s">
        <v>121</v>
      </c>
      <c r="L3763" s="206" t="str">
        <v/>
      </c>
      <c r="M3763" s="206" t="str">
        <v/>
      </c>
    </row>
    <row r="3764" spans="1:13" ht="14.4">
      <c r="A3764" s="201"/>
      <c r="B3764" s="209"/>
      <c r="C3764" s="201"/>
      <c r="D3764" s="201"/>
      <c r="E3764" s="202"/>
      <c r="F3764" s="210"/>
      <c r="G3764" s="210"/>
      <c r="H3764" s="206" t="s">
        <v>121</v>
      </c>
      <c r="I3764" s="206" t="s">
        <v>121</v>
      </c>
      <c r="J3764" s="206" t="s">
        <v>121</v>
      </c>
      <c r="K3764" s="206" t="s">
        <v>121</v>
      </c>
      <c r="L3764" s="206" t="str">
        <v/>
      </c>
      <c r="M3764" s="206" t="str">
        <v/>
      </c>
    </row>
    <row r="3765" spans="1:13" ht="14.4">
      <c r="A3765" s="201"/>
      <c r="B3765" s="209"/>
      <c r="C3765" s="201"/>
      <c r="D3765" s="201"/>
      <c r="E3765" s="202"/>
      <c r="F3765" s="210"/>
      <c r="G3765" s="210"/>
      <c r="H3765" s="206" t="s">
        <v>121</v>
      </c>
      <c r="I3765" s="206" t="s">
        <v>121</v>
      </c>
      <c r="J3765" s="206" t="s">
        <v>121</v>
      </c>
      <c r="K3765" s="206" t="s">
        <v>121</v>
      </c>
      <c r="L3765" s="206" t="str">
        <v/>
      </c>
      <c r="M3765" s="206" t="str">
        <v/>
      </c>
    </row>
    <row r="3766" spans="1:13" ht="14.4">
      <c r="A3766" s="201"/>
      <c r="B3766" s="209"/>
      <c r="C3766" s="201"/>
      <c r="D3766" s="201"/>
      <c r="E3766" s="202"/>
      <c r="F3766" s="210"/>
      <c r="G3766" s="210"/>
      <c r="H3766" s="206" t="s">
        <v>121</v>
      </c>
      <c r="I3766" s="206" t="s">
        <v>121</v>
      </c>
      <c r="J3766" s="206" t="s">
        <v>121</v>
      </c>
      <c r="K3766" s="206" t="s">
        <v>121</v>
      </c>
      <c r="L3766" s="206" t="str">
        <v/>
      </c>
      <c r="M3766" s="206" t="str">
        <v/>
      </c>
    </row>
    <row r="3767" spans="1:13" ht="14.4">
      <c r="A3767" s="201"/>
      <c r="B3767" s="209"/>
      <c r="C3767" s="201"/>
      <c r="D3767" s="201"/>
      <c r="E3767" s="202"/>
      <c r="F3767" s="210"/>
      <c r="G3767" s="210"/>
      <c r="H3767" s="206" t="s">
        <v>121</v>
      </c>
      <c r="I3767" s="206" t="s">
        <v>121</v>
      </c>
      <c r="J3767" s="206" t="s">
        <v>121</v>
      </c>
      <c r="K3767" s="206" t="s">
        <v>121</v>
      </c>
      <c r="L3767" s="206" t="str">
        <v/>
      </c>
      <c r="M3767" s="206" t="str">
        <v/>
      </c>
    </row>
    <row r="3768" spans="1:13" ht="14.4">
      <c r="A3768" s="201"/>
      <c r="B3768" s="209"/>
      <c r="C3768" s="201"/>
      <c r="D3768" s="201"/>
      <c r="E3768" s="202"/>
      <c r="F3768" s="210"/>
      <c r="G3768" s="210"/>
      <c r="H3768" s="206" t="s">
        <v>121</v>
      </c>
      <c r="I3768" s="206" t="s">
        <v>121</v>
      </c>
      <c r="J3768" s="206" t="s">
        <v>121</v>
      </c>
      <c r="K3768" s="206" t="s">
        <v>121</v>
      </c>
      <c r="L3768" s="206" t="str">
        <v/>
      </c>
      <c r="M3768" s="206" t="str">
        <v/>
      </c>
    </row>
    <row r="3769" spans="1:13" ht="14.4">
      <c r="A3769" s="201"/>
      <c r="B3769" s="209"/>
      <c r="C3769" s="201"/>
      <c r="D3769" s="201"/>
      <c r="E3769" s="202"/>
      <c r="F3769" s="210"/>
      <c r="G3769" s="210"/>
      <c r="H3769" s="206" t="s">
        <v>121</v>
      </c>
      <c r="I3769" s="206" t="s">
        <v>121</v>
      </c>
      <c r="J3769" s="206" t="s">
        <v>121</v>
      </c>
      <c r="K3769" s="206" t="s">
        <v>121</v>
      </c>
      <c r="L3769" s="206" t="str">
        <v/>
      </c>
      <c r="M3769" s="206" t="str">
        <v/>
      </c>
    </row>
    <row r="3770" spans="1:13" ht="14.4">
      <c r="A3770" s="201"/>
      <c r="B3770" s="209"/>
      <c r="C3770" s="201"/>
      <c r="D3770" s="201"/>
      <c r="E3770" s="202"/>
      <c r="F3770" s="210"/>
      <c r="G3770" s="210"/>
      <c r="H3770" s="206" t="s">
        <v>121</v>
      </c>
      <c r="I3770" s="206" t="s">
        <v>121</v>
      </c>
      <c r="J3770" s="206" t="s">
        <v>121</v>
      </c>
      <c r="K3770" s="206" t="s">
        <v>121</v>
      </c>
      <c r="L3770" s="206" t="str">
        <v/>
      </c>
      <c r="M3770" s="206" t="str">
        <v/>
      </c>
    </row>
    <row r="3771" spans="1:13" ht="14.4">
      <c r="A3771" s="201"/>
      <c r="B3771" s="209"/>
      <c r="C3771" s="201"/>
      <c r="D3771" s="201"/>
      <c r="E3771" s="202"/>
      <c r="F3771" s="210"/>
      <c r="G3771" s="210"/>
      <c r="H3771" s="206" t="s">
        <v>121</v>
      </c>
      <c r="I3771" s="206" t="s">
        <v>121</v>
      </c>
      <c r="J3771" s="206" t="s">
        <v>121</v>
      </c>
      <c r="K3771" s="206" t="s">
        <v>121</v>
      </c>
      <c r="L3771" s="206" t="str">
        <v/>
      </c>
      <c r="M3771" s="206" t="str">
        <v/>
      </c>
    </row>
    <row r="3772" spans="1:13" ht="14.4">
      <c r="A3772" s="201"/>
      <c r="B3772" s="209"/>
      <c r="C3772" s="201"/>
      <c r="D3772" s="201"/>
      <c r="E3772" s="202"/>
      <c r="F3772" s="210"/>
      <c r="G3772" s="210"/>
      <c r="H3772" s="206" t="s">
        <v>121</v>
      </c>
      <c r="I3772" s="206" t="s">
        <v>121</v>
      </c>
      <c r="J3772" s="206" t="s">
        <v>121</v>
      </c>
      <c r="K3772" s="206" t="s">
        <v>121</v>
      </c>
      <c r="L3772" s="206" t="str">
        <v/>
      </c>
      <c r="M3772" s="206" t="str">
        <v/>
      </c>
    </row>
    <row r="3773" spans="1:13" ht="14.4">
      <c r="A3773" s="201"/>
      <c r="B3773" s="209"/>
      <c r="C3773" s="201"/>
      <c r="D3773" s="201"/>
      <c r="E3773" s="202"/>
      <c r="F3773" s="210"/>
      <c r="G3773" s="210"/>
      <c r="H3773" s="206" t="s">
        <v>121</v>
      </c>
      <c r="I3773" s="206" t="s">
        <v>121</v>
      </c>
      <c r="J3773" s="206" t="s">
        <v>121</v>
      </c>
      <c r="K3773" s="206" t="s">
        <v>121</v>
      </c>
      <c r="L3773" s="206" t="str">
        <v/>
      </c>
      <c r="M3773" s="206" t="str">
        <v/>
      </c>
    </row>
    <row r="3774" spans="1:13" ht="14.4">
      <c r="A3774" s="201"/>
      <c r="B3774" s="209"/>
      <c r="C3774" s="201"/>
      <c r="D3774" s="201"/>
      <c r="E3774" s="202"/>
      <c r="F3774" s="210"/>
      <c r="G3774" s="210"/>
      <c r="H3774" s="206" t="s">
        <v>121</v>
      </c>
      <c r="I3774" s="206" t="s">
        <v>121</v>
      </c>
      <c r="J3774" s="206" t="s">
        <v>121</v>
      </c>
      <c r="K3774" s="206" t="s">
        <v>121</v>
      </c>
      <c r="L3774" s="206" t="str">
        <v/>
      </c>
      <c r="M3774" s="206" t="str">
        <v/>
      </c>
    </row>
    <row r="3775" spans="1:13" ht="14.4">
      <c r="A3775" s="201"/>
      <c r="B3775" s="209"/>
      <c r="C3775" s="201"/>
      <c r="D3775" s="201"/>
      <c r="E3775" s="202"/>
      <c r="F3775" s="210"/>
      <c r="G3775" s="210"/>
      <c r="H3775" s="206" t="s">
        <v>121</v>
      </c>
      <c r="I3775" s="206" t="s">
        <v>121</v>
      </c>
      <c r="J3775" s="206" t="s">
        <v>121</v>
      </c>
      <c r="K3775" s="206" t="s">
        <v>121</v>
      </c>
      <c r="L3775" s="206" t="str">
        <v/>
      </c>
      <c r="M3775" s="206" t="str">
        <v/>
      </c>
    </row>
    <row r="3776" spans="1:13" ht="14.4">
      <c r="A3776" s="201"/>
      <c r="B3776" s="209"/>
      <c r="C3776" s="201"/>
      <c r="D3776" s="201"/>
      <c r="E3776" s="202"/>
      <c r="F3776" s="210"/>
      <c r="G3776" s="210"/>
      <c r="H3776" s="206" t="s">
        <v>121</v>
      </c>
      <c r="I3776" s="206" t="s">
        <v>121</v>
      </c>
      <c r="J3776" s="206" t="s">
        <v>121</v>
      </c>
      <c r="K3776" s="206" t="s">
        <v>121</v>
      </c>
      <c r="L3776" s="206" t="str">
        <v/>
      </c>
      <c r="M3776" s="206" t="str">
        <v/>
      </c>
    </row>
    <row r="3777" spans="1:13" ht="14.4">
      <c r="A3777" s="201"/>
      <c r="B3777" s="209"/>
      <c r="C3777" s="201"/>
      <c r="D3777" s="201"/>
      <c r="E3777" s="202"/>
      <c r="F3777" s="210"/>
      <c r="G3777" s="210"/>
      <c r="H3777" s="206" t="s">
        <v>121</v>
      </c>
      <c r="I3777" s="206" t="s">
        <v>121</v>
      </c>
      <c r="J3777" s="206" t="s">
        <v>121</v>
      </c>
      <c r="K3777" s="206" t="s">
        <v>121</v>
      </c>
      <c r="L3777" s="206" t="str">
        <v/>
      </c>
      <c r="M3777" s="206" t="str">
        <v/>
      </c>
    </row>
    <row r="3778" spans="1:13" ht="14.4">
      <c r="A3778" s="201"/>
      <c r="B3778" s="209"/>
      <c r="C3778" s="201"/>
      <c r="D3778" s="201"/>
      <c r="E3778" s="202"/>
      <c r="F3778" s="210"/>
      <c r="G3778" s="210"/>
      <c r="H3778" s="206" t="s">
        <v>121</v>
      </c>
      <c r="I3778" s="206" t="s">
        <v>121</v>
      </c>
      <c r="J3778" s="206" t="s">
        <v>121</v>
      </c>
      <c r="K3778" s="206" t="s">
        <v>121</v>
      </c>
      <c r="L3778" s="206" t="str">
        <v/>
      </c>
      <c r="M3778" s="206" t="str">
        <v/>
      </c>
    </row>
    <row r="3779" spans="1:13" ht="14.4">
      <c r="A3779" s="201"/>
      <c r="B3779" s="209"/>
      <c r="C3779" s="201"/>
      <c r="D3779" s="201"/>
      <c r="E3779" s="202"/>
      <c r="F3779" s="210"/>
      <c r="G3779" s="210"/>
      <c r="H3779" s="206" t="s">
        <v>121</v>
      </c>
      <c r="I3779" s="206" t="s">
        <v>121</v>
      </c>
      <c r="J3779" s="206" t="s">
        <v>121</v>
      </c>
      <c r="K3779" s="206" t="s">
        <v>121</v>
      </c>
      <c r="L3779" s="206" t="str">
        <v/>
      </c>
      <c r="M3779" s="206" t="str">
        <v/>
      </c>
    </row>
    <row r="3780" spans="1:13" ht="14.4">
      <c r="A3780" s="201"/>
      <c r="B3780" s="209"/>
      <c r="C3780" s="201"/>
      <c r="D3780" s="201"/>
      <c r="E3780" s="202"/>
      <c r="F3780" s="210"/>
      <c r="G3780" s="210"/>
      <c r="H3780" s="206" t="s">
        <v>121</v>
      </c>
      <c r="I3780" s="206" t="s">
        <v>121</v>
      </c>
      <c r="J3780" s="206" t="s">
        <v>121</v>
      </c>
      <c r="K3780" s="206" t="s">
        <v>121</v>
      </c>
      <c r="L3780" s="206" t="str">
        <v/>
      </c>
      <c r="M3780" s="206" t="str">
        <v/>
      </c>
    </row>
    <row r="3781" spans="1:13" ht="14.4">
      <c r="A3781" s="201"/>
      <c r="B3781" s="209"/>
      <c r="C3781" s="201"/>
      <c r="D3781" s="201"/>
      <c r="E3781" s="202"/>
      <c r="F3781" s="210"/>
      <c r="G3781" s="210"/>
      <c r="H3781" s="206" t="s">
        <v>121</v>
      </c>
      <c r="I3781" s="206" t="s">
        <v>121</v>
      </c>
      <c r="J3781" s="206" t="s">
        <v>121</v>
      </c>
      <c r="K3781" s="206" t="s">
        <v>121</v>
      </c>
      <c r="L3781" s="206" t="str">
        <v/>
      </c>
      <c r="M3781" s="206" t="str">
        <v/>
      </c>
    </row>
    <row r="3782" spans="1:13" ht="14.4">
      <c r="A3782" s="201"/>
      <c r="B3782" s="209"/>
      <c r="C3782" s="201"/>
      <c r="D3782" s="201"/>
      <c r="E3782" s="202"/>
      <c r="F3782" s="210"/>
      <c r="G3782" s="210"/>
      <c r="H3782" s="206" t="s">
        <v>121</v>
      </c>
      <c r="I3782" s="206" t="s">
        <v>121</v>
      </c>
      <c r="J3782" s="206" t="s">
        <v>121</v>
      </c>
      <c r="K3782" s="206" t="s">
        <v>121</v>
      </c>
      <c r="L3782" s="206" t="str">
        <v/>
      </c>
      <c r="M3782" s="206" t="str">
        <v/>
      </c>
    </row>
    <row r="3783" spans="1:13" ht="14.4">
      <c r="A3783" s="201"/>
      <c r="B3783" s="209"/>
      <c r="C3783" s="201"/>
      <c r="D3783" s="201"/>
      <c r="E3783" s="202"/>
      <c r="F3783" s="210"/>
      <c r="G3783" s="210"/>
      <c r="H3783" s="206" t="s">
        <v>121</v>
      </c>
      <c r="I3783" s="206" t="s">
        <v>121</v>
      </c>
      <c r="J3783" s="206" t="s">
        <v>121</v>
      </c>
      <c r="K3783" s="206" t="s">
        <v>121</v>
      </c>
      <c r="L3783" s="206" t="str">
        <v/>
      </c>
      <c r="M3783" s="206" t="str">
        <v/>
      </c>
    </row>
    <row r="3784" spans="1:13" ht="14.4">
      <c r="A3784" s="201"/>
      <c r="B3784" s="209"/>
      <c r="C3784" s="201"/>
      <c r="D3784" s="201"/>
      <c r="E3784" s="202"/>
      <c r="F3784" s="210"/>
      <c r="G3784" s="210"/>
      <c r="H3784" s="206" t="s">
        <v>121</v>
      </c>
      <c r="I3784" s="206" t="s">
        <v>121</v>
      </c>
      <c r="J3784" s="206" t="s">
        <v>121</v>
      </c>
      <c r="K3784" s="206" t="s">
        <v>121</v>
      </c>
      <c r="L3784" s="206" t="str">
        <v/>
      </c>
      <c r="M3784" s="206" t="str">
        <v/>
      </c>
    </row>
    <row r="3785" spans="1:13" ht="14.4">
      <c r="A3785" s="201"/>
      <c r="B3785" s="209"/>
      <c r="C3785" s="201"/>
      <c r="D3785" s="201"/>
      <c r="E3785" s="202"/>
      <c r="F3785" s="210"/>
      <c r="G3785" s="210"/>
      <c r="H3785" s="206" t="s">
        <v>121</v>
      </c>
      <c r="I3785" s="206" t="s">
        <v>121</v>
      </c>
      <c r="J3785" s="206" t="s">
        <v>121</v>
      </c>
      <c r="K3785" s="206" t="s">
        <v>121</v>
      </c>
      <c r="L3785" s="206" t="str">
        <v/>
      </c>
      <c r="M3785" s="206" t="str">
        <v/>
      </c>
    </row>
    <row r="3786" spans="1:13" ht="14.4">
      <c r="A3786" s="201"/>
      <c r="B3786" s="209"/>
      <c r="C3786" s="201"/>
      <c r="D3786" s="201"/>
      <c r="E3786" s="202"/>
      <c r="F3786" s="210"/>
      <c r="G3786" s="210"/>
      <c r="H3786" s="206" t="s">
        <v>121</v>
      </c>
      <c r="I3786" s="206" t="s">
        <v>121</v>
      </c>
      <c r="J3786" s="206" t="s">
        <v>121</v>
      </c>
      <c r="K3786" s="206" t="s">
        <v>121</v>
      </c>
      <c r="L3786" s="206" t="str">
        <v/>
      </c>
      <c r="M3786" s="206" t="str">
        <v/>
      </c>
    </row>
    <row r="3787" spans="1:13" ht="14.4">
      <c r="A3787" s="201"/>
      <c r="B3787" s="209"/>
      <c r="C3787" s="201"/>
      <c r="D3787" s="201"/>
      <c r="E3787" s="202"/>
      <c r="F3787" s="210"/>
      <c r="G3787" s="210"/>
      <c r="H3787" s="206" t="s">
        <v>121</v>
      </c>
      <c r="I3787" s="206" t="s">
        <v>121</v>
      </c>
      <c r="J3787" s="206" t="s">
        <v>121</v>
      </c>
      <c r="K3787" s="206" t="s">
        <v>121</v>
      </c>
      <c r="L3787" s="206" t="str">
        <v/>
      </c>
      <c r="M3787" s="206" t="str">
        <v/>
      </c>
    </row>
    <row r="3788" spans="1:13" ht="14.4">
      <c r="A3788" s="201"/>
      <c r="B3788" s="209"/>
      <c r="C3788" s="201"/>
      <c r="D3788" s="201"/>
      <c r="E3788" s="202"/>
      <c r="F3788" s="210"/>
      <c r="G3788" s="210"/>
      <c r="H3788" s="206" t="s">
        <v>121</v>
      </c>
      <c r="I3788" s="206" t="s">
        <v>121</v>
      </c>
      <c r="J3788" s="206" t="s">
        <v>121</v>
      </c>
      <c r="K3788" s="206" t="s">
        <v>121</v>
      </c>
      <c r="L3788" s="206" t="str">
        <v/>
      </c>
      <c r="M3788" s="206" t="str">
        <v/>
      </c>
    </row>
    <row r="3789" spans="1:13" ht="14.4">
      <c r="A3789" s="201"/>
      <c r="B3789" s="209"/>
      <c r="C3789" s="201"/>
      <c r="D3789" s="201"/>
      <c r="E3789" s="202"/>
      <c r="F3789" s="210"/>
      <c r="G3789" s="210"/>
      <c r="H3789" s="206" t="s">
        <v>121</v>
      </c>
      <c r="I3789" s="206" t="s">
        <v>121</v>
      </c>
      <c r="J3789" s="206" t="s">
        <v>121</v>
      </c>
      <c r="K3789" s="206" t="s">
        <v>121</v>
      </c>
      <c r="L3789" s="206" t="str">
        <v/>
      </c>
      <c r="M3789" s="206" t="str">
        <v/>
      </c>
    </row>
    <row r="3790" spans="1:13" ht="14.4">
      <c r="A3790" s="201"/>
      <c r="B3790" s="209"/>
      <c r="C3790" s="201"/>
      <c r="D3790" s="201"/>
      <c r="E3790" s="202"/>
      <c r="F3790" s="210"/>
      <c r="G3790" s="210"/>
      <c r="H3790" s="206" t="s">
        <v>121</v>
      </c>
      <c r="I3790" s="206" t="s">
        <v>121</v>
      </c>
      <c r="J3790" s="206" t="s">
        <v>121</v>
      </c>
      <c r="K3790" s="206" t="s">
        <v>121</v>
      </c>
      <c r="L3790" s="206" t="str">
        <v/>
      </c>
      <c r="M3790" s="206" t="str">
        <v/>
      </c>
    </row>
    <row r="3791" spans="1:13" ht="14.4">
      <c r="A3791" s="201"/>
      <c r="B3791" s="209"/>
      <c r="C3791" s="201"/>
      <c r="D3791" s="201"/>
      <c r="E3791" s="202"/>
      <c r="F3791" s="210"/>
      <c r="G3791" s="210"/>
      <c r="H3791" s="206" t="s">
        <v>121</v>
      </c>
      <c r="I3791" s="206" t="s">
        <v>121</v>
      </c>
      <c r="J3791" s="206" t="s">
        <v>121</v>
      </c>
      <c r="K3791" s="206" t="s">
        <v>121</v>
      </c>
      <c r="L3791" s="206" t="str">
        <v/>
      </c>
      <c r="M3791" s="206" t="str">
        <v/>
      </c>
    </row>
    <row r="3792" spans="1:13" ht="14.4">
      <c r="A3792" s="201"/>
      <c r="B3792" s="209"/>
      <c r="C3792" s="201"/>
      <c r="D3792" s="201"/>
      <c r="E3792" s="202"/>
      <c r="F3792" s="210"/>
      <c r="G3792" s="210"/>
      <c r="H3792" s="206" t="s">
        <v>121</v>
      </c>
      <c r="I3792" s="206" t="s">
        <v>121</v>
      </c>
      <c r="J3792" s="206" t="s">
        <v>121</v>
      </c>
      <c r="K3792" s="206" t="s">
        <v>121</v>
      </c>
      <c r="L3792" s="206" t="str">
        <v/>
      </c>
      <c r="M3792" s="206" t="str">
        <v/>
      </c>
    </row>
    <row r="3793" spans="1:13" ht="14.4">
      <c r="A3793" s="201"/>
      <c r="B3793" s="209"/>
      <c r="C3793" s="201"/>
      <c r="D3793" s="201"/>
      <c r="E3793" s="202"/>
      <c r="F3793" s="210"/>
      <c r="G3793" s="210"/>
      <c r="H3793" s="206" t="s">
        <v>121</v>
      </c>
      <c r="I3793" s="206" t="s">
        <v>121</v>
      </c>
      <c r="J3793" s="206" t="s">
        <v>121</v>
      </c>
      <c r="K3793" s="206" t="s">
        <v>121</v>
      </c>
      <c r="L3793" s="206" t="str">
        <v/>
      </c>
      <c r="M3793" s="206" t="str">
        <v/>
      </c>
    </row>
    <row r="3794" spans="1:13" ht="14.4">
      <c r="A3794" s="201"/>
      <c r="B3794" s="209"/>
      <c r="C3794" s="201"/>
      <c r="D3794" s="201"/>
      <c r="E3794" s="202"/>
      <c r="F3794" s="210"/>
      <c r="G3794" s="210"/>
      <c r="H3794" s="206" t="s">
        <v>121</v>
      </c>
      <c r="I3794" s="206" t="s">
        <v>121</v>
      </c>
      <c r="J3794" s="206" t="s">
        <v>121</v>
      </c>
      <c r="K3794" s="206" t="s">
        <v>121</v>
      </c>
      <c r="L3794" s="206" t="str">
        <v/>
      </c>
      <c r="M3794" s="206" t="str">
        <v/>
      </c>
    </row>
    <row r="3795" spans="1:13" ht="14.4">
      <c r="A3795" s="201"/>
      <c r="B3795" s="209"/>
      <c r="C3795" s="201"/>
      <c r="D3795" s="201"/>
      <c r="E3795" s="202"/>
      <c r="F3795" s="210"/>
      <c r="G3795" s="210"/>
      <c r="H3795" s="206" t="s">
        <v>121</v>
      </c>
      <c r="I3795" s="206" t="s">
        <v>121</v>
      </c>
      <c r="J3795" s="206" t="s">
        <v>121</v>
      </c>
      <c r="K3795" s="206" t="s">
        <v>121</v>
      </c>
      <c r="L3795" s="206" t="str">
        <v/>
      </c>
      <c r="M3795" s="206" t="str">
        <v/>
      </c>
    </row>
    <row r="3796" spans="1:13" ht="14.4">
      <c r="A3796" s="201"/>
      <c r="B3796" s="209"/>
      <c r="C3796" s="201"/>
      <c r="D3796" s="201"/>
      <c r="E3796" s="202"/>
      <c r="F3796" s="210"/>
      <c r="G3796" s="210"/>
      <c r="H3796" s="206" t="s">
        <v>121</v>
      </c>
      <c r="I3796" s="206" t="s">
        <v>121</v>
      </c>
      <c r="J3796" s="206" t="s">
        <v>121</v>
      </c>
      <c r="K3796" s="206" t="s">
        <v>121</v>
      </c>
      <c r="L3796" s="206" t="str">
        <v/>
      </c>
      <c r="M3796" s="206" t="str">
        <v/>
      </c>
    </row>
    <row r="3797" spans="1:13" ht="14.4">
      <c r="A3797" s="201"/>
      <c r="B3797" s="209"/>
      <c r="C3797" s="201"/>
      <c r="D3797" s="201"/>
      <c r="E3797" s="202"/>
      <c r="F3797" s="210"/>
      <c r="G3797" s="210"/>
      <c r="H3797" s="206" t="s">
        <v>121</v>
      </c>
      <c r="I3797" s="206" t="s">
        <v>121</v>
      </c>
      <c r="J3797" s="206" t="s">
        <v>121</v>
      </c>
      <c r="K3797" s="206" t="s">
        <v>121</v>
      </c>
      <c r="L3797" s="206" t="str">
        <v/>
      </c>
      <c r="M3797" s="206" t="str">
        <v/>
      </c>
    </row>
    <row r="3798" spans="1:13" ht="14.4">
      <c r="A3798" s="201"/>
      <c r="B3798" s="209"/>
      <c r="C3798" s="201"/>
      <c r="D3798" s="201"/>
      <c r="E3798" s="202"/>
      <c r="F3798" s="210"/>
      <c r="G3798" s="210"/>
      <c r="H3798" s="206" t="s">
        <v>121</v>
      </c>
      <c r="I3798" s="206" t="s">
        <v>121</v>
      </c>
      <c r="J3798" s="206" t="s">
        <v>121</v>
      </c>
      <c r="K3798" s="206" t="s">
        <v>121</v>
      </c>
      <c r="L3798" s="206" t="str">
        <v/>
      </c>
      <c r="M3798" s="206" t="str">
        <v/>
      </c>
    </row>
    <row r="3799" spans="1:13" ht="14.4">
      <c r="A3799" s="201"/>
      <c r="B3799" s="209"/>
      <c r="C3799" s="201"/>
      <c r="D3799" s="201"/>
      <c r="E3799" s="202"/>
      <c r="F3799" s="210"/>
      <c r="G3799" s="210"/>
      <c r="H3799" s="206" t="s">
        <v>121</v>
      </c>
      <c r="I3799" s="206" t="s">
        <v>121</v>
      </c>
      <c r="J3799" s="206" t="s">
        <v>121</v>
      </c>
      <c r="K3799" s="206" t="s">
        <v>121</v>
      </c>
      <c r="L3799" s="206" t="str">
        <v/>
      </c>
      <c r="M3799" s="206" t="str">
        <v/>
      </c>
    </row>
    <row r="3800" spans="1:13" ht="14.4">
      <c r="A3800" s="201"/>
      <c r="B3800" s="209"/>
      <c r="C3800" s="201"/>
      <c r="D3800" s="201"/>
      <c r="E3800" s="202"/>
      <c r="F3800" s="210"/>
      <c r="G3800" s="210"/>
      <c r="H3800" s="206" t="s">
        <v>121</v>
      </c>
      <c r="I3800" s="206" t="s">
        <v>121</v>
      </c>
      <c r="J3800" s="206" t="s">
        <v>121</v>
      </c>
      <c r="K3800" s="206" t="s">
        <v>121</v>
      </c>
      <c r="L3800" s="206" t="str">
        <v/>
      </c>
      <c r="M3800" s="206" t="str">
        <v/>
      </c>
    </row>
    <row r="3801" spans="1:13" ht="14.4">
      <c r="A3801" s="201"/>
      <c r="B3801" s="209"/>
      <c r="C3801" s="201"/>
      <c r="D3801" s="201"/>
      <c r="E3801" s="202"/>
      <c r="F3801" s="210"/>
      <c r="G3801" s="210"/>
      <c r="H3801" s="206" t="s">
        <v>121</v>
      </c>
      <c r="I3801" s="206" t="s">
        <v>121</v>
      </c>
      <c r="J3801" s="206" t="s">
        <v>121</v>
      </c>
      <c r="K3801" s="206" t="s">
        <v>121</v>
      </c>
      <c r="L3801" s="206" t="str">
        <v/>
      </c>
      <c r="M3801" s="206" t="str">
        <v/>
      </c>
    </row>
    <row r="3802" spans="1:13" ht="14.4">
      <c r="A3802" s="201"/>
      <c r="B3802" s="209"/>
      <c r="C3802" s="201"/>
      <c r="D3802" s="201"/>
      <c r="E3802" s="202"/>
      <c r="F3802" s="210"/>
      <c r="G3802" s="210"/>
      <c r="H3802" s="206" t="s">
        <v>121</v>
      </c>
      <c r="I3802" s="206" t="s">
        <v>121</v>
      </c>
      <c r="J3802" s="206" t="s">
        <v>121</v>
      </c>
      <c r="K3802" s="206" t="s">
        <v>121</v>
      </c>
      <c r="L3802" s="206" t="str">
        <v/>
      </c>
      <c r="M3802" s="206" t="str">
        <v/>
      </c>
    </row>
    <row r="3803" spans="1:13" ht="14.4">
      <c r="A3803" s="201"/>
      <c r="B3803" s="209"/>
      <c r="C3803" s="201"/>
      <c r="D3803" s="201"/>
      <c r="E3803" s="202"/>
      <c r="F3803" s="210"/>
      <c r="G3803" s="210"/>
      <c r="H3803" s="206" t="s">
        <v>121</v>
      </c>
      <c r="I3803" s="206" t="s">
        <v>121</v>
      </c>
      <c r="J3803" s="206" t="s">
        <v>121</v>
      </c>
      <c r="K3803" s="206" t="s">
        <v>121</v>
      </c>
      <c r="L3803" s="206" t="str">
        <v/>
      </c>
      <c r="M3803" s="206" t="str">
        <v/>
      </c>
    </row>
    <row r="3804" spans="1:13" ht="14.4">
      <c r="A3804" s="201"/>
      <c r="B3804" s="209"/>
      <c r="C3804" s="201"/>
      <c r="D3804" s="201"/>
      <c r="E3804" s="202"/>
      <c r="F3804" s="210"/>
      <c r="G3804" s="210"/>
      <c r="H3804" s="206" t="s">
        <v>121</v>
      </c>
      <c r="I3804" s="206" t="s">
        <v>121</v>
      </c>
      <c r="J3804" s="206" t="s">
        <v>121</v>
      </c>
      <c r="K3804" s="206" t="s">
        <v>121</v>
      </c>
      <c r="L3804" s="206" t="str">
        <v/>
      </c>
      <c r="M3804" s="206" t="str">
        <v/>
      </c>
    </row>
    <row r="3805" spans="1:13" ht="14.4">
      <c r="A3805" s="201"/>
      <c r="B3805" s="209"/>
      <c r="C3805" s="201"/>
      <c r="D3805" s="201"/>
      <c r="E3805" s="202"/>
      <c r="F3805" s="210"/>
      <c r="G3805" s="210"/>
      <c r="H3805" s="206" t="s">
        <v>121</v>
      </c>
      <c r="I3805" s="206" t="s">
        <v>121</v>
      </c>
      <c r="J3805" s="206" t="s">
        <v>121</v>
      </c>
      <c r="K3805" s="206" t="s">
        <v>121</v>
      </c>
      <c r="L3805" s="206" t="str">
        <v/>
      </c>
      <c r="M3805" s="206" t="str">
        <v/>
      </c>
    </row>
    <row r="3806" spans="1:13" ht="14.4">
      <c r="A3806" s="201"/>
      <c r="B3806" s="209"/>
      <c r="C3806" s="201"/>
      <c r="D3806" s="201"/>
      <c r="E3806" s="202"/>
      <c r="F3806" s="210"/>
      <c r="G3806" s="210"/>
      <c r="H3806" s="206" t="s">
        <v>121</v>
      </c>
      <c r="I3806" s="206" t="s">
        <v>121</v>
      </c>
      <c r="J3806" s="206" t="s">
        <v>121</v>
      </c>
      <c r="K3806" s="206" t="s">
        <v>121</v>
      </c>
      <c r="L3806" s="206" t="str">
        <v/>
      </c>
      <c r="M3806" s="206" t="str">
        <v/>
      </c>
    </row>
    <row r="3807" spans="1:13" ht="14.4">
      <c r="A3807" s="201"/>
      <c r="B3807" s="209"/>
      <c r="C3807" s="201"/>
      <c r="D3807" s="201"/>
      <c r="E3807" s="202"/>
      <c r="F3807" s="210"/>
      <c r="G3807" s="210"/>
      <c r="H3807" s="206" t="s">
        <v>121</v>
      </c>
      <c r="I3807" s="206" t="s">
        <v>121</v>
      </c>
      <c r="J3807" s="206" t="s">
        <v>121</v>
      </c>
      <c r="K3807" s="206" t="s">
        <v>121</v>
      </c>
      <c r="L3807" s="206" t="str">
        <v/>
      </c>
      <c r="M3807" s="206" t="str">
        <v/>
      </c>
    </row>
    <row r="3808" spans="1:13" ht="14.4">
      <c r="A3808" s="201"/>
      <c r="B3808" s="209"/>
      <c r="C3808" s="201"/>
      <c r="D3808" s="201"/>
      <c r="E3808" s="202"/>
      <c r="F3808" s="210"/>
      <c r="G3808" s="210"/>
      <c r="H3808" s="206" t="s">
        <v>121</v>
      </c>
      <c r="I3808" s="206" t="s">
        <v>121</v>
      </c>
      <c r="J3808" s="206" t="s">
        <v>121</v>
      </c>
      <c r="K3808" s="206" t="s">
        <v>121</v>
      </c>
      <c r="L3808" s="206" t="str">
        <v/>
      </c>
      <c r="M3808" s="206" t="str">
        <v/>
      </c>
    </row>
    <row r="3809" spans="1:13" ht="14.4">
      <c r="A3809" s="201"/>
      <c r="B3809" s="209"/>
      <c r="C3809" s="201"/>
      <c r="D3809" s="201"/>
      <c r="E3809" s="202"/>
      <c r="F3809" s="210"/>
      <c r="G3809" s="210"/>
      <c r="H3809" s="206" t="s">
        <v>121</v>
      </c>
      <c r="I3809" s="206" t="s">
        <v>121</v>
      </c>
      <c r="J3809" s="206" t="s">
        <v>121</v>
      </c>
      <c r="K3809" s="206" t="s">
        <v>121</v>
      </c>
      <c r="L3809" s="206" t="str">
        <v/>
      </c>
      <c r="M3809" s="206" t="str">
        <v/>
      </c>
    </row>
    <row r="3810" spans="1:13" ht="14.4">
      <c r="A3810" s="201"/>
      <c r="B3810" s="209"/>
      <c r="C3810" s="201"/>
      <c r="D3810" s="201"/>
      <c r="E3810" s="202"/>
      <c r="F3810" s="210"/>
      <c r="G3810" s="210"/>
      <c r="H3810" s="206" t="s">
        <v>121</v>
      </c>
      <c r="I3810" s="206" t="s">
        <v>121</v>
      </c>
      <c r="J3810" s="206" t="s">
        <v>121</v>
      </c>
      <c r="K3810" s="206" t="s">
        <v>121</v>
      </c>
      <c r="L3810" s="206" t="str">
        <v/>
      </c>
      <c r="M3810" s="206" t="str">
        <v/>
      </c>
    </row>
    <row r="3811" spans="1:13" ht="14.4">
      <c r="A3811" s="201"/>
      <c r="B3811" s="209"/>
      <c r="C3811" s="201"/>
      <c r="D3811" s="201"/>
      <c r="E3811" s="202"/>
      <c r="F3811" s="210"/>
      <c r="G3811" s="210"/>
      <c r="H3811" s="206" t="s">
        <v>121</v>
      </c>
      <c r="I3811" s="206" t="s">
        <v>121</v>
      </c>
      <c r="J3811" s="206" t="s">
        <v>121</v>
      </c>
      <c r="K3811" s="206" t="s">
        <v>121</v>
      </c>
      <c r="L3811" s="206" t="str">
        <v/>
      </c>
      <c r="M3811" s="206" t="str">
        <v/>
      </c>
    </row>
    <row r="3812" spans="1:13" ht="14.4">
      <c r="A3812" s="201"/>
      <c r="B3812" s="209"/>
      <c r="C3812" s="201"/>
      <c r="D3812" s="201"/>
      <c r="E3812" s="202"/>
      <c r="F3812" s="210"/>
      <c r="G3812" s="210"/>
      <c r="H3812" s="206" t="s">
        <v>121</v>
      </c>
      <c r="I3812" s="206" t="s">
        <v>121</v>
      </c>
      <c r="J3812" s="206" t="s">
        <v>121</v>
      </c>
      <c r="K3812" s="206" t="s">
        <v>121</v>
      </c>
      <c r="L3812" s="206" t="str">
        <v/>
      </c>
      <c r="M3812" s="206" t="str">
        <v/>
      </c>
    </row>
    <row r="3813" spans="1:13" ht="14.4">
      <c r="A3813" s="201"/>
      <c r="B3813" s="209"/>
      <c r="C3813" s="201"/>
      <c r="D3813" s="201"/>
      <c r="E3813" s="202"/>
      <c r="F3813" s="210"/>
      <c r="G3813" s="210"/>
      <c r="H3813" s="206" t="s">
        <v>121</v>
      </c>
      <c r="I3813" s="206" t="s">
        <v>121</v>
      </c>
      <c r="J3813" s="206" t="s">
        <v>121</v>
      </c>
      <c r="K3813" s="206" t="s">
        <v>121</v>
      </c>
      <c r="L3813" s="206" t="str">
        <v/>
      </c>
      <c r="M3813" s="206" t="str">
        <v/>
      </c>
    </row>
    <row r="3814" spans="1:13" ht="14.4">
      <c r="A3814" s="201"/>
      <c r="B3814" s="209"/>
      <c r="C3814" s="201"/>
      <c r="D3814" s="201"/>
      <c r="E3814" s="202"/>
      <c r="F3814" s="210"/>
      <c r="G3814" s="210"/>
      <c r="H3814" s="206" t="s">
        <v>121</v>
      </c>
      <c r="I3814" s="206" t="s">
        <v>121</v>
      </c>
      <c r="J3814" s="206" t="s">
        <v>121</v>
      </c>
      <c r="K3814" s="206" t="s">
        <v>121</v>
      </c>
      <c r="L3814" s="206" t="str">
        <v/>
      </c>
      <c r="M3814" s="206" t="str">
        <v/>
      </c>
    </row>
    <row r="3815" spans="1:13" ht="14.4">
      <c r="A3815" s="201"/>
      <c r="B3815" s="209"/>
      <c r="C3815" s="201"/>
      <c r="D3815" s="201"/>
      <c r="E3815" s="202"/>
      <c r="F3815" s="210"/>
      <c r="G3815" s="210"/>
      <c r="H3815" s="206" t="s">
        <v>121</v>
      </c>
      <c r="I3815" s="206" t="s">
        <v>121</v>
      </c>
      <c r="J3815" s="206" t="s">
        <v>121</v>
      </c>
      <c r="K3815" s="206" t="s">
        <v>121</v>
      </c>
      <c r="L3815" s="206" t="str">
        <v/>
      </c>
      <c r="M3815" s="206" t="str">
        <v/>
      </c>
    </row>
    <row r="3816" spans="1:13" ht="14.4">
      <c r="A3816" s="201"/>
      <c r="B3816" s="209"/>
      <c r="C3816" s="201"/>
      <c r="D3816" s="201"/>
      <c r="E3816" s="202"/>
      <c r="F3816" s="210"/>
      <c r="G3816" s="210"/>
      <c r="H3816" s="206" t="s">
        <v>121</v>
      </c>
      <c r="I3816" s="206" t="s">
        <v>121</v>
      </c>
      <c r="J3816" s="206" t="s">
        <v>121</v>
      </c>
      <c r="K3816" s="206" t="s">
        <v>121</v>
      </c>
      <c r="L3816" s="206" t="str">
        <v/>
      </c>
      <c r="M3816" s="206" t="str">
        <v/>
      </c>
    </row>
    <row r="3817" spans="1:13" ht="14.4">
      <c r="A3817" s="201"/>
      <c r="B3817" s="209"/>
      <c r="C3817" s="201"/>
      <c r="D3817" s="201"/>
      <c r="E3817" s="202"/>
      <c r="F3817" s="210"/>
      <c r="G3817" s="210"/>
      <c r="H3817" s="206" t="s">
        <v>121</v>
      </c>
      <c r="I3817" s="206" t="s">
        <v>121</v>
      </c>
      <c r="J3817" s="206" t="s">
        <v>121</v>
      </c>
      <c r="K3817" s="206" t="s">
        <v>121</v>
      </c>
      <c r="L3817" s="206" t="str">
        <v/>
      </c>
      <c r="M3817" s="206" t="str">
        <v/>
      </c>
    </row>
    <row r="3818" spans="1:13" ht="14.4">
      <c r="A3818" s="201"/>
      <c r="B3818" s="209"/>
      <c r="C3818" s="201"/>
      <c r="D3818" s="201"/>
      <c r="E3818" s="202"/>
      <c r="F3818" s="210"/>
      <c r="G3818" s="210"/>
      <c r="H3818" s="206" t="s">
        <v>121</v>
      </c>
      <c r="I3818" s="206" t="s">
        <v>121</v>
      </c>
      <c r="J3818" s="206" t="s">
        <v>121</v>
      </c>
      <c r="K3818" s="206" t="s">
        <v>121</v>
      </c>
      <c r="L3818" s="206" t="str">
        <v/>
      </c>
      <c r="M3818" s="206" t="str">
        <v/>
      </c>
    </row>
    <row r="3819" spans="1:13" ht="14.4">
      <c r="A3819" s="201"/>
      <c r="B3819" s="209"/>
      <c r="C3819" s="201"/>
      <c r="D3819" s="201"/>
      <c r="E3819" s="202"/>
      <c r="F3819" s="210"/>
      <c r="G3819" s="210"/>
      <c r="H3819" s="206" t="s">
        <v>121</v>
      </c>
      <c r="I3819" s="206" t="s">
        <v>121</v>
      </c>
      <c r="J3819" s="206" t="s">
        <v>121</v>
      </c>
      <c r="K3819" s="206" t="s">
        <v>121</v>
      </c>
      <c r="L3819" s="206" t="str">
        <v/>
      </c>
      <c r="M3819" s="206" t="str">
        <v/>
      </c>
    </row>
    <row r="3820" spans="1:13" ht="14.4">
      <c r="A3820" s="201"/>
      <c r="B3820" s="209"/>
      <c r="C3820" s="201"/>
      <c r="D3820" s="201"/>
      <c r="E3820" s="202"/>
      <c r="F3820" s="210"/>
      <c r="G3820" s="210"/>
      <c r="H3820" s="206" t="s">
        <v>121</v>
      </c>
      <c r="I3820" s="206" t="s">
        <v>121</v>
      </c>
      <c r="J3820" s="206" t="s">
        <v>121</v>
      </c>
      <c r="K3820" s="206" t="s">
        <v>121</v>
      </c>
      <c r="L3820" s="206" t="str">
        <v/>
      </c>
      <c r="M3820" s="206" t="str">
        <v/>
      </c>
    </row>
    <row r="3821" spans="1:13" ht="14.4">
      <c r="A3821" s="201"/>
      <c r="B3821" s="209"/>
      <c r="C3821" s="201"/>
      <c r="D3821" s="201"/>
      <c r="E3821" s="202"/>
      <c r="F3821" s="210"/>
      <c r="G3821" s="210"/>
      <c r="H3821" s="206" t="s">
        <v>121</v>
      </c>
      <c r="I3821" s="206" t="s">
        <v>121</v>
      </c>
      <c r="J3821" s="206" t="s">
        <v>121</v>
      </c>
      <c r="K3821" s="206" t="s">
        <v>121</v>
      </c>
      <c r="L3821" s="206" t="str">
        <v/>
      </c>
      <c r="M3821" s="206" t="str">
        <v/>
      </c>
    </row>
    <row r="3822" spans="1:13" ht="14.4">
      <c r="A3822" s="201"/>
      <c r="B3822" s="209"/>
      <c r="C3822" s="201"/>
      <c r="D3822" s="201"/>
      <c r="E3822" s="202"/>
      <c r="F3822" s="210"/>
      <c r="G3822" s="210"/>
      <c r="H3822" s="206" t="s">
        <v>121</v>
      </c>
      <c r="I3822" s="206" t="s">
        <v>121</v>
      </c>
      <c r="J3822" s="206" t="s">
        <v>121</v>
      </c>
      <c r="K3822" s="206" t="s">
        <v>121</v>
      </c>
      <c r="L3822" s="206" t="str">
        <v/>
      </c>
      <c r="M3822" s="206" t="str">
        <v/>
      </c>
    </row>
    <row r="3823" spans="1:13" ht="14.4">
      <c r="A3823" s="201"/>
      <c r="B3823" s="209"/>
      <c r="C3823" s="201"/>
      <c r="D3823" s="201"/>
      <c r="E3823" s="202"/>
      <c r="F3823" s="210"/>
      <c r="G3823" s="210"/>
      <c r="H3823" s="206" t="s">
        <v>121</v>
      </c>
      <c r="I3823" s="206" t="s">
        <v>121</v>
      </c>
      <c r="J3823" s="206" t="s">
        <v>121</v>
      </c>
      <c r="K3823" s="206" t="s">
        <v>121</v>
      </c>
      <c r="L3823" s="206" t="str">
        <v/>
      </c>
      <c r="M3823" s="206" t="str">
        <v/>
      </c>
    </row>
    <row r="3824" spans="1:13" ht="14.4">
      <c r="A3824" s="201"/>
      <c r="B3824" s="209"/>
      <c r="C3824" s="201"/>
      <c r="D3824" s="201"/>
      <c r="E3824" s="202"/>
      <c r="F3824" s="210"/>
      <c r="G3824" s="210"/>
      <c r="H3824" s="206" t="s">
        <v>121</v>
      </c>
      <c r="I3824" s="206" t="s">
        <v>121</v>
      </c>
      <c r="J3824" s="206" t="s">
        <v>121</v>
      </c>
      <c r="K3824" s="206" t="s">
        <v>121</v>
      </c>
      <c r="L3824" s="206" t="str">
        <v/>
      </c>
      <c r="M3824" s="206" t="str">
        <v/>
      </c>
    </row>
    <row r="3825" spans="1:13" ht="14.4">
      <c r="A3825" s="201"/>
      <c r="B3825" s="209"/>
      <c r="C3825" s="201"/>
      <c r="D3825" s="201"/>
      <c r="E3825" s="202"/>
      <c r="F3825" s="210"/>
      <c r="G3825" s="210"/>
      <c r="H3825" s="206" t="s">
        <v>121</v>
      </c>
      <c r="I3825" s="206" t="s">
        <v>121</v>
      </c>
      <c r="J3825" s="206" t="s">
        <v>121</v>
      </c>
      <c r="K3825" s="206" t="s">
        <v>121</v>
      </c>
      <c r="L3825" s="206" t="str">
        <v/>
      </c>
      <c r="M3825" s="206" t="str">
        <v/>
      </c>
    </row>
    <row r="3826" spans="1:13" ht="14.4">
      <c r="A3826" s="201"/>
      <c r="B3826" s="209"/>
      <c r="C3826" s="201"/>
      <c r="D3826" s="201"/>
      <c r="E3826" s="202"/>
      <c r="F3826" s="210"/>
      <c r="G3826" s="210"/>
      <c r="H3826" s="206" t="s">
        <v>121</v>
      </c>
      <c r="I3826" s="206" t="s">
        <v>121</v>
      </c>
      <c r="J3826" s="206" t="s">
        <v>121</v>
      </c>
      <c r="K3826" s="206" t="s">
        <v>121</v>
      </c>
      <c r="L3826" s="206" t="str">
        <v/>
      </c>
      <c r="M3826" s="206" t="str">
        <v/>
      </c>
    </row>
    <row r="3827" spans="1:13" ht="14.4">
      <c r="A3827" s="201"/>
      <c r="B3827" s="209"/>
      <c r="C3827" s="201"/>
      <c r="D3827" s="201"/>
      <c r="E3827" s="202"/>
      <c r="F3827" s="210"/>
      <c r="G3827" s="210"/>
      <c r="H3827" s="206" t="s">
        <v>121</v>
      </c>
      <c r="I3827" s="206" t="s">
        <v>121</v>
      </c>
      <c r="J3827" s="206" t="s">
        <v>121</v>
      </c>
      <c r="K3827" s="206" t="s">
        <v>121</v>
      </c>
      <c r="L3827" s="206" t="str">
        <v/>
      </c>
      <c r="M3827" s="206" t="str">
        <v/>
      </c>
    </row>
    <row r="3828" spans="1:13" ht="14.4">
      <c r="A3828" s="201"/>
      <c r="B3828" s="209"/>
      <c r="C3828" s="201"/>
      <c r="D3828" s="201"/>
      <c r="E3828" s="202"/>
      <c r="F3828" s="210"/>
      <c r="G3828" s="210"/>
      <c r="H3828" s="206" t="s">
        <v>121</v>
      </c>
      <c r="I3828" s="206" t="s">
        <v>121</v>
      </c>
      <c r="J3828" s="206" t="s">
        <v>121</v>
      </c>
      <c r="K3828" s="206" t="s">
        <v>121</v>
      </c>
      <c r="L3828" s="206" t="str">
        <v/>
      </c>
      <c r="M3828" s="206" t="str">
        <v/>
      </c>
    </row>
    <row r="3829" spans="1:13" ht="14.4">
      <c r="A3829" s="201"/>
      <c r="B3829" s="209"/>
      <c r="C3829" s="201"/>
      <c r="D3829" s="201"/>
      <c r="E3829" s="202"/>
      <c r="F3829" s="210"/>
      <c r="G3829" s="210"/>
      <c r="H3829" s="206" t="s">
        <v>121</v>
      </c>
      <c r="I3829" s="206" t="s">
        <v>121</v>
      </c>
      <c r="J3829" s="206" t="s">
        <v>121</v>
      </c>
      <c r="K3829" s="206" t="s">
        <v>121</v>
      </c>
      <c r="L3829" s="206" t="str">
        <v/>
      </c>
      <c r="M3829" s="206" t="str">
        <v/>
      </c>
    </row>
    <row r="3830" spans="1:13" ht="14.4">
      <c r="A3830" s="201"/>
      <c r="B3830" s="209"/>
      <c r="C3830" s="201"/>
      <c r="D3830" s="201"/>
      <c r="E3830" s="202"/>
      <c r="F3830" s="210"/>
      <c r="G3830" s="210"/>
      <c r="H3830" s="206" t="s">
        <v>121</v>
      </c>
      <c r="I3830" s="206" t="s">
        <v>121</v>
      </c>
      <c r="J3830" s="206" t="s">
        <v>121</v>
      </c>
      <c r="K3830" s="206" t="s">
        <v>121</v>
      </c>
      <c r="L3830" s="206" t="str">
        <v/>
      </c>
      <c r="M3830" s="206" t="str">
        <v/>
      </c>
    </row>
    <row r="3831" spans="1:13" ht="14.4">
      <c r="A3831" s="201"/>
      <c r="B3831" s="209"/>
      <c r="C3831" s="201"/>
      <c r="D3831" s="201"/>
      <c r="E3831" s="202"/>
      <c r="F3831" s="210"/>
      <c r="G3831" s="210"/>
      <c r="H3831" s="206" t="s">
        <v>121</v>
      </c>
      <c r="I3831" s="206" t="s">
        <v>121</v>
      </c>
      <c r="J3831" s="206" t="s">
        <v>121</v>
      </c>
      <c r="K3831" s="206" t="s">
        <v>121</v>
      </c>
      <c r="L3831" s="206" t="str">
        <v/>
      </c>
      <c r="M3831" s="206" t="str">
        <v/>
      </c>
    </row>
    <row r="3832" spans="1:13" ht="14.4">
      <c r="A3832" s="201"/>
      <c r="B3832" s="209"/>
      <c r="C3832" s="201"/>
      <c r="D3832" s="201"/>
      <c r="E3832" s="202"/>
      <c r="F3832" s="210"/>
      <c r="G3832" s="210"/>
      <c r="H3832" s="206" t="s">
        <v>121</v>
      </c>
      <c r="I3832" s="206" t="s">
        <v>121</v>
      </c>
      <c r="J3832" s="206" t="s">
        <v>121</v>
      </c>
      <c r="K3832" s="206" t="s">
        <v>121</v>
      </c>
      <c r="L3832" s="206" t="str">
        <v/>
      </c>
      <c r="M3832" s="206" t="str">
        <v/>
      </c>
    </row>
    <row r="3833" spans="1:13" ht="14.4">
      <c r="A3833" s="201"/>
      <c r="B3833" s="209"/>
      <c r="C3833" s="201"/>
      <c r="D3833" s="201"/>
      <c r="E3833" s="202"/>
      <c r="F3833" s="210"/>
      <c r="G3833" s="210"/>
      <c r="H3833" s="206" t="s">
        <v>121</v>
      </c>
      <c r="I3833" s="206" t="s">
        <v>121</v>
      </c>
      <c r="J3833" s="206" t="s">
        <v>121</v>
      </c>
      <c r="K3833" s="206" t="s">
        <v>121</v>
      </c>
      <c r="L3833" s="206" t="str">
        <v/>
      </c>
      <c r="M3833" s="206" t="str">
        <v/>
      </c>
    </row>
    <row r="3834" spans="1:13" ht="14.4">
      <c r="A3834" s="201"/>
      <c r="B3834" s="209"/>
      <c r="C3834" s="201"/>
      <c r="D3834" s="201"/>
      <c r="E3834" s="202"/>
      <c r="F3834" s="210"/>
      <c r="G3834" s="210"/>
      <c r="H3834" s="206" t="s">
        <v>121</v>
      </c>
      <c r="I3834" s="206" t="s">
        <v>121</v>
      </c>
      <c r="J3834" s="206" t="s">
        <v>121</v>
      </c>
      <c r="K3834" s="206" t="s">
        <v>121</v>
      </c>
      <c r="L3834" s="206" t="str">
        <v/>
      </c>
      <c r="M3834" s="206" t="str">
        <v/>
      </c>
    </row>
    <row r="3835" spans="1:13" ht="14.4">
      <c r="A3835" s="201"/>
      <c r="B3835" s="209"/>
      <c r="C3835" s="201"/>
      <c r="D3835" s="201"/>
      <c r="E3835" s="202"/>
      <c r="F3835" s="210"/>
      <c r="G3835" s="210"/>
      <c r="H3835" s="206" t="s">
        <v>121</v>
      </c>
      <c r="I3835" s="206" t="s">
        <v>121</v>
      </c>
      <c r="J3835" s="206" t="s">
        <v>121</v>
      </c>
      <c r="K3835" s="206" t="s">
        <v>121</v>
      </c>
      <c r="L3835" s="206" t="str">
        <v/>
      </c>
      <c r="M3835" s="206" t="str">
        <v/>
      </c>
    </row>
    <row r="3836" spans="1:13" ht="14.4">
      <c r="A3836" s="201"/>
      <c r="B3836" s="209"/>
      <c r="C3836" s="201"/>
      <c r="D3836" s="201"/>
      <c r="E3836" s="202"/>
      <c r="F3836" s="210"/>
      <c r="G3836" s="210"/>
      <c r="H3836" s="206" t="s">
        <v>121</v>
      </c>
      <c r="I3836" s="206" t="s">
        <v>121</v>
      </c>
      <c r="J3836" s="206" t="s">
        <v>121</v>
      </c>
      <c r="K3836" s="206" t="s">
        <v>121</v>
      </c>
      <c r="L3836" s="206" t="str">
        <v/>
      </c>
      <c r="M3836" s="206" t="str">
        <v/>
      </c>
    </row>
    <row r="3837" spans="1:13" ht="14.4">
      <c r="A3837" s="201"/>
      <c r="B3837" s="209"/>
      <c r="C3837" s="201"/>
      <c r="D3837" s="201"/>
      <c r="E3837" s="202"/>
      <c r="F3837" s="210"/>
      <c r="G3837" s="210"/>
      <c r="H3837" s="206" t="s">
        <v>121</v>
      </c>
      <c r="I3837" s="206" t="s">
        <v>121</v>
      </c>
      <c r="J3837" s="206" t="s">
        <v>121</v>
      </c>
      <c r="K3837" s="206" t="s">
        <v>121</v>
      </c>
      <c r="L3837" s="206" t="str">
        <v/>
      </c>
      <c r="M3837" s="206" t="str">
        <v/>
      </c>
    </row>
    <row r="3838" spans="1:13" ht="14.4">
      <c r="A3838" s="201"/>
      <c r="B3838" s="209"/>
      <c r="C3838" s="201"/>
      <c r="D3838" s="201"/>
      <c r="E3838" s="202"/>
      <c r="F3838" s="210"/>
      <c r="G3838" s="210"/>
      <c r="H3838" s="206" t="s">
        <v>121</v>
      </c>
      <c r="I3838" s="206" t="s">
        <v>121</v>
      </c>
      <c r="J3838" s="206" t="s">
        <v>121</v>
      </c>
      <c r="K3838" s="206" t="s">
        <v>121</v>
      </c>
      <c r="L3838" s="206" t="str">
        <v/>
      </c>
      <c r="M3838" s="206" t="str">
        <v/>
      </c>
    </row>
    <row r="3839" spans="1:13" ht="14.4">
      <c r="A3839" s="201"/>
      <c r="B3839" s="209"/>
      <c r="C3839" s="201"/>
      <c r="D3839" s="201"/>
      <c r="E3839" s="202"/>
      <c r="F3839" s="210"/>
      <c r="G3839" s="210"/>
      <c r="H3839" s="206" t="s">
        <v>121</v>
      </c>
      <c r="I3839" s="206" t="s">
        <v>121</v>
      </c>
      <c r="J3839" s="206" t="s">
        <v>121</v>
      </c>
      <c r="K3839" s="206" t="s">
        <v>121</v>
      </c>
      <c r="L3839" s="206" t="str">
        <v/>
      </c>
      <c r="M3839" s="206" t="str">
        <v/>
      </c>
    </row>
    <row r="3840" spans="1:13" ht="14.4">
      <c r="A3840" s="201"/>
      <c r="B3840" s="209"/>
      <c r="C3840" s="201"/>
      <c r="D3840" s="201"/>
      <c r="E3840" s="202"/>
      <c r="F3840" s="210"/>
      <c r="G3840" s="210"/>
      <c r="H3840" s="206" t="s">
        <v>121</v>
      </c>
      <c r="I3840" s="206" t="s">
        <v>121</v>
      </c>
      <c r="J3840" s="206" t="s">
        <v>121</v>
      </c>
      <c r="K3840" s="206" t="s">
        <v>121</v>
      </c>
      <c r="L3840" s="206" t="str">
        <v/>
      </c>
      <c r="M3840" s="206" t="str">
        <v/>
      </c>
    </row>
    <row r="3841" spans="1:13" ht="14.4">
      <c r="A3841" s="201"/>
      <c r="B3841" s="209"/>
      <c r="C3841" s="201"/>
      <c r="D3841" s="201"/>
      <c r="E3841" s="202"/>
      <c r="F3841" s="210"/>
      <c r="G3841" s="210"/>
      <c r="H3841" s="206" t="s">
        <v>121</v>
      </c>
      <c r="I3841" s="206" t="s">
        <v>121</v>
      </c>
      <c r="J3841" s="206" t="s">
        <v>121</v>
      </c>
      <c r="K3841" s="206" t="s">
        <v>121</v>
      </c>
      <c r="L3841" s="206" t="str">
        <v/>
      </c>
      <c r="M3841" s="206" t="str">
        <v/>
      </c>
    </row>
    <row r="3842" spans="1:13" ht="14.4">
      <c r="A3842" s="201"/>
      <c r="B3842" s="209"/>
      <c r="C3842" s="201"/>
      <c r="D3842" s="201"/>
      <c r="E3842" s="202"/>
      <c r="F3842" s="210"/>
      <c r="G3842" s="210"/>
      <c r="H3842" s="206" t="s">
        <v>121</v>
      </c>
      <c r="I3842" s="206" t="s">
        <v>121</v>
      </c>
      <c r="J3842" s="206" t="s">
        <v>121</v>
      </c>
      <c r="K3842" s="206" t="s">
        <v>121</v>
      </c>
      <c r="L3842" s="206" t="str">
        <v/>
      </c>
      <c r="M3842" s="206" t="str">
        <v/>
      </c>
    </row>
    <row r="3843" spans="1:13" ht="14.4">
      <c r="A3843" s="201"/>
      <c r="B3843" s="209"/>
      <c r="C3843" s="201"/>
      <c r="D3843" s="201"/>
      <c r="E3843" s="202"/>
      <c r="F3843" s="210"/>
      <c r="G3843" s="210"/>
      <c r="H3843" s="206" t="s">
        <v>121</v>
      </c>
      <c r="I3843" s="206" t="s">
        <v>121</v>
      </c>
      <c r="J3843" s="206" t="s">
        <v>121</v>
      </c>
      <c r="K3843" s="206" t="s">
        <v>121</v>
      </c>
      <c r="L3843" s="206" t="str">
        <v/>
      </c>
      <c r="M3843" s="206" t="str">
        <v/>
      </c>
    </row>
    <row r="3844" spans="1:13" ht="14.4">
      <c r="A3844" s="201"/>
      <c r="B3844" s="209"/>
      <c r="C3844" s="201"/>
      <c r="D3844" s="201"/>
      <c r="E3844" s="202"/>
      <c r="F3844" s="210"/>
      <c r="G3844" s="210"/>
      <c r="H3844" s="206" t="s">
        <v>121</v>
      </c>
      <c r="I3844" s="206" t="s">
        <v>121</v>
      </c>
      <c r="J3844" s="206" t="s">
        <v>121</v>
      </c>
      <c r="K3844" s="206" t="s">
        <v>121</v>
      </c>
      <c r="L3844" s="206" t="str">
        <v/>
      </c>
      <c r="M3844" s="206" t="str">
        <v/>
      </c>
    </row>
    <row r="3845" spans="1:13" ht="14.4">
      <c r="A3845" s="201"/>
      <c r="B3845" s="209"/>
      <c r="C3845" s="201"/>
      <c r="D3845" s="201"/>
      <c r="E3845" s="202"/>
      <c r="F3845" s="210"/>
      <c r="G3845" s="210"/>
      <c r="H3845" s="206" t="s">
        <v>121</v>
      </c>
      <c r="I3845" s="206" t="s">
        <v>121</v>
      </c>
      <c r="J3845" s="206" t="s">
        <v>121</v>
      </c>
      <c r="K3845" s="206" t="s">
        <v>121</v>
      </c>
      <c r="L3845" s="206" t="str">
        <v/>
      </c>
      <c r="M3845" s="206" t="str">
        <v/>
      </c>
    </row>
    <row r="3846" spans="1:13" ht="14.4">
      <c r="A3846" s="201"/>
      <c r="B3846" s="209"/>
      <c r="C3846" s="201"/>
      <c r="D3846" s="201"/>
      <c r="E3846" s="202"/>
      <c r="F3846" s="210"/>
      <c r="G3846" s="210"/>
      <c r="H3846" s="206" t="s">
        <v>121</v>
      </c>
      <c r="I3846" s="206" t="s">
        <v>121</v>
      </c>
      <c r="J3846" s="206" t="s">
        <v>121</v>
      </c>
      <c r="K3846" s="206" t="s">
        <v>121</v>
      </c>
      <c r="L3846" s="206" t="str">
        <v/>
      </c>
      <c r="M3846" s="206" t="str">
        <v/>
      </c>
    </row>
    <row r="3847" spans="1:13" ht="14.4">
      <c r="A3847" s="201"/>
      <c r="B3847" s="209"/>
      <c r="C3847" s="201"/>
      <c r="D3847" s="201"/>
      <c r="E3847" s="202"/>
      <c r="F3847" s="210"/>
      <c r="G3847" s="210"/>
      <c r="H3847" s="206" t="s">
        <v>121</v>
      </c>
      <c r="I3847" s="206" t="s">
        <v>121</v>
      </c>
      <c r="J3847" s="206" t="s">
        <v>121</v>
      </c>
      <c r="K3847" s="206" t="s">
        <v>121</v>
      </c>
      <c r="L3847" s="206" t="str">
        <v/>
      </c>
      <c r="M3847" s="206" t="str">
        <v/>
      </c>
    </row>
    <row r="3848" spans="1:13" ht="14.4">
      <c r="A3848" s="201"/>
      <c r="B3848" s="209"/>
      <c r="C3848" s="201"/>
      <c r="D3848" s="201"/>
      <c r="E3848" s="202"/>
      <c r="F3848" s="210"/>
      <c r="G3848" s="210"/>
      <c r="H3848" s="206" t="s">
        <v>121</v>
      </c>
      <c r="I3848" s="206" t="s">
        <v>121</v>
      </c>
      <c r="J3848" s="206" t="s">
        <v>121</v>
      </c>
      <c r="K3848" s="206" t="s">
        <v>121</v>
      </c>
      <c r="L3848" s="206" t="str">
        <v/>
      </c>
      <c r="M3848" s="206" t="str">
        <v/>
      </c>
    </row>
    <row r="3849" spans="1:13" ht="14.4">
      <c r="A3849" s="201"/>
      <c r="B3849" s="209"/>
      <c r="C3849" s="201"/>
      <c r="D3849" s="201"/>
      <c r="E3849" s="202"/>
      <c r="F3849" s="210"/>
      <c r="G3849" s="210"/>
      <c r="H3849" s="206" t="s">
        <v>121</v>
      </c>
      <c r="I3849" s="206" t="s">
        <v>121</v>
      </c>
      <c r="J3849" s="206" t="s">
        <v>121</v>
      </c>
      <c r="K3849" s="206" t="s">
        <v>121</v>
      </c>
      <c r="L3849" s="206" t="str">
        <v/>
      </c>
      <c r="M3849" s="206" t="str">
        <v/>
      </c>
    </row>
    <row r="3850" spans="1:13" ht="14.4">
      <c r="A3850" s="201"/>
      <c r="B3850" s="209"/>
      <c r="C3850" s="201"/>
      <c r="D3850" s="201"/>
      <c r="E3850" s="202"/>
      <c r="F3850" s="210"/>
      <c r="G3850" s="210"/>
      <c r="H3850" s="206" t="s">
        <v>121</v>
      </c>
      <c r="I3850" s="206" t="s">
        <v>121</v>
      </c>
      <c r="J3850" s="206" t="s">
        <v>121</v>
      </c>
      <c r="K3850" s="206" t="s">
        <v>121</v>
      </c>
      <c r="L3850" s="206" t="str">
        <v/>
      </c>
      <c r="M3850" s="206" t="str">
        <v/>
      </c>
    </row>
    <row r="3851" spans="1:13" ht="14.4">
      <c r="A3851" s="201"/>
      <c r="B3851" s="209"/>
      <c r="C3851" s="201"/>
      <c r="D3851" s="201"/>
      <c r="E3851" s="202"/>
      <c r="F3851" s="210"/>
      <c r="G3851" s="210"/>
      <c r="H3851" s="206" t="s">
        <v>121</v>
      </c>
      <c r="I3851" s="206" t="s">
        <v>121</v>
      </c>
      <c r="J3851" s="206" t="s">
        <v>121</v>
      </c>
      <c r="K3851" s="206" t="s">
        <v>121</v>
      </c>
      <c r="L3851" s="206" t="str">
        <v/>
      </c>
      <c r="M3851" s="206" t="str">
        <v/>
      </c>
    </row>
    <row r="3852" spans="1:13" ht="14.4">
      <c r="A3852" s="201"/>
      <c r="B3852" s="209"/>
      <c r="C3852" s="201"/>
      <c r="D3852" s="201"/>
      <c r="E3852" s="202"/>
      <c r="F3852" s="210"/>
      <c r="G3852" s="210"/>
      <c r="H3852" s="206" t="s">
        <v>121</v>
      </c>
      <c r="I3852" s="206" t="s">
        <v>121</v>
      </c>
      <c r="J3852" s="206" t="s">
        <v>121</v>
      </c>
      <c r="K3852" s="206" t="s">
        <v>121</v>
      </c>
      <c r="L3852" s="206" t="str">
        <v/>
      </c>
      <c r="M3852" s="206" t="str">
        <v/>
      </c>
    </row>
    <row r="3853" spans="1:13" ht="14.4">
      <c r="A3853" s="201"/>
      <c r="B3853" s="209"/>
      <c r="C3853" s="201"/>
      <c r="D3853" s="201"/>
      <c r="E3853" s="202"/>
      <c r="F3853" s="210"/>
      <c r="G3853" s="210"/>
      <c r="H3853" s="206" t="s">
        <v>121</v>
      </c>
      <c r="I3853" s="206" t="s">
        <v>121</v>
      </c>
      <c r="J3853" s="206" t="s">
        <v>121</v>
      </c>
      <c r="K3853" s="206" t="s">
        <v>121</v>
      </c>
      <c r="L3853" s="206" t="str">
        <v/>
      </c>
      <c r="M3853" s="206" t="str">
        <v/>
      </c>
    </row>
    <row r="3854" spans="1:13" ht="14.4">
      <c r="A3854" s="201"/>
      <c r="B3854" s="209"/>
      <c r="C3854" s="201"/>
      <c r="D3854" s="201"/>
      <c r="E3854" s="202"/>
      <c r="F3854" s="210"/>
      <c r="G3854" s="210"/>
      <c r="H3854" s="206" t="s">
        <v>121</v>
      </c>
      <c r="I3854" s="206" t="s">
        <v>121</v>
      </c>
      <c r="J3854" s="206" t="s">
        <v>121</v>
      </c>
      <c r="K3854" s="206" t="s">
        <v>121</v>
      </c>
      <c r="L3854" s="206" t="str">
        <v/>
      </c>
      <c r="M3854" s="206" t="str">
        <v/>
      </c>
    </row>
    <row r="3855" spans="1:13" ht="14.4">
      <c r="A3855" s="201"/>
      <c r="B3855" s="209"/>
      <c r="C3855" s="201"/>
      <c r="D3855" s="201"/>
      <c r="E3855" s="202"/>
      <c r="F3855" s="210"/>
      <c r="G3855" s="210"/>
      <c r="H3855" s="206" t="s">
        <v>121</v>
      </c>
      <c r="I3855" s="206" t="s">
        <v>121</v>
      </c>
      <c r="J3855" s="206" t="s">
        <v>121</v>
      </c>
      <c r="K3855" s="206" t="s">
        <v>121</v>
      </c>
      <c r="L3855" s="206" t="str">
        <v/>
      </c>
      <c r="M3855" s="206" t="str">
        <v/>
      </c>
    </row>
    <row r="3856" spans="1:13" ht="14.4">
      <c r="A3856" s="201"/>
      <c r="B3856" s="209"/>
      <c r="C3856" s="201"/>
      <c r="D3856" s="201"/>
      <c r="E3856" s="202"/>
      <c r="F3856" s="210"/>
      <c r="G3856" s="210"/>
      <c r="H3856" s="206" t="s">
        <v>121</v>
      </c>
      <c r="I3856" s="206" t="s">
        <v>121</v>
      </c>
      <c r="J3856" s="206" t="s">
        <v>121</v>
      </c>
      <c r="K3856" s="206" t="s">
        <v>121</v>
      </c>
      <c r="L3856" s="206" t="str">
        <v/>
      </c>
      <c r="M3856" s="206" t="str">
        <v/>
      </c>
    </row>
    <row r="3857" spans="1:13" ht="14.4">
      <c r="A3857" s="201"/>
      <c r="B3857" s="209"/>
      <c r="C3857" s="201"/>
      <c r="D3857" s="201"/>
      <c r="E3857" s="202"/>
      <c r="F3857" s="210"/>
      <c r="G3857" s="210"/>
      <c r="H3857" s="206" t="s">
        <v>121</v>
      </c>
      <c r="I3857" s="206" t="s">
        <v>121</v>
      </c>
      <c r="J3857" s="206" t="s">
        <v>121</v>
      </c>
      <c r="K3857" s="206" t="s">
        <v>121</v>
      </c>
      <c r="L3857" s="206" t="str">
        <v/>
      </c>
      <c r="M3857" s="206" t="str">
        <v/>
      </c>
    </row>
    <row r="3858" spans="1:13" ht="14.4">
      <c r="A3858" s="201"/>
      <c r="B3858" s="209"/>
      <c r="C3858" s="201"/>
      <c r="D3858" s="201"/>
      <c r="E3858" s="202"/>
      <c r="F3858" s="210"/>
      <c r="G3858" s="210"/>
      <c r="H3858" s="206" t="s">
        <v>121</v>
      </c>
      <c r="I3858" s="206" t="s">
        <v>121</v>
      </c>
      <c r="J3858" s="206" t="s">
        <v>121</v>
      </c>
      <c r="K3858" s="206" t="s">
        <v>121</v>
      </c>
      <c r="L3858" s="206" t="str">
        <v/>
      </c>
      <c r="M3858" s="206" t="str">
        <v/>
      </c>
    </row>
    <row r="3859" spans="1:13" ht="14.4">
      <c r="A3859" s="201"/>
      <c r="B3859" s="209"/>
      <c r="C3859" s="201"/>
      <c r="D3859" s="201"/>
      <c r="E3859" s="202"/>
      <c r="F3859" s="210"/>
      <c r="G3859" s="210"/>
      <c r="H3859" s="206" t="s">
        <v>121</v>
      </c>
      <c r="I3859" s="206" t="s">
        <v>121</v>
      </c>
      <c r="J3859" s="206" t="s">
        <v>121</v>
      </c>
      <c r="K3859" s="206" t="s">
        <v>121</v>
      </c>
      <c r="L3859" s="206" t="str">
        <v/>
      </c>
      <c r="M3859" s="206" t="str">
        <v/>
      </c>
    </row>
    <row r="3860" spans="1:13" ht="14.4">
      <c r="A3860" s="201"/>
      <c r="B3860" s="209"/>
      <c r="C3860" s="201"/>
      <c r="D3860" s="201"/>
      <c r="E3860" s="202"/>
      <c r="F3860" s="210"/>
      <c r="G3860" s="210"/>
      <c r="H3860" s="206" t="s">
        <v>121</v>
      </c>
      <c r="I3860" s="206" t="s">
        <v>121</v>
      </c>
      <c r="J3860" s="206" t="s">
        <v>121</v>
      </c>
      <c r="K3860" s="206" t="s">
        <v>121</v>
      </c>
      <c r="L3860" s="206" t="str">
        <v/>
      </c>
      <c r="M3860" s="206" t="str">
        <v/>
      </c>
    </row>
    <row r="3861" spans="1:13" ht="14.4">
      <c r="A3861" s="201"/>
      <c r="B3861" s="209"/>
      <c r="C3861" s="201"/>
      <c r="D3861" s="201"/>
      <c r="E3861" s="202"/>
      <c r="F3861" s="210"/>
      <c r="G3861" s="210"/>
      <c r="H3861" s="206" t="s">
        <v>121</v>
      </c>
      <c r="I3861" s="206" t="s">
        <v>121</v>
      </c>
      <c r="J3861" s="206" t="s">
        <v>121</v>
      </c>
      <c r="K3861" s="206" t="s">
        <v>121</v>
      </c>
      <c r="L3861" s="206" t="str">
        <v/>
      </c>
      <c r="M3861" s="206" t="str">
        <v/>
      </c>
    </row>
    <row r="3862" spans="1:13" ht="14.4">
      <c r="A3862" s="201"/>
      <c r="B3862" s="209"/>
      <c r="C3862" s="201"/>
      <c r="D3862" s="201"/>
      <c r="E3862" s="202"/>
      <c r="F3862" s="210"/>
      <c r="G3862" s="210"/>
      <c r="H3862" s="206" t="s">
        <v>121</v>
      </c>
      <c r="I3862" s="206" t="s">
        <v>121</v>
      </c>
      <c r="J3862" s="206" t="s">
        <v>121</v>
      </c>
      <c r="K3862" s="206" t="s">
        <v>121</v>
      </c>
      <c r="L3862" s="206" t="str">
        <v/>
      </c>
      <c r="M3862" s="206" t="str">
        <v/>
      </c>
    </row>
    <row r="3863" spans="1:13" ht="14.4">
      <c r="A3863" s="201"/>
      <c r="B3863" s="209"/>
      <c r="C3863" s="201"/>
      <c r="D3863" s="201"/>
      <c r="E3863" s="202"/>
      <c r="F3863" s="210"/>
      <c r="G3863" s="210"/>
      <c r="H3863" s="206" t="s">
        <v>121</v>
      </c>
      <c r="I3863" s="206" t="s">
        <v>121</v>
      </c>
      <c r="J3863" s="206" t="s">
        <v>121</v>
      </c>
      <c r="K3863" s="206" t="s">
        <v>121</v>
      </c>
      <c r="L3863" s="206" t="str">
        <v/>
      </c>
      <c r="M3863" s="206" t="str">
        <v/>
      </c>
    </row>
    <row r="3864" spans="1:13" ht="14.4">
      <c r="A3864" s="201"/>
      <c r="B3864" s="209"/>
      <c r="C3864" s="201"/>
      <c r="D3864" s="201"/>
      <c r="E3864" s="202"/>
      <c r="F3864" s="210"/>
      <c r="G3864" s="210"/>
      <c r="H3864" s="206" t="s">
        <v>121</v>
      </c>
      <c r="I3864" s="206" t="s">
        <v>121</v>
      </c>
      <c r="J3864" s="206" t="s">
        <v>121</v>
      </c>
      <c r="K3864" s="206" t="s">
        <v>121</v>
      </c>
      <c r="L3864" s="206" t="str">
        <v/>
      </c>
      <c r="M3864" s="206" t="str">
        <v/>
      </c>
    </row>
    <row r="3865" spans="1:13" ht="14.4">
      <c r="A3865" s="201"/>
      <c r="B3865" s="209"/>
      <c r="C3865" s="201"/>
      <c r="D3865" s="201"/>
      <c r="E3865" s="202"/>
      <c r="F3865" s="210"/>
      <c r="G3865" s="210"/>
      <c r="H3865" s="206" t="s">
        <v>121</v>
      </c>
      <c r="I3865" s="206" t="s">
        <v>121</v>
      </c>
      <c r="J3865" s="206" t="s">
        <v>121</v>
      </c>
      <c r="K3865" s="206" t="s">
        <v>121</v>
      </c>
      <c r="L3865" s="206" t="str">
        <v/>
      </c>
      <c r="M3865" s="206" t="str">
        <v/>
      </c>
    </row>
    <row r="3866" spans="1:13" ht="14.4">
      <c r="A3866" s="201"/>
      <c r="B3866" s="209"/>
      <c r="C3866" s="201"/>
      <c r="D3866" s="201"/>
      <c r="E3866" s="202"/>
      <c r="F3866" s="210"/>
      <c r="G3866" s="210"/>
      <c r="H3866" s="206" t="s">
        <v>121</v>
      </c>
      <c r="I3866" s="206" t="s">
        <v>121</v>
      </c>
      <c r="J3866" s="206" t="s">
        <v>121</v>
      </c>
      <c r="K3866" s="206" t="s">
        <v>121</v>
      </c>
      <c r="L3866" s="206" t="str">
        <v/>
      </c>
      <c r="M3866" s="206" t="str">
        <v/>
      </c>
    </row>
    <row r="3867" spans="1:13" ht="14.4">
      <c r="A3867" s="201"/>
      <c r="B3867" s="209"/>
      <c r="C3867" s="201"/>
      <c r="D3867" s="201"/>
      <c r="E3867" s="202"/>
      <c r="F3867" s="210"/>
      <c r="G3867" s="210"/>
      <c r="H3867" s="206" t="s">
        <v>121</v>
      </c>
      <c r="I3867" s="206" t="s">
        <v>121</v>
      </c>
      <c r="J3867" s="206" t="s">
        <v>121</v>
      </c>
      <c r="K3867" s="206" t="s">
        <v>121</v>
      </c>
      <c r="L3867" s="206" t="str">
        <v/>
      </c>
      <c r="M3867" s="206" t="str">
        <v/>
      </c>
    </row>
    <row r="3868" spans="1:13" ht="14.4">
      <c r="A3868" s="201"/>
      <c r="B3868" s="209"/>
      <c r="C3868" s="201"/>
      <c r="D3868" s="201"/>
      <c r="E3868" s="202"/>
      <c r="F3868" s="210"/>
      <c r="G3868" s="210"/>
      <c r="H3868" s="206" t="s">
        <v>121</v>
      </c>
      <c r="I3868" s="206" t="s">
        <v>121</v>
      </c>
      <c r="J3868" s="206" t="s">
        <v>121</v>
      </c>
      <c r="K3868" s="206" t="s">
        <v>121</v>
      </c>
      <c r="L3868" s="206" t="str">
        <v/>
      </c>
      <c r="M3868" s="206" t="str">
        <v/>
      </c>
    </row>
    <row r="3869" spans="1:13" ht="14.4">
      <c r="A3869" s="201"/>
      <c r="B3869" s="209"/>
      <c r="C3869" s="201"/>
      <c r="D3869" s="201"/>
      <c r="E3869" s="202"/>
      <c r="F3869" s="210"/>
      <c r="G3869" s="210"/>
      <c r="H3869" s="206" t="s">
        <v>121</v>
      </c>
      <c r="I3869" s="206" t="s">
        <v>121</v>
      </c>
      <c r="J3869" s="206" t="s">
        <v>121</v>
      </c>
      <c r="K3869" s="206" t="s">
        <v>121</v>
      </c>
      <c r="L3869" s="206" t="str">
        <v/>
      </c>
      <c r="M3869" s="206" t="str">
        <v/>
      </c>
    </row>
    <row r="3870" spans="1:13" ht="14.4">
      <c r="A3870" s="201"/>
      <c r="B3870" s="209"/>
      <c r="C3870" s="201"/>
      <c r="D3870" s="201"/>
      <c r="E3870" s="202"/>
      <c r="F3870" s="210"/>
      <c r="G3870" s="210"/>
      <c r="H3870" s="206" t="s">
        <v>121</v>
      </c>
      <c r="I3870" s="206" t="s">
        <v>121</v>
      </c>
      <c r="J3870" s="206" t="s">
        <v>121</v>
      </c>
      <c r="K3870" s="206" t="s">
        <v>121</v>
      </c>
      <c r="L3870" s="206" t="str">
        <v/>
      </c>
      <c r="M3870" s="206" t="str">
        <v/>
      </c>
    </row>
    <row r="3871" spans="1:13" ht="14.4">
      <c r="A3871" s="201"/>
      <c r="B3871" s="209"/>
      <c r="C3871" s="201"/>
      <c r="D3871" s="201"/>
      <c r="E3871" s="202"/>
      <c r="F3871" s="210"/>
      <c r="G3871" s="210"/>
      <c r="H3871" s="206" t="s">
        <v>121</v>
      </c>
      <c r="I3871" s="206" t="s">
        <v>121</v>
      </c>
      <c r="J3871" s="206" t="s">
        <v>121</v>
      </c>
      <c r="K3871" s="206" t="s">
        <v>121</v>
      </c>
      <c r="L3871" s="206" t="str">
        <v/>
      </c>
      <c r="M3871" s="206" t="str">
        <v/>
      </c>
    </row>
    <row r="3872" spans="1:13" ht="14.4">
      <c r="A3872" s="201"/>
      <c r="B3872" s="209"/>
      <c r="C3872" s="201"/>
      <c r="D3872" s="201"/>
      <c r="E3872" s="202"/>
      <c r="F3872" s="210"/>
      <c r="G3872" s="210"/>
      <c r="H3872" s="206" t="s">
        <v>121</v>
      </c>
      <c r="I3872" s="206" t="s">
        <v>121</v>
      </c>
      <c r="J3872" s="206" t="s">
        <v>121</v>
      </c>
      <c r="K3872" s="206" t="s">
        <v>121</v>
      </c>
      <c r="L3872" s="206" t="str">
        <v/>
      </c>
      <c r="M3872" s="206" t="str">
        <v/>
      </c>
    </row>
    <row r="3873" spans="1:13" ht="14.4">
      <c r="A3873" s="201"/>
      <c r="B3873" s="209"/>
      <c r="C3873" s="201"/>
      <c r="D3873" s="201"/>
      <c r="E3873" s="202"/>
      <c r="F3873" s="210"/>
      <c r="G3873" s="210"/>
      <c r="H3873" s="206" t="s">
        <v>121</v>
      </c>
      <c r="I3873" s="206" t="s">
        <v>121</v>
      </c>
      <c r="J3873" s="206" t="s">
        <v>121</v>
      </c>
      <c r="K3873" s="206" t="s">
        <v>121</v>
      </c>
      <c r="L3873" s="206" t="str">
        <v/>
      </c>
      <c r="M3873" s="206" t="str">
        <v/>
      </c>
    </row>
    <row r="3874" spans="1:13" ht="14.4">
      <c r="A3874" s="201"/>
      <c r="B3874" s="209"/>
      <c r="C3874" s="201"/>
      <c r="D3874" s="201"/>
      <c r="E3874" s="202"/>
      <c r="F3874" s="210"/>
      <c r="G3874" s="210"/>
      <c r="H3874" s="206" t="s">
        <v>121</v>
      </c>
      <c r="I3874" s="206" t="s">
        <v>121</v>
      </c>
      <c r="J3874" s="206" t="s">
        <v>121</v>
      </c>
      <c r="K3874" s="206" t="s">
        <v>121</v>
      </c>
      <c r="L3874" s="206" t="str">
        <v/>
      </c>
      <c r="M3874" s="206" t="str">
        <v/>
      </c>
    </row>
    <row r="3875" spans="1:13" ht="14.4">
      <c r="A3875" s="201"/>
      <c r="B3875" s="209"/>
      <c r="C3875" s="201"/>
      <c r="D3875" s="201"/>
      <c r="E3875" s="202"/>
      <c r="F3875" s="210"/>
      <c r="G3875" s="210"/>
      <c r="H3875" s="206" t="s">
        <v>121</v>
      </c>
      <c r="I3875" s="206" t="s">
        <v>121</v>
      </c>
      <c r="J3875" s="206" t="s">
        <v>121</v>
      </c>
      <c r="K3875" s="206" t="s">
        <v>121</v>
      </c>
      <c r="L3875" s="206" t="str">
        <v/>
      </c>
      <c r="M3875" s="206" t="str">
        <v/>
      </c>
    </row>
    <row r="3876" spans="1:13" ht="14.4">
      <c r="A3876" s="201"/>
      <c r="B3876" s="209"/>
      <c r="C3876" s="201"/>
      <c r="D3876" s="201"/>
      <c r="E3876" s="202"/>
      <c r="F3876" s="210"/>
      <c r="G3876" s="210"/>
      <c r="H3876" s="206" t="s">
        <v>121</v>
      </c>
      <c r="I3876" s="206" t="s">
        <v>121</v>
      </c>
      <c r="J3876" s="206" t="s">
        <v>121</v>
      </c>
      <c r="K3876" s="206" t="s">
        <v>121</v>
      </c>
      <c r="L3876" s="206" t="str">
        <v/>
      </c>
      <c r="M3876" s="206" t="str">
        <v/>
      </c>
    </row>
    <row r="3877" spans="1:13" ht="14.4">
      <c r="A3877" s="201"/>
      <c r="B3877" s="209"/>
      <c r="C3877" s="201"/>
      <c r="D3877" s="201"/>
      <c r="E3877" s="202"/>
      <c r="F3877" s="210"/>
      <c r="G3877" s="210"/>
      <c r="H3877" s="206" t="s">
        <v>121</v>
      </c>
      <c r="I3877" s="206" t="s">
        <v>121</v>
      </c>
      <c r="J3877" s="206" t="s">
        <v>121</v>
      </c>
      <c r="K3877" s="206" t="s">
        <v>121</v>
      </c>
      <c r="L3877" s="206" t="str">
        <v/>
      </c>
      <c r="M3877" s="206" t="str">
        <v/>
      </c>
    </row>
    <row r="3878" spans="1:13" ht="14.4">
      <c r="A3878" s="201"/>
      <c r="B3878" s="209"/>
      <c r="C3878" s="201"/>
      <c r="D3878" s="201"/>
      <c r="E3878" s="202"/>
      <c r="F3878" s="210"/>
      <c r="G3878" s="210"/>
      <c r="H3878" s="206" t="s">
        <v>121</v>
      </c>
      <c r="I3878" s="206" t="s">
        <v>121</v>
      </c>
      <c r="J3878" s="206" t="s">
        <v>121</v>
      </c>
      <c r="K3878" s="206" t="s">
        <v>121</v>
      </c>
      <c r="L3878" s="206" t="str">
        <v/>
      </c>
      <c r="M3878" s="206" t="str">
        <v/>
      </c>
    </row>
    <row r="3879" spans="1:13" ht="14.4">
      <c r="A3879" s="201"/>
      <c r="B3879" s="209"/>
      <c r="C3879" s="201"/>
      <c r="D3879" s="201"/>
      <c r="E3879" s="202"/>
      <c r="F3879" s="210"/>
      <c r="G3879" s="210"/>
      <c r="H3879" s="206" t="s">
        <v>121</v>
      </c>
      <c r="I3879" s="206" t="s">
        <v>121</v>
      </c>
      <c r="J3879" s="206" t="s">
        <v>121</v>
      </c>
      <c r="K3879" s="206" t="s">
        <v>121</v>
      </c>
      <c r="L3879" s="206" t="str">
        <v/>
      </c>
      <c r="M3879" s="206" t="str">
        <v/>
      </c>
    </row>
    <row r="3880" spans="1:13" ht="14.4">
      <c r="A3880" s="201"/>
      <c r="B3880" s="209"/>
      <c r="C3880" s="201"/>
      <c r="D3880" s="201"/>
      <c r="E3880" s="202"/>
      <c r="F3880" s="210"/>
      <c r="G3880" s="210"/>
      <c r="H3880" s="206" t="s">
        <v>121</v>
      </c>
      <c r="I3880" s="206" t="s">
        <v>121</v>
      </c>
      <c r="J3880" s="206" t="s">
        <v>121</v>
      </c>
      <c r="K3880" s="206" t="s">
        <v>121</v>
      </c>
      <c r="L3880" s="206" t="str">
        <v/>
      </c>
      <c r="M3880" s="206" t="str">
        <v/>
      </c>
    </row>
    <row r="3881" spans="1:13" ht="14.4">
      <c r="A3881" s="201"/>
      <c r="B3881" s="209"/>
      <c r="C3881" s="201"/>
      <c r="D3881" s="201"/>
      <c r="E3881" s="202"/>
      <c r="F3881" s="210"/>
      <c r="G3881" s="210"/>
      <c r="H3881" s="206" t="s">
        <v>121</v>
      </c>
      <c r="I3881" s="206" t="s">
        <v>121</v>
      </c>
      <c r="J3881" s="206" t="s">
        <v>121</v>
      </c>
      <c r="K3881" s="206" t="s">
        <v>121</v>
      </c>
      <c r="L3881" s="206" t="str">
        <v/>
      </c>
      <c r="M3881" s="206" t="str">
        <v/>
      </c>
    </row>
    <row r="3882" spans="1:13" ht="14.4">
      <c r="A3882" s="201"/>
      <c r="B3882" s="209"/>
      <c r="C3882" s="201"/>
      <c r="D3882" s="201"/>
      <c r="E3882" s="202"/>
      <c r="F3882" s="210"/>
      <c r="G3882" s="210"/>
      <c r="H3882" s="206" t="s">
        <v>121</v>
      </c>
      <c r="I3882" s="206" t="s">
        <v>121</v>
      </c>
      <c r="J3882" s="206" t="s">
        <v>121</v>
      </c>
      <c r="K3882" s="206" t="s">
        <v>121</v>
      </c>
      <c r="L3882" s="206" t="str">
        <v/>
      </c>
      <c r="M3882" s="206" t="str">
        <v/>
      </c>
    </row>
    <row r="3883" spans="1:13" ht="14.4">
      <c r="A3883" s="201"/>
      <c r="B3883" s="209"/>
      <c r="C3883" s="201"/>
      <c r="D3883" s="201"/>
      <c r="E3883" s="202"/>
      <c r="F3883" s="210"/>
      <c r="G3883" s="210"/>
      <c r="H3883" s="206" t="s">
        <v>121</v>
      </c>
      <c r="I3883" s="206" t="s">
        <v>121</v>
      </c>
      <c r="J3883" s="206" t="s">
        <v>121</v>
      </c>
      <c r="K3883" s="206" t="s">
        <v>121</v>
      </c>
      <c r="L3883" s="206" t="str">
        <v/>
      </c>
      <c r="M3883" s="206" t="str">
        <v/>
      </c>
    </row>
    <row r="3884" spans="1:13" ht="14.4">
      <c r="A3884" s="201"/>
      <c r="B3884" s="209"/>
      <c r="C3884" s="201"/>
      <c r="D3884" s="201"/>
      <c r="E3884" s="202"/>
      <c r="F3884" s="210"/>
      <c r="G3884" s="210"/>
      <c r="H3884" s="206" t="s">
        <v>121</v>
      </c>
      <c r="I3884" s="206" t="s">
        <v>121</v>
      </c>
      <c r="J3884" s="206" t="s">
        <v>121</v>
      </c>
      <c r="K3884" s="206" t="s">
        <v>121</v>
      </c>
      <c r="L3884" s="206" t="str">
        <v/>
      </c>
      <c r="M3884" s="206" t="str">
        <v/>
      </c>
    </row>
    <row r="3885" spans="1:13" ht="14.4">
      <c r="A3885" s="201"/>
      <c r="B3885" s="209"/>
      <c r="C3885" s="201"/>
      <c r="D3885" s="201"/>
      <c r="E3885" s="202"/>
      <c r="F3885" s="210"/>
      <c r="G3885" s="210"/>
      <c r="H3885" s="206" t="s">
        <v>121</v>
      </c>
      <c r="I3885" s="206" t="s">
        <v>121</v>
      </c>
      <c r="J3885" s="206" t="s">
        <v>121</v>
      </c>
      <c r="K3885" s="206" t="s">
        <v>121</v>
      </c>
      <c r="L3885" s="206" t="str">
        <v/>
      </c>
      <c r="M3885" s="206" t="str">
        <v/>
      </c>
    </row>
    <row r="3886" spans="1:13" ht="14.4">
      <c r="A3886" s="201"/>
      <c r="B3886" s="209"/>
      <c r="C3886" s="201"/>
      <c r="D3886" s="201"/>
      <c r="E3886" s="202"/>
      <c r="F3886" s="210"/>
      <c r="G3886" s="210"/>
      <c r="H3886" s="206" t="s">
        <v>121</v>
      </c>
      <c r="I3886" s="206" t="s">
        <v>121</v>
      </c>
      <c r="J3886" s="206" t="s">
        <v>121</v>
      </c>
      <c r="K3886" s="206" t="s">
        <v>121</v>
      </c>
      <c r="L3886" s="206" t="str">
        <v/>
      </c>
      <c r="M3886" s="206" t="str">
        <v/>
      </c>
    </row>
    <row r="3887" spans="1:13" ht="14.4">
      <c r="A3887" s="201"/>
      <c r="B3887" s="209"/>
      <c r="C3887" s="201"/>
      <c r="D3887" s="201"/>
      <c r="E3887" s="202"/>
      <c r="F3887" s="210"/>
      <c r="G3887" s="210"/>
      <c r="H3887" s="206" t="s">
        <v>121</v>
      </c>
      <c r="I3887" s="206" t="s">
        <v>121</v>
      </c>
      <c r="J3887" s="206" t="s">
        <v>121</v>
      </c>
      <c r="K3887" s="206" t="s">
        <v>121</v>
      </c>
      <c r="L3887" s="206" t="str">
        <v/>
      </c>
      <c r="M3887" s="206" t="str">
        <v/>
      </c>
    </row>
    <row r="3888" spans="1:13" ht="14.4">
      <c r="A3888" s="201"/>
      <c r="B3888" s="209"/>
      <c r="C3888" s="201"/>
      <c r="D3888" s="201"/>
      <c r="E3888" s="202"/>
      <c r="F3888" s="210"/>
      <c r="G3888" s="210"/>
      <c r="H3888" s="206" t="s">
        <v>121</v>
      </c>
      <c r="I3888" s="206" t="s">
        <v>121</v>
      </c>
      <c r="J3888" s="206" t="s">
        <v>121</v>
      </c>
      <c r="K3888" s="206" t="s">
        <v>121</v>
      </c>
      <c r="L3888" s="206" t="str">
        <v/>
      </c>
      <c r="M3888" s="206" t="str">
        <v/>
      </c>
    </row>
    <row r="3889" spans="1:13" ht="14.4">
      <c r="A3889" s="201"/>
      <c r="B3889" s="209"/>
      <c r="C3889" s="201"/>
      <c r="D3889" s="201"/>
      <c r="E3889" s="202"/>
      <c r="F3889" s="210"/>
      <c r="G3889" s="210"/>
      <c r="H3889" s="206" t="s">
        <v>121</v>
      </c>
      <c r="I3889" s="206" t="s">
        <v>121</v>
      </c>
      <c r="J3889" s="206" t="s">
        <v>121</v>
      </c>
      <c r="K3889" s="206" t="s">
        <v>121</v>
      </c>
      <c r="L3889" s="206" t="str">
        <v/>
      </c>
      <c r="M3889" s="206" t="str">
        <v/>
      </c>
    </row>
    <row r="3890" spans="1:13" ht="14.4">
      <c r="A3890" s="201"/>
      <c r="B3890" s="209"/>
      <c r="C3890" s="201"/>
      <c r="D3890" s="201"/>
      <c r="E3890" s="202"/>
      <c r="F3890" s="210"/>
      <c r="G3890" s="210"/>
      <c r="H3890" s="206" t="s">
        <v>121</v>
      </c>
      <c r="I3890" s="206" t="s">
        <v>121</v>
      </c>
      <c r="J3890" s="206" t="s">
        <v>121</v>
      </c>
      <c r="K3890" s="206" t="s">
        <v>121</v>
      </c>
      <c r="L3890" s="206" t="str">
        <v/>
      </c>
      <c r="M3890" s="206" t="str">
        <v/>
      </c>
    </row>
    <row r="3891" spans="1:13" ht="14.4">
      <c r="A3891" s="201"/>
      <c r="B3891" s="209"/>
      <c r="C3891" s="201"/>
      <c r="D3891" s="201"/>
      <c r="E3891" s="202"/>
      <c r="F3891" s="210"/>
      <c r="G3891" s="210"/>
      <c r="H3891" s="206" t="s">
        <v>121</v>
      </c>
      <c r="I3891" s="206" t="s">
        <v>121</v>
      </c>
      <c r="J3891" s="206" t="s">
        <v>121</v>
      </c>
      <c r="K3891" s="206" t="s">
        <v>121</v>
      </c>
      <c r="L3891" s="206" t="str">
        <v/>
      </c>
      <c r="M3891" s="206" t="str">
        <v/>
      </c>
    </row>
    <row r="3892" spans="1:13" ht="14.4">
      <c r="A3892" s="201"/>
      <c r="B3892" s="209"/>
      <c r="C3892" s="201"/>
      <c r="D3892" s="201"/>
      <c r="E3892" s="202"/>
      <c r="F3892" s="210"/>
      <c r="G3892" s="210"/>
      <c r="H3892" s="206" t="s">
        <v>121</v>
      </c>
      <c r="I3892" s="206" t="s">
        <v>121</v>
      </c>
      <c r="J3892" s="206" t="s">
        <v>121</v>
      </c>
      <c r="K3892" s="206" t="s">
        <v>121</v>
      </c>
      <c r="L3892" s="206" t="str">
        <v/>
      </c>
      <c r="M3892" s="206" t="str">
        <v/>
      </c>
    </row>
    <row r="3893" spans="1:13" ht="14.4">
      <c r="A3893" s="201"/>
      <c r="B3893" s="209"/>
      <c r="C3893" s="201"/>
      <c r="D3893" s="201"/>
      <c r="E3893" s="202"/>
      <c r="F3893" s="210"/>
      <c r="G3893" s="210"/>
      <c r="H3893" s="206" t="s">
        <v>121</v>
      </c>
      <c r="I3893" s="206" t="s">
        <v>121</v>
      </c>
      <c r="J3893" s="206" t="s">
        <v>121</v>
      </c>
      <c r="K3893" s="206" t="s">
        <v>121</v>
      </c>
      <c r="L3893" s="206" t="str">
        <v/>
      </c>
      <c r="M3893" s="206" t="str">
        <v/>
      </c>
    </row>
    <row r="3894" spans="1:13" ht="14.4">
      <c r="A3894" s="201"/>
      <c r="B3894" s="209"/>
      <c r="C3894" s="201"/>
      <c r="D3894" s="201"/>
      <c r="E3894" s="202"/>
      <c r="F3894" s="210"/>
      <c r="G3894" s="210"/>
      <c r="H3894" s="206" t="s">
        <v>121</v>
      </c>
      <c r="I3894" s="206" t="s">
        <v>121</v>
      </c>
      <c r="J3894" s="206" t="s">
        <v>121</v>
      </c>
      <c r="K3894" s="206" t="s">
        <v>121</v>
      </c>
      <c r="L3894" s="206" t="str">
        <v/>
      </c>
      <c r="M3894" s="206" t="str">
        <v/>
      </c>
    </row>
    <row r="3895" spans="1:13" ht="14.4">
      <c r="A3895" s="201"/>
      <c r="B3895" s="209"/>
      <c r="C3895" s="201"/>
      <c r="D3895" s="201"/>
      <c r="E3895" s="202"/>
      <c r="F3895" s="210"/>
      <c r="G3895" s="210"/>
      <c r="H3895" s="206" t="s">
        <v>121</v>
      </c>
      <c r="I3895" s="206" t="s">
        <v>121</v>
      </c>
      <c r="J3895" s="206" t="s">
        <v>121</v>
      </c>
      <c r="K3895" s="206" t="s">
        <v>121</v>
      </c>
      <c r="L3895" s="206" t="str">
        <v/>
      </c>
      <c r="M3895" s="206" t="str">
        <v/>
      </c>
    </row>
    <row r="3896" spans="1:13" ht="14.4">
      <c r="A3896" s="201"/>
      <c r="B3896" s="209"/>
      <c r="C3896" s="201"/>
      <c r="D3896" s="201"/>
      <c r="E3896" s="202"/>
      <c r="F3896" s="210"/>
      <c r="G3896" s="210"/>
      <c r="H3896" s="206" t="s">
        <v>121</v>
      </c>
      <c r="I3896" s="206" t="s">
        <v>121</v>
      </c>
      <c r="J3896" s="206" t="s">
        <v>121</v>
      </c>
      <c r="K3896" s="206" t="s">
        <v>121</v>
      </c>
      <c r="L3896" s="206" t="str">
        <v/>
      </c>
      <c r="M3896" s="206" t="str">
        <v/>
      </c>
    </row>
    <row r="3897" spans="1:13" ht="14.4">
      <c r="A3897" s="201"/>
      <c r="B3897" s="209"/>
      <c r="C3897" s="201"/>
      <c r="D3897" s="201"/>
      <c r="E3897" s="202"/>
      <c r="F3897" s="210"/>
      <c r="G3897" s="210"/>
      <c r="H3897" s="206" t="s">
        <v>121</v>
      </c>
      <c r="I3897" s="206" t="s">
        <v>121</v>
      </c>
      <c r="J3897" s="206" t="s">
        <v>121</v>
      </c>
      <c r="K3897" s="206" t="s">
        <v>121</v>
      </c>
      <c r="L3897" s="206" t="str">
        <v/>
      </c>
      <c r="M3897" s="206" t="str">
        <v/>
      </c>
    </row>
    <row r="3898" spans="1:13" ht="14.4">
      <c r="A3898" s="201"/>
      <c r="B3898" s="209"/>
      <c r="C3898" s="201"/>
      <c r="D3898" s="201"/>
      <c r="E3898" s="202"/>
      <c r="F3898" s="210"/>
      <c r="G3898" s="210"/>
      <c r="H3898" s="206" t="s">
        <v>121</v>
      </c>
      <c r="I3898" s="206" t="s">
        <v>121</v>
      </c>
      <c r="J3898" s="206" t="s">
        <v>121</v>
      </c>
      <c r="K3898" s="206" t="s">
        <v>121</v>
      </c>
      <c r="L3898" s="206" t="str">
        <v/>
      </c>
      <c r="M3898" s="206" t="str">
        <v/>
      </c>
    </row>
    <row r="3899" spans="1:13" ht="14.4">
      <c r="A3899" s="201"/>
      <c r="B3899" s="209"/>
      <c r="C3899" s="201"/>
      <c r="D3899" s="201"/>
      <c r="E3899" s="202"/>
      <c r="F3899" s="210"/>
      <c r="G3899" s="210"/>
      <c r="H3899" s="206" t="s">
        <v>121</v>
      </c>
      <c r="I3899" s="206" t="s">
        <v>121</v>
      </c>
      <c r="J3899" s="206" t="s">
        <v>121</v>
      </c>
      <c r="K3899" s="206" t="s">
        <v>121</v>
      </c>
      <c r="L3899" s="206" t="str">
        <v/>
      </c>
      <c r="M3899" s="206" t="str">
        <v/>
      </c>
    </row>
    <row r="3900" spans="1:13" ht="14.4">
      <c r="A3900" s="201"/>
      <c r="B3900" s="209"/>
      <c r="C3900" s="201"/>
      <c r="D3900" s="201"/>
      <c r="E3900" s="202"/>
      <c r="F3900" s="210"/>
      <c r="G3900" s="210"/>
      <c r="H3900" s="206" t="s">
        <v>121</v>
      </c>
      <c r="I3900" s="206" t="s">
        <v>121</v>
      </c>
      <c r="J3900" s="206" t="s">
        <v>121</v>
      </c>
      <c r="K3900" s="206" t="s">
        <v>121</v>
      </c>
      <c r="L3900" s="206" t="str">
        <v/>
      </c>
      <c r="M3900" s="206" t="str">
        <v/>
      </c>
    </row>
    <row r="3901" spans="1:13" ht="14.4">
      <c r="A3901" s="201"/>
      <c r="B3901" s="209"/>
      <c r="C3901" s="201"/>
      <c r="D3901" s="201"/>
      <c r="E3901" s="202"/>
      <c r="F3901" s="210"/>
      <c r="G3901" s="210"/>
      <c r="H3901" s="206" t="s">
        <v>121</v>
      </c>
      <c r="I3901" s="206" t="s">
        <v>121</v>
      </c>
      <c r="J3901" s="206" t="s">
        <v>121</v>
      </c>
      <c r="K3901" s="206" t="s">
        <v>121</v>
      </c>
      <c r="L3901" s="206" t="str">
        <v/>
      </c>
      <c r="M3901" s="206" t="str">
        <v/>
      </c>
    </row>
    <row r="3902" spans="1:13" ht="14.4">
      <c r="A3902" s="201"/>
      <c r="B3902" s="209"/>
      <c r="C3902" s="201"/>
      <c r="D3902" s="201"/>
      <c r="E3902" s="202"/>
      <c r="F3902" s="210"/>
      <c r="G3902" s="210"/>
      <c r="H3902" s="206" t="s">
        <v>121</v>
      </c>
      <c r="I3902" s="206" t="s">
        <v>121</v>
      </c>
      <c r="J3902" s="206" t="s">
        <v>121</v>
      </c>
      <c r="K3902" s="206" t="s">
        <v>121</v>
      </c>
      <c r="L3902" s="206" t="str">
        <v/>
      </c>
      <c r="M3902" s="206" t="str">
        <v/>
      </c>
    </row>
    <row r="3903" spans="1:13" ht="14.4">
      <c r="A3903" s="201"/>
      <c r="B3903" s="209"/>
      <c r="C3903" s="201"/>
      <c r="D3903" s="201"/>
      <c r="E3903" s="202"/>
      <c r="F3903" s="210"/>
      <c r="G3903" s="210"/>
      <c r="H3903" s="206" t="s">
        <v>121</v>
      </c>
      <c r="I3903" s="206" t="s">
        <v>121</v>
      </c>
      <c r="J3903" s="206" t="s">
        <v>121</v>
      </c>
      <c r="K3903" s="206" t="s">
        <v>121</v>
      </c>
      <c r="L3903" s="206" t="str">
        <v/>
      </c>
      <c r="M3903" s="206" t="str">
        <v/>
      </c>
    </row>
    <row r="3904" spans="1:13" ht="14.4">
      <c r="A3904" s="201"/>
      <c r="B3904" s="209"/>
      <c r="C3904" s="201"/>
      <c r="D3904" s="201"/>
      <c r="E3904" s="202"/>
      <c r="F3904" s="210"/>
      <c r="G3904" s="210"/>
      <c r="H3904" s="206" t="s">
        <v>121</v>
      </c>
      <c r="I3904" s="206" t="s">
        <v>121</v>
      </c>
      <c r="J3904" s="206" t="s">
        <v>121</v>
      </c>
      <c r="K3904" s="206" t="s">
        <v>121</v>
      </c>
      <c r="L3904" s="206" t="str">
        <v/>
      </c>
      <c r="M3904" s="206" t="str">
        <v/>
      </c>
    </row>
    <row r="3905" spans="1:13" ht="14.4">
      <c r="A3905" s="201"/>
      <c r="B3905" s="209"/>
      <c r="C3905" s="201"/>
      <c r="D3905" s="201"/>
      <c r="E3905" s="202"/>
      <c r="F3905" s="210"/>
      <c r="G3905" s="210"/>
      <c r="H3905" s="206" t="s">
        <v>121</v>
      </c>
      <c r="I3905" s="206" t="s">
        <v>121</v>
      </c>
      <c r="J3905" s="206" t="s">
        <v>121</v>
      </c>
      <c r="K3905" s="206" t="s">
        <v>121</v>
      </c>
      <c r="L3905" s="206" t="str">
        <v/>
      </c>
      <c r="M3905" s="206" t="str">
        <v/>
      </c>
    </row>
    <row r="3906" spans="1:13" ht="14.4">
      <c r="A3906" s="201"/>
      <c r="B3906" s="209"/>
      <c r="C3906" s="201"/>
      <c r="D3906" s="201"/>
      <c r="E3906" s="202"/>
      <c r="F3906" s="210"/>
      <c r="G3906" s="210"/>
      <c r="H3906" s="206" t="s">
        <v>121</v>
      </c>
      <c r="I3906" s="206" t="s">
        <v>121</v>
      </c>
      <c r="J3906" s="206" t="s">
        <v>121</v>
      </c>
      <c r="K3906" s="206" t="s">
        <v>121</v>
      </c>
      <c r="L3906" s="206" t="str">
        <v/>
      </c>
      <c r="M3906" s="206" t="str">
        <v/>
      </c>
    </row>
    <row r="3907" spans="1:13" ht="14.4">
      <c r="A3907" s="201"/>
      <c r="B3907" s="209"/>
      <c r="C3907" s="201"/>
      <c r="D3907" s="201"/>
      <c r="E3907" s="202"/>
      <c r="F3907" s="210"/>
      <c r="G3907" s="210"/>
      <c r="H3907" s="206" t="s">
        <v>121</v>
      </c>
      <c r="I3907" s="206" t="s">
        <v>121</v>
      </c>
      <c r="J3907" s="206" t="s">
        <v>121</v>
      </c>
      <c r="K3907" s="206" t="s">
        <v>121</v>
      </c>
      <c r="L3907" s="206" t="str">
        <v/>
      </c>
      <c r="M3907" s="206" t="str">
        <v/>
      </c>
    </row>
    <row r="3908" spans="1:13" ht="14.4">
      <c r="A3908" s="201"/>
      <c r="B3908" s="209"/>
      <c r="C3908" s="201"/>
      <c r="D3908" s="201"/>
      <c r="E3908" s="202"/>
      <c r="F3908" s="210"/>
      <c r="G3908" s="210"/>
      <c r="H3908" s="206" t="s">
        <v>121</v>
      </c>
      <c r="I3908" s="206" t="s">
        <v>121</v>
      </c>
      <c r="J3908" s="206" t="s">
        <v>121</v>
      </c>
      <c r="K3908" s="206" t="s">
        <v>121</v>
      </c>
      <c r="L3908" s="206" t="str">
        <v/>
      </c>
      <c r="M3908" s="206" t="str">
        <v/>
      </c>
    </row>
    <row r="3909" spans="1:13" ht="14.4">
      <c r="A3909" s="201"/>
      <c r="B3909" s="209"/>
      <c r="C3909" s="201"/>
      <c r="D3909" s="201"/>
      <c r="E3909" s="202"/>
      <c r="F3909" s="210"/>
      <c r="G3909" s="210"/>
      <c r="H3909" s="206" t="s">
        <v>121</v>
      </c>
      <c r="I3909" s="206" t="s">
        <v>121</v>
      </c>
      <c r="J3909" s="206" t="s">
        <v>121</v>
      </c>
      <c r="K3909" s="206" t="s">
        <v>121</v>
      </c>
      <c r="L3909" s="206" t="str">
        <v/>
      </c>
      <c r="M3909" s="206" t="str">
        <v/>
      </c>
    </row>
    <row r="3910" spans="1:13" ht="14.4">
      <c r="A3910" s="201"/>
      <c r="B3910" s="209"/>
      <c r="C3910" s="201"/>
      <c r="D3910" s="201"/>
      <c r="E3910" s="202"/>
      <c r="F3910" s="210"/>
      <c r="G3910" s="210"/>
      <c r="H3910" s="206" t="s">
        <v>121</v>
      </c>
      <c r="I3910" s="206" t="s">
        <v>121</v>
      </c>
      <c r="J3910" s="206" t="s">
        <v>121</v>
      </c>
      <c r="K3910" s="206" t="s">
        <v>121</v>
      </c>
      <c r="L3910" s="206" t="str">
        <v/>
      </c>
      <c r="M3910" s="206" t="str">
        <v/>
      </c>
    </row>
    <row r="3911" spans="1:13" ht="14.4">
      <c r="A3911" s="201"/>
      <c r="B3911" s="209"/>
      <c r="C3911" s="201"/>
      <c r="D3911" s="201"/>
      <c r="E3911" s="202"/>
      <c r="F3911" s="210"/>
      <c r="G3911" s="210"/>
      <c r="H3911" s="206" t="s">
        <v>121</v>
      </c>
      <c r="I3911" s="206" t="s">
        <v>121</v>
      </c>
      <c r="J3911" s="206" t="s">
        <v>121</v>
      </c>
      <c r="K3911" s="206" t="s">
        <v>121</v>
      </c>
      <c r="L3911" s="206" t="str">
        <v/>
      </c>
      <c r="M3911" s="206" t="str">
        <v/>
      </c>
    </row>
    <row r="3912" spans="1:13" ht="14.4">
      <c r="A3912" s="201"/>
      <c r="B3912" s="209"/>
      <c r="C3912" s="201"/>
      <c r="D3912" s="201"/>
      <c r="E3912" s="202"/>
      <c r="F3912" s="210"/>
      <c r="G3912" s="210"/>
      <c r="H3912" s="206" t="s">
        <v>121</v>
      </c>
      <c r="I3912" s="206" t="s">
        <v>121</v>
      </c>
      <c r="J3912" s="206" t="s">
        <v>121</v>
      </c>
      <c r="K3912" s="206" t="s">
        <v>121</v>
      </c>
      <c r="L3912" s="206" t="str">
        <v/>
      </c>
      <c r="M3912" s="206" t="str">
        <v/>
      </c>
    </row>
    <row r="3913" spans="1:13" ht="14.4">
      <c r="A3913" s="201"/>
      <c r="B3913" s="209"/>
      <c r="C3913" s="201"/>
      <c r="D3913" s="201"/>
      <c r="E3913" s="202"/>
      <c r="F3913" s="210"/>
      <c r="G3913" s="210"/>
      <c r="H3913" s="206" t="s">
        <v>121</v>
      </c>
      <c r="I3913" s="206" t="s">
        <v>121</v>
      </c>
      <c r="J3913" s="206" t="s">
        <v>121</v>
      </c>
      <c r="K3913" s="206" t="s">
        <v>121</v>
      </c>
      <c r="L3913" s="206" t="str">
        <v/>
      </c>
      <c r="M3913" s="206" t="str">
        <v/>
      </c>
    </row>
    <row r="3914" spans="1:13" ht="14.4">
      <c r="A3914" s="201"/>
      <c r="B3914" s="209"/>
      <c r="C3914" s="201"/>
      <c r="D3914" s="201"/>
      <c r="E3914" s="202"/>
      <c r="F3914" s="210"/>
      <c r="G3914" s="210"/>
      <c r="H3914" s="206" t="s">
        <v>121</v>
      </c>
      <c r="I3914" s="206" t="s">
        <v>121</v>
      </c>
      <c r="J3914" s="206" t="s">
        <v>121</v>
      </c>
      <c r="K3914" s="206" t="s">
        <v>121</v>
      </c>
      <c r="L3914" s="206" t="str">
        <v/>
      </c>
      <c r="M3914" s="206" t="str">
        <v/>
      </c>
    </row>
    <row r="3915" spans="1:13" ht="14.4">
      <c r="A3915" s="201"/>
      <c r="B3915" s="209"/>
      <c r="C3915" s="201"/>
      <c r="D3915" s="201"/>
      <c r="E3915" s="202"/>
      <c r="F3915" s="210"/>
      <c r="G3915" s="210"/>
      <c r="H3915" s="206" t="s">
        <v>121</v>
      </c>
      <c r="I3915" s="206" t="s">
        <v>121</v>
      </c>
      <c r="J3915" s="206" t="s">
        <v>121</v>
      </c>
      <c r="K3915" s="206" t="s">
        <v>121</v>
      </c>
      <c r="L3915" s="206" t="str">
        <v/>
      </c>
      <c r="M3915" s="206" t="str">
        <v/>
      </c>
    </row>
    <row r="3916" spans="1:13" ht="14.4">
      <c r="A3916" s="201"/>
      <c r="B3916" s="209"/>
      <c r="C3916" s="201"/>
      <c r="D3916" s="201"/>
      <c r="E3916" s="202"/>
      <c r="F3916" s="210"/>
      <c r="G3916" s="210"/>
      <c r="H3916" s="206" t="s">
        <v>121</v>
      </c>
      <c r="I3916" s="206" t="s">
        <v>121</v>
      </c>
      <c r="J3916" s="206" t="s">
        <v>121</v>
      </c>
      <c r="K3916" s="206" t="s">
        <v>121</v>
      </c>
      <c r="L3916" s="206" t="str">
        <v/>
      </c>
      <c r="M3916" s="206" t="str">
        <v/>
      </c>
    </row>
    <row r="3917" spans="1:13" ht="14.4">
      <c r="A3917" s="201"/>
      <c r="B3917" s="209"/>
      <c r="C3917" s="201"/>
      <c r="D3917" s="201"/>
      <c r="E3917" s="202"/>
      <c r="F3917" s="210"/>
      <c r="G3917" s="210"/>
      <c r="H3917" s="206" t="s">
        <v>121</v>
      </c>
      <c r="I3917" s="206" t="s">
        <v>121</v>
      </c>
      <c r="J3917" s="206" t="s">
        <v>121</v>
      </c>
      <c r="K3917" s="206" t="s">
        <v>121</v>
      </c>
      <c r="L3917" s="206" t="str">
        <v/>
      </c>
      <c r="M3917" s="206" t="str">
        <v/>
      </c>
    </row>
    <row r="3918" spans="1:13" ht="14.4">
      <c r="A3918" s="201"/>
      <c r="B3918" s="209"/>
      <c r="C3918" s="201"/>
      <c r="D3918" s="201"/>
      <c r="E3918" s="202"/>
      <c r="F3918" s="210"/>
      <c r="G3918" s="210"/>
      <c r="H3918" s="206" t="s">
        <v>121</v>
      </c>
      <c r="I3918" s="206" t="s">
        <v>121</v>
      </c>
      <c r="J3918" s="206" t="s">
        <v>121</v>
      </c>
      <c r="K3918" s="206" t="s">
        <v>121</v>
      </c>
      <c r="L3918" s="206" t="str">
        <v/>
      </c>
      <c r="M3918" s="206" t="str">
        <v/>
      </c>
    </row>
    <row r="3919" spans="1:13" ht="14.4">
      <c r="A3919" s="201"/>
      <c r="B3919" s="209"/>
      <c r="C3919" s="201"/>
      <c r="D3919" s="201"/>
      <c r="E3919" s="202"/>
      <c r="F3919" s="210"/>
      <c r="G3919" s="210"/>
      <c r="H3919" s="206" t="s">
        <v>121</v>
      </c>
      <c r="I3919" s="206" t="s">
        <v>121</v>
      </c>
      <c r="J3919" s="206" t="s">
        <v>121</v>
      </c>
      <c r="K3919" s="206" t="s">
        <v>121</v>
      </c>
      <c r="L3919" s="206" t="str">
        <v/>
      </c>
      <c r="M3919" s="206" t="str">
        <v/>
      </c>
    </row>
    <row r="3920" spans="1:13" ht="14.4">
      <c r="A3920" s="201"/>
      <c r="B3920" s="209"/>
      <c r="C3920" s="201"/>
      <c r="D3920" s="201"/>
      <c r="E3920" s="202"/>
      <c r="F3920" s="210"/>
      <c r="G3920" s="210"/>
      <c r="H3920" s="206" t="s">
        <v>121</v>
      </c>
      <c r="I3920" s="206" t="s">
        <v>121</v>
      </c>
      <c r="J3920" s="206" t="s">
        <v>121</v>
      </c>
      <c r="K3920" s="206" t="s">
        <v>121</v>
      </c>
      <c r="L3920" s="206" t="str">
        <v/>
      </c>
      <c r="M3920" s="206" t="str">
        <v/>
      </c>
    </row>
    <row r="3921" spans="1:13" ht="14.4">
      <c r="A3921" s="201"/>
      <c r="B3921" s="209"/>
      <c r="C3921" s="201"/>
      <c r="D3921" s="201"/>
      <c r="E3921" s="202"/>
      <c r="F3921" s="210"/>
      <c r="G3921" s="210"/>
      <c r="H3921" s="206" t="s">
        <v>121</v>
      </c>
      <c r="I3921" s="206" t="s">
        <v>121</v>
      </c>
      <c r="J3921" s="206" t="s">
        <v>121</v>
      </c>
      <c r="K3921" s="206" t="s">
        <v>121</v>
      </c>
      <c r="L3921" s="206" t="str">
        <v/>
      </c>
      <c r="M3921" s="206" t="str">
        <v/>
      </c>
    </row>
    <row r="3922" spans="1:13" ht="14.4">
      <c r="A3922" s="201"/>
      <c r="B3922" s="209"/>
      <c r="C3922" s="201"/>
      <c r="D3922" s="201"/>
      <c r="E3922" s="202"/>
      <c r="F3922" s="210"/>
      <c r="G3922" s="210"/>
      <c r="H3922" s="206" t="s">
        <v>121</v>
      </c>
      <c r="I3922" s="206" t="s">
        <v>121</v>
      </c>
      <c r="J3922" s="206" t="s">
        <v>121</v>
      </c>
      <c r="K3922" s="206" t="s">
        <v>121</v>
      </c>
      <c r="L3922" s="206" t="str">
        <v/>
      </c>
      <c r="M3922" s="206" t="str">
        <v/>
      </c>
    </row>
    <row r="3923" spans="1:13" ht="14.4">
      <c r="A3923" s="201"/>
      <c r="B3923" s="209"/>
      <c r="C3923" s="201"/>
      <c r="D3923" s="201"/>
      <c r="E3923" s="202"/>
      <c r="F3923" s="210"/>
      <c r="G3923" s="210"/>
      <c r="H3923" s="206" t="s">
        <v>121</v>
      </c>
      <c r="I3923" s="206" t="s">
        <v>121</v>
      </c>
      <c r="J3923" s="206" t="s">
        <v>121</v>
      </c>
      <c r="K3923" s="206" t="s">
        <v>121</v>
      </c>
      <c r="L3923" s="206" t="str">
        <v/>
      </c>
      <c r="M3923" s="206" t="str">
        <v/>
      </c>
    </row>
    <row r="3924" spans="1:13" ht="14.4">
      <c r="A3924" s="201"/>
      <c r="B3924" s="209"/>
      <c r="C3924" s="201"/>
      <c r="D3924" s="201"/>
      <c r="E3924" s="202"/>
      <c r="F3924" s="210"/>
      <c r="G3924" s="210"/>
      <c r="H3924" s="206" t="s">
        <v>121</v>
      </c>
      <c r="I3924" s="206" t="s">
        <v>121</v>
      </c>
      <c r="J3924" s="206" t="s">
        <v>121</v>
      </c>
      <c r="K3924" s="206" t="s">
        <v>121</v>
      </c>
      <c r="L3924" s="206" t="str">
        <v/>
      </c>
      <c r="M3924" s="206" t="str">
        <v/>
      </c>
    </row>
    <row r="3925" spans="1:13" ht="14.4">
      <c r="A3925" s="201"/>
      <c r="B3925" s="209"/>
      <c r="C3925" s="201"/>
      <c r="D3925" s="201"/>
      <c r="E3925" s="202"/>
      <c r="F3925" s="210"/>
      <c r="G3925" s="210"/>
      <c r="H3925" s="206" t="s">
        <v>121</v>
      </c>
      <c r="I3925" s="206" t="s">
        <v>121</v>
      </c>
      <c r="J3925" s="206" t="s">
        <v>121</v>
      </c>
      <c r="K3925" s="206" t="s">
        <v>121</v>
      </c>
      <c r="L3925" s="206" t="str">
        <v/>
      </c>
      <c r="M3925" s="206" t="str">
        <v/>
      </c>
    </row>
    <row r="3926" spans="1:13" ht="14.4">
      <c r="A3926" s="201"/>
      <c r="B3926" s="209"/>
      <c r="C3926" s="201"/>
      <c r="D3926" s="201"/>
      <c r="E3926" s="202"/>
      <c r="F3926" s="210"/>
      <c r="G3926" s="210"/>
      <c r="H3926" s="206" t="s">
        <v>121</v>
      </c>
      <c r="I3926" s="206" t="s">
        <v>121</v>
      </c>
      <c r="J3926" s="206" t="s">
        <v>121</v>
      </c>
      <c r="K3926" s="206" t="s">
        <v>121</v>
      </c>
      <c r="L3926" s="206" t="str">
        <v/>
      </c>
      <c r="M3926" s="206" t="str">
        <v/>
      </c>
    </row>
    <row r="3927" spans="1:13" ht="14.4">
      <c r="A3927" s="201"/>
      <c r="B3927" s="209"/>
      <c r="C3927" s="201"/>
      <c r="D3927" s="201"/>
      <c r="E3927" s="202"/>
      <c r="F3927" s="210"/>
      <c r="G3927" s="210"/>
      <c r="H3927" s="206" t="s">
        <v>121</v>
      </c>
      <c r="I3927" s="206" t="s">
        <v>121</v>
      </c>
      <c r="J3927" s="206" t="s">
        <v>121</v>
      </c>
      <c r="K3927" s="206" t="s">
        <v>121</v>
      </c>
      <c r="L3927" s="206" t="str">
        <v/>
      </c>
      <c r="M3927" s="206" t="str">
        <v/>
      </c>
    </row>
    <row r="3928" spans="1:13" ht="14.4">
      <c r="A3928" s="201"/>
      <c r="B3928" s="209"/>
      <c r="C3928" s="201"/>
      <c r="D3928" s="201"/>
      <c r="E3928" s="202"/>
      <c r="F3928" s="210"/>
      <c r="G3928" s="210"/>
      <c r="H3928" s="206" t="s">
        <v>121</v>
      </c>
      <c r="I3928" s="206" t="s">
        <v>121</v>
      </c>
      <c r="J3928" s="206" t="s">
        <v>121</v>
      </c>
      <c r="K3928" s="206" t="s">
        <v>121</v>
      </c>
      <c r="L3928" s="206" t="str">
        <v/>
      </c>
      <c r="M3928" s="206" t="str">
        <v/>
      </c>
    </row>
    <row r="3929" spans="1:13" ht="14.4">
      <c r="A3929" s="201"/>
      <c r="B3929" s="209"/>
      <c r="C3929" s="201"/>
      <c r="D3929" s="201"/>
      <c r="E3929" s="202"/>
      <c r="F3929" s="210"/>
      <c r="G3929" s="210"/>
      <c r="H3929" s="206" t="s">
        <v>121</v>
      </c>
      <c r="I3929" s="206" t="s">
        <v>121</v>
      </c>
      <c r="J3929" s="206" t="s">
        <v>121</v>
      </c>
      <c r="K3929" s="206" t="s">
        <v>121</v>
      </c>
      <c r="L3929" s="206" t="str">
        <v/>
      </c>
      <c r="M3929" s="206" t="str">
        <v/>
      </c>
    </row>
    <row r="3930" spans="1:13" ht="14.4">
      <c r="A3930" s="201"/>
      <c r="B3930" s="209"/>
      <c r="C3930" s="201"/>
      <c r="D3930" s="201"/>
      <c r="E3930" s="202"/>
      <c r="F3930" s="210"/>
      <c r="G3930" s="210"/>
      <c r="H3930" s="206" t="s">
        <v>121</v>
      </c>
      <c r="I3930" s="206" t="s">
        <v>121</v>
      </c>
      <c r="J3930" s="206" t="s">
        <v>121</v>
      </c>
      <c r="K3930" s="206" t="s">
        <v>121</v>
      </c>
      <c r="L3930" s="206" t="str">
        <v/>
      </c>
      <c r="M3930" s="206" t="str">
        <v/>
      </c>
    </row>
    <row r="3931" spans="1:13" ht="14.4">
      <c r="A3931" s="201"/>
      <c r="B3931" s="209"/>
      <c r="C3931" s="201"/>
      <c r="D3931" s="201"/>
      <c r="E3931" s="202"/>
      <c r="F3931" s="210"/>
      <c r="G3931" s="210"/>
      <c r="H3931" s="206" t="s">
        <v>121</v>
      </c>
      <c r="I3931" s="206" t="s">
        <v>121</v>
      </c>
      <c r="J3931" s="206" t="s">
        <v>121</v>
      </c>
      <c r="K3931" s="206" t="s">
        <v>121</v>
      </c>
      <c r="L3931" s="206" t="str">
        <v/>
      </c>
      <c r="M3931" s="206" t="str">
        <v/>
      </c>
    </row>
    <row r="3932" spans="1:13" ht="14.4">
      <c r="A3932" s="201"/>
      <c r="B3932" s="209"/>
      <c r="C3932" s="201"/>
      <c r="D3932" s="201"/>
      <c r="E3932" s="202"/>
      <c r="F3932" s="210"/>
      <c r="G3932" s="210"/>
      <c r="H3932" s="206" t="s">
        <v>121</v>
      </c>
      <c r="I3932" s="206" t="s">
        <v>121</v>
      </c>
      <c r="J3932" s="206" t="s">
        <v>121</v>
      </c>
      <c r="K3932" s="206" t="s">
        <v>121</v>
      </c>
      <c r="L3932" s="206" t="str">
        <v/>
      </c>
      <c r="M3932" s="206" t="str">
        <v/>
      </c>
    </row>
    <row r="3933" spans="1:13" ht="14.4">
      <c r="A3933" s="201"/>
      <c r="B3933" s="209"/>
      <c r="C3933" s="201"/>
      <c r="D3933" s="201"/>
      <c r="E3933" s="202"/>
      <c r="F3933" s="210"/>
      <c r="G3933" s="210"/>
      <c r="H3933" s="206" t="s">
        <v>121</v>
      </c>
      <c r="I3933" s="206" t="s">
        <v>121</v>
      </c>
      <c r="J3933" s="206" t="s">
        <v>121</v>
      </c>
      <c r="K3933" s="206" t="s">
        <v>121</v>
      </c>
      <c r="L3933" s="206" t="str">
        <v/>
      </c>
      <c r="M3933" s="206" t="str">
        <v/>
      </c>
    </row>
    <row r="3934" spans="1:13" ht="14.4">
      <c r="A3934" s="201"/>
      <c r="B3934" s="209"/>
      <c r="C3934" s="201"/>
      <c r="D3934" s="201"/>
      <c r="E3934" s="202"/>
      <c r="F3934" s="210"/>
      <c r="G3934" s="210"/>
      <c r="H3934" s="206" t="s">
        <v>121</v>
      </c>
      <c r="I3934" s="206" t="s">
        <v>121</v>
      </c>
      <c r="J3934" s="206" t="s">
        <v>121</v>
      </c>
      <c r="K3934" s="206" t="s">
        <v>121</v>
      </c>
      <c r="L3934" s="206" t="str">
        <v/>
      </c>
      <c r="M3934" s="206" t="str">
        <v/>
      </c>
    </row>
    <row r="3935" spans="1:13" ht="14.4">
      <c r="A3935" s="201"/>
      <c r="B3935" s="209"/>
      <c r="C3935" s="201"/>
      <c r="D3935" s="201"/>
      <c r="E3935" s="202"/>
      <c r="F3935" s="210"/>
      <c r="G3935" s="210"/>
      <c r="H3935" s="206" t="s">
        <v>121</v>
      </c>
      <c r="I3935" s="206" t="s">
        <v>121</v>
      </c>
      <c r="J3935" s="206" t="s">
        <v>121</v>
      </c>
      <c r="K3935" s="206" t="s">
        <v>121</v>
      </c>
      <c r="L3935" s="206" t="str">
        <v/>
      </c>
      <c r="M3935" s="206" t="str">
        <v/>
      </c>
    </row>
    <row r="3936" spans="1:13" ht="14.4">
      <c r="A3936" s="201"/>
      <c r="B3936" s="209"/>
      <c r="C3936" s="201"/>
      <c r="D3936" s="201"/>
      <c r="E3936" s="202"/>
      <c r="F3936" s="210"/>
      <c r="G3936" s="210"/>
      <c r="H3936" s="206" t="s">
        <v>121</v>
      </c>
      <c r="I3936" s="206" t="s">
        <v>121</v>
      </c>
      <c r="J3936" s="206" t="s">
        <v>121</v>
      </c>
      <c r="K3936" s="206" t="s">
        <v>121</v>
      </c>
      <c r="L3936" s="206" t="str">
        <v/>
      </c>
      <c r="M3936" s="206" t="str">
        <v/>
      </c>
    </row>
    <row r="3937" spans="1:13" ht="14.4">
      <c r="A3937" s="201"/>
      <c r="B3937" s="209"/>
      <c r="C3937" s="201"/>
      <c r="D3937" s="201"/>
      <c r="E3937" s="202"/>
      <c r="F3937" s="210"/>
      <c r="G3937" s="210"/>
      <c r="H3937" s="206" t="s">
        <v>121</v>
      </c>
      <c r="I3937" s="206" t="s">
        <v>121</v>
      </c>
      <c r="J3937" s="206" t="s">
        <v>121</v>
      </c>
      <c r="K3937" s="206" t="s">
        <v>121</v>
      </c>
      <c r="L3937" s="206" t="str">
        <v/>
      </c>
      <c r="M3937" s="206" t="str">
        <v/>
      </c>
    </row>
    <row r="3938" spans="1:13" ht="14.4">
      <c r="A3938" s="201"/>
      <c r="B3938" s="209"/>
      <c r="C3938" s="201"/>
      <c r="D3938" s="201"/>
      <c r="E3938" s="202"/>
      <c r="F3938" s="210"/>
      <c r="G3938" s="210"/>
      <c r="H3938" s="206" t="s">
        <v>121</v>
      </c>
      <c r="I3938" s="206" t="s">
        <v>121</v>
      </c>
      <c r="J3938" s="206" t="s">
        <v>121</v>
      </c>
      <c r="K3938" s="206" t="s">
        <v>121</v>
      </c>
      <c r="L3938" s="206" t="str">
        <v/>
      </c>
      <c r="M3938" s="206" t="str">
        <v/>
      </c>
    </row>
    <row r="3939" spans="1:13" ht="14.4">
      <c r="A3939" s="201"/>
      <c r="B3939" s="209"/>
      <c r="C3939" s="201"/>
      <c r="D3939" s="201"/>
      <c r="E3939" s="202"/>
      <c r="F3939" s="210"/>
      <c r="G3939" s="210"/>
      <c r="H3939" s="206" t="s">
        <v>121</v>
      </c>
      <c r="I3939" s="206" t="s">
        <v>121</v>
      </c>
      <c r="J3939" s="206" t="s">
        <v>121</v>
      </c>
      <c r="K3939" s="206" t="s">
        <v>121</v>
      </c>
      <c r="L3939" s="206" t="str">
        <v/>
      </c>
      <c r="M3939" s="206" t="str">
        <v/>
      </c>
    </row>
    <row r="3940" spans="1:13" ht="14.4">
      <c r="A3940" s="201"/>
      <c r="B3940" s="209"/>
      <c r="C3940" s="201"/>
      <c r="D3940" s="201"/>
      <c r="E3940" s="202"/>
      <c r="F3940" s="210"/>
      <c r="G3940" s="210"/>
      <c r="H3940" s="206" t="s">
        <v>121</v>
      </c>
      <c r="I3940" s="206" t="s">
        <v>121</v>
      </c>
      <c r="J3940" s="206" t="s">
        <v>121</v>
      </c>
      <c r="K3940" s="206" t="s">
        <v>121</v>
      </c>
      <c r="L3940" s="206" t="str">
        <v/>
      </c>
      <c r="M3940" s="206" t="str">
        <v/>
      </c>
    </row>
    <row r="3941" spans="1:13" ht="14.4">
      <c r="A3941" s="201"/>
      <c r="B3941" s="209"/>
      <c r="C3941" s="201"/>
      <c r="D3941" s="201"/>
      <c r="E3941" s="202"/>
      <c r="F3941" s="210"/>
      <c r="G3941" s="210"/>
      <c r="H3941" s="206" t="s">
        <v>121</v>
      </c>
      <c r="I3941" s="206" t="s">
        <v>121</v>
      </c>
      <c r="J3941" s="206" t="s">
        <v>121</v>
      </c>
      <c r="K3941" s="206" t="s">
        <v>121</v>
      </c>
      <c r="L3941" s="206" t="str">
        <v/>
      </c>
      <c r="M3941" s="206" t="str">
        <v/>
      </c>
    </row>
    <row r="3942" spans="1:13" ht="14.4">
      <c r="A3942" s="201"/>
      <c r="B3942" s="209"/>
      <c r="C3942" s="201"/>
      <c r="D3942" s="201"/>
      <c r="E3942" s="202"/>
      <c r="F3942" s="210"/>
      <c r="G3942" s="210"/>
      <c r="H3942" s="206" t="s">
        <v>121</v>
      </c>
      <c r="I3942" s="206" t="s">
        <v>121</v>
      </c>
      <c r="J3942" s="206" t="s">
        <v>121</v>
      </c>
      <c r="K3942" s="206" t="s">
        <v>121</v>
      </c>
      <c r="L3942" s="206" t="str">
        <v/>
      </c>
      <c r="M3942" s="206" t="str">
        <v/>
      </c>
    </row>
    <row r="3943" spans="1:13" ht="14.4">
      <c r="A3943" s="201"/>
      <c r="B3943" s="209"/>
      <c r="C3943" s="201"/>
      <c r="D3943" s="201"/>
      <c r="E3943" s="202"/>
      <c r="F3943" s="210"/>
      <c r="G3943" s="210"/>
      <c r="H3943" s="206" t="s">
        <v>121</v>
      </c>
      <c r="I3943" s="206" t="s">
        <v>121</v>
      </c>
      <c r="J3943" s="206" t="s">
        <v>121</v>
      </c>
      <c r="K3943" s="206" t="s">
        <v>121</v>
      </c>
      <c r="L3943" s="206" t="str">
        <v/>
      </c>
      <c r="M3943" s="206" t="str">
        <v/>
      </c>
    </row>
    <row r="3944" spans="1:13" ht="14.4">
      <c r="A3944" s="201"/>
      <c r="B3944" s="209"/>
      <c r="C3944" s="201"/>
      <c r="D3944" s="201"/>
      <c r="E3944" s="202"/>
      <c r="F3944" s="210"/>
      <c r="G3944" s="210"/>
      <c r="H3944" s="206" t="s">
        <v>121</v>
      </c>
      <c r="I3944" s="206" t="s">
        <v>121</v>
      </c>
      <c r="J3944" s="206" t="s">
        <v>121</v>
      </c>
      <c r="K3944" s="206" t="s">
        <v>121</v>
      </c>
      <c r="L3944" s="206" t="str">
        <v/>
      </c>
      <c r="M3944" s="206" t="str">
        <v/>
      </c>
    </row>
    <row r="3945" spans="1:13" ht="14.4">
      <c r="A3945" s="201"/>
      <c r="B3945" s="209"/>
      <c r="C3945" s="201"/>
      <c r="D3945" s="201"/>
      <c r="E3945" s="202"/>
      <c r="F3945" s="210"/>
      <c r="G3945" s="210"/>
      <c r="H3945" s="206" t="s">
        <v>121</v>
      </c>
      <c r="I3945" s="206" t="s">
        <v>121</v>
      </c>
      <c r="J3945" s="206" t="s">
        <v>121</v>
      </c>
      <c r="K3945" s="206" t="s">
        <v>121</v>
      </c>
      <c r="L3945" s="206" t="str">
        <v/>
      </c>
      <c r="M3945" s="206" t="str">
        <v/>
      </c>
    </row>
    <row r="3946" spans="1:13" ht="14.4">
      <c r="A3946" s="201"/>
      <c r="B3946" s="209"/>
      <c r="C3946" s="201"/>
      <c r="D3946" s="201"/>
      <c r="E3946" s="202"/>
      <c r="F3946" s="210"/>
      <c r="G3946" s="210"/>
      <c r="H3946" s="206" t="s">
        <v>121</v>
      </c>
      <c r="I3946" s="206" t="s">
        <v>121</v>
      </c>
      <c r="J3946" s="206" t="s">
        <v>121</v>
      </c>
      <c r="K3946" s="206" t="s">
        <v>121</v>
      </c>
      <c r="L3946" s="206" t="str">
        <v/>
      </c>
      <c r="M3946" s="206" t="str">
        <v/>
      </c>
    </row>
    <row r="3947" spans="1:13" ht="14.4">
      <c r="A3947" s="201"/>
      <c r="B3947" s="209"/>
      <c r="C3947" s="201"/>
      <c r="D3947" s="201"/>
      <c r="E3947" s="202"/>
      <c r="F3947" s="210"/>
      <c r="G3947" s="210"/>
      <c r="H3947" s="206" t="s">
        <v>121</v>
      </c>
      <c r="I3947" s="206" t="s">
        <v>121</v>
      </c>
      <c r="J3947" s="206" t="s">
        <v>121</v>
      </c>
      <c r="K3947" s="206" t="s">
        <v>121</v>
      </c>
      <c r="L3947" s="206" t="str">
        <v/>
      </c>
      <c r="M3947" s="206" t="str">
        <v/>
      </c>
    </row>
    <row r="3948" spans="1:13" ht="14.4">
      <c r="A3948" s="201"/>
      <c r="B3948" s="209"/>
      <c r="C3948" s="201"/>
      <c r="D3948" s="201"/>
      <c r="E3948" s="202"/>
      <c r="F3948" s="210"/>
      <c r="G3948" s="210"/>
      <c r="H3948" s="206" t="s">
        <v>121</v>
      </c>
      <c r="I3948" s="206" t="s">
        <v>121</v>
      </c>
      <c r="J3948" s="206" t="s">
        <v>121</v>
      </c>
      <c r="K3948" s="206" t="s">
        <v>121</v>
      </c>
      <c r="L3948" s="206" t="str">
        <v/>
      </c>
      <c r="M3948" s="206" t="str">
        <v/>
      </c>
    </row>
    <row r="3949" spans="1:13" ht="14.4">
      <c r="A3949" s="201"/>
      <c r="B3949" s="209"/>
      <c r="C3949" s="201"/>
      <c r="D3949" s="201"/>
      <c r="E3949" s="202"/>
      <c r="F3949" s="210"/>
      <c r="G3949" s="210"/>
      <c r="H3949" s="206" t="s">
        <v>121</v>
      </c>
      <c r="I3949" s="206" t="s">
        <v>121</v>
      </c>
      <c r="J3949" s="206" t="s">
        <v>121</v>
      </c>
      <c r="K3949" s="206" t="s">
        <v>121</v>
      </c>
      <c r="L3949" s="206" t="str">
        <v/>
      </c>
      <c r="M3949" s="206" t="str">
        <v/>
      </c>
    </row>
    <row r="3950" spans="1:13" ht="14.4">
      <c r="A3950" s="201"/>
      <c r="B3950" s="209"/>
      <c r="C3950" s="201"/>
      <c r="D3950" s="201"/>
      <c r="E3950" s="202"/>
      <c r="F3950" s="210"/>
      <c r="G3950" s="210"/>
      <c r="H3950" s="206" t="s">
        <v>121</v>
      </c>
      <c r="I3950" s="206" t="s">
        <v>121</v>
      </c>
      <c r="J3950" s="206" t="s">
        <v>121</v>
      </c>
      <c r="K3950" s="206" t="s">
        <v>121</v>
      </c>
      <c r="L3950" s="206" t="str">
        <v/>
      </c>
      <c r="M3950" s="206" t="str">
        <v/>
      </c>
    </row>
    <row r="3951" spans="1:13" ht="14.4">
      <c r="A3951" s="201"/>
      <c r="B3951" s="209"/>
      <c r="C3951" s="201"/>
      <c r="D3951" s="201"/>
      <c r="E3951" s="202"/>
      <c r="F3951" s="210"/>
      <c r="G3951" s="210"/>
      <c r="H3951" s="206" t="s">
        <v>121</v>
      </c>
      <c r="I3951" s="206" t="s">
        <v>121</v>
      </c>
      <c r="J3951" s="206" t="s">
        <v>121</v>
      </c>
      <c r="K3951" s="206" t="s">
        <v>121</v>
      </c>
      <c r="L3951" s="206" t="str">
        <v/>
      </c>
      <c r="M3951" s="206" t="str">
        <v/>
      </c>
    </row>
    <row r="3952" spans="1:13" ht="14.4">
      <c r="A3952" s="201"/>
      <c r="B3952" s="209"/>
      <c r="C3952" s="201"/>
      <c r="D3952" s="201"/>
      <c r="E3952" s="202"/>
      <c r="F3952" s="210"/>
      <c r="G3952" s="210"/>
      <c r="H3952" s="206" t="s">
        <v>121</v>
      </c>
      <c r="I3952" s="206" t="s">
        <v>121</v>
      </c>
      <c r="J3952" s="206" t="s">
        <v>121</v>
      </c>
      <c r="K3952" s="206" t="s">
        <v>121</v>
      </c>
      <c r="L3952" s="206" t="str">
        <v/>
      </c>
      <c r="M3952" s="206" t="str">
        <v/>
      </c>
    </row>
    <row r="3953" spans="1:13" ht="14.4">
      <c r="A3953" s="201"/>
      <c r="B3953" s="209"/>
      <c r="C3953" s="201"/>
      <c r="D3953" s="201"/>
      <c r="E3953" s="202"/>
      <c r="F3953" s="210"/>
      <c r="G3953" s="210"/>
      <c r="H3953" s="206" t="s">
        <v>121</v>
      </c>
      <c r="I3953" s="206" t="s">
        <v>121</v>
      </c>
      <c r="J3953" s="206" t="s">
        <v>121</v>
      </c>
      <c r="K3953" s="206" t="s">
        <v>121</v>
      </c>
      <c r="L3953" s="206" t="str">
        <v/>
      </c>
      <c r="M3953" s="206" t="str">
        <v/>
      </c>
    </row>
    <row r="3954" spans="1:13" ht="14.4">
      <c r="A3954" s="201"/>
      <c r="B3954" s="209"/>
      <c r="C3954" s="201"/>
      <c r="D3954" s="201"/>
      <c r="E3954" s="202"/>
      <c r="F3954" s="210"/>
      <c r="G3954" s="210"/>
      <c r="H3954" s="206" t="s">
        <v>121</v>
      </c>
      <c r="I3954" s="206" t="s">
        <v>121</v>
      </c>
      <c r="J3954" s="206" t="s">
        <v>121</v>
      </c>
      <c r="K3954" s="206" t="s">
        <v>121</v>
      </c>
      <c r="L3954" s="206" t="str">
        <v/>
      </c>
      <c r="M3954" s="206" t="str">
        <v/>
      </c>
    </row>
    <row r="3955" spans="1:13" ht="14.4">
      <c r="A3955" s="201"/>
      <c r="B3955" s="209"/>
      <c r="C3955" s="201"/>
      <c r="D3955" s="201"/>
      <c r="E3955" s="202"/>
      <c r="F3955" s="210"/>
      <c r="G3955" s="210"/>
      <c r="H3955" s="206" t="s">
        <v>121</v>
      </c>
      <c r="I3955" s="206" t="s">
        <v>121</v>
      </c>
      <c r="J3955" s="206" t="s">
        <v>121</v>
      </c>
      <c r="K3955" s="206" t="s">
        <v>121</v>
      </c>
      <c r="L3955" s="206" t="str">
        <v/>
      </c>
      <c r="M3955" s="206" t="str">
        <v/>
      </c>
    </row>
    <row r="3956" spans="1:13" ht="14.4">
      <c r="A3956" s="201"/>
      <c r="B3956" s="209"/>
      <c r="C3956" s="201"/>
      <c r="D3956" s="201"/>
      <c r="E3956" s="202"/>
      <c r="F3956" s="210"/>
      <c r="G3956" s="210"/>
      <c r="H3956" s="206" t="s">
        <v>121</v>
      </c>
      <c r="I3956" s="206" t="s">
        <v>121</v>
      </c>
      <c r="J3956" s="206" t="s">
        <v>121</v>
      </c>
      <c r="K3956" s="206" t="s">
        <v>121</v>
      </c>
      <c r="L3956" s="206" t="str">
        <v/>
      </c>
      <c r="M3956" s="206" t="str">
        <v/>
      </c>
    </row>
    <row r="3957" spans="1:13" ht="14.4">
      <c r="A3957" s="201"/>
      <c r="B3957" s="209"/>
      <c r="C3957" s="201"/>
      <c r="D3957" s="201"/>
      <c r="E3957" s="202"/>
      <c r="F3957" s="210"/>
      <c r="G3957" s="210"/>
      <c r="H3957" s="206" t="s">
        <v>121</v>
      </c>
      <c r="I3957" s="206" t="s">
        <v>121</v>
      </c>
      <c r="J3957" s="206" t="s">
        <v>121</v>
      </c>
      <c r="K3957" s="206" t="s">
        <v>121</v>
      </c>
      <c r="L3957" s="206" t="str">
        <v/>
      </c>
      <c r="M3957" s="206" t="str">
        <v/>
      </c>
    </row>
    <row r="3958" spans="1:13" ht="14.4">
      <c r="A3958" s="201"/>
      <c r="B3958" s="209"/>
      <c r="C3958" s="201"/>
      <c r="D3958" s="201"/>
      <c r="E3958" s="202"/>
      <c r="F3958" s="210"/>
      <c r="G3958" s="210"/>
      <c r="H3958" s="206" t="s">
        <v>121</v>
      </c>
      <c r="I3958" s="206" t="s">
        <v>121</v>
      </c>
      <c r="J3958" s="206" t="s">
        <v>121</v>
      </c>
      <c r="K3958" s="206" t="s">
        <v>121</v>
      </c>
      <c r="L3958" s="206" t="str">
        <v/>
      </c>
      <c r="M3958" s="206" t="str">
        <v/>
      </c>
    </row>
    <row r="3959" spans="1:13" ht="14.4">
      <c r="A3959" s="201"/>
      <c r="B3959" s="209"/>
      <c r="C3959" s="201"/>
      <c r="D3959" s="201"/>
      <c r="E3959" s="202"/>
      <c r="F3959" s="210"/>
      <c r="G3959" s="210"/>
      <c r="H3959" s="206" t="s">
        <v>121</v>
      </c>
      <c r="I3959" s="206" t="s">
        <v>121</v>
      </c>
      <c r="J3959" s="206" t="s">
        <v>121</v>
      </c>
      <c r="K3959" s="206" t="s">
        <v>121</v>
      </c>
      <c r="L3959" s="206" t="str">
        <v/>
      </c>
      <c r="M3959" s="206" t="str">
        <v/>
      </c>
    </row>
    <row r="3960" spans="1:13" ht="14.4">
      <c r="A3960" s="201"/>
      <c r="B3960" s="209"/>
      <c r="C3960" s="201"/>
      <c r="D3960" s="201"/>
      <c r="E3960" s="202"/>
      <c r="F3960" s="210"/>
      <c r="G3960" s="210"/>
      <c r="H3960" s="206" t="s">
        <v>121</v>
      </c>
      <c r="I3960" s="206" t="s">
        <v>121</v>
      </c>
      <c r="J3960" s="206" t="s">
        <v>121</v>
      </c>
      <c r="K3960" s="206" t="s">
        <v>121</v>
      </c>
      <c r="L3960" s="206" t="str">
        <v/>
      </c>
      <c r="M3960" s="206" t="str">
        <v/>
      </c>
    </row>
    <row r="3961" spans="1:13" ht="14.4">
      <c r="A3961" s="201"/>
      <c r="B3961" s="209"/>
      <c r="C3961" s="201"/>
      <c r="D3961" s="201"/>
      <c r="E3961" s="202"/>
      <c r="F3961" s="210"/>
      <c r="G3961" s="210"/>
      <c r="H3961" s="206" t="s">
        <v>121</v>
      </c>
      <c r="I3961" s="206" t="s">
        <v>121</v>
      </c>
      <c r="J3961" s="206" t="s">
        <v>121</v>
      </c>
      <c r="K3961" s="206" t="s">
        <v>121</v>
      </c>
      <c r="L3961" s="206" t="str">
        <v/>
      </c>
      <c r="M3961" s="206" t="str">
        <v/>
      </c>
    </row>
    <row r="3962" spans="1:13" ht="14.4">
      <c r="A3962" s="201"/>
      <c r="B3962" s="209"/>
      <c r="C3962" s="201"/>
      <c r="D3962" s="201"/>
      <c r="E3962" s="202"/>
      <c r="F3962" s="210"/>
      <c r="G3962" s="210"/>
      <c r="H3962" s="206" t="s">
        <v>121</v>
      </c>
      <c r="I3962" s="206" t="s">
        <v>121</v>
      </c>
      <c r="J3962" s="206" t="s">
        <v>121</v>
      </c>
      <c r="K3962" s="206" t="s">
        <v>121</v>
      </c>
      <c r="L3962" s="206" t="str">
        <v/>
      </c>
      <c r="M3962" s="206" t="str">
        <v/>
      </c>
    </row>
    <row r="3963" spans="1:13" ht="14.4">
      <c r="A3963" s="201"/>
      <c r="B3963" s="209"/>
      <c r="C3963" s="201"/>
      <c r="D3963" s="201"/>
      <c r="E3963" s="202"/>
      <c r="F3963" s="210"/>
      <c r="G3963" s="210"/>
      <c r="H3963" s="206" t="s">
        <v>121</v>
      </c>
      <c r="I3963" s="206" t="s">
        <v>121</v>
      </c>
      <c r="J3963" s="206" t="s">
        <v>121</v>
      </c>
      <c r="K3963" s="206" t="s">
        <v>121</v>
      </c>
      <c r="L3963" s="206" t="str">
        <v/>
      </c>
      <c r="M3963" s="206" t="str">
        <v/>
      </c>
    </row>
    <row r="3964" spans="1:13" ht="14.4">
      <c r="A3964" s="201"/>
      <c r="B3964" s="209"/>
      <c r="C3964" s="201"/>
      <c r="D3964" s="201"/>
      <c r="E3964" s="202"/>
      <c r="F3964" s="210"/>
      <c r="G3964" s="210"/>
      <c r="H3964" s="206" t="s">
        <v>121</v>
      </c>
      <c r="I3964" s="206" t="s">
        <v>121</v>
      </c>
      <c r="J3964" s="206" t="s">
        <v>121</v>
      </c>
      <c r="K3964" s="206" t="s">
        <v>121</v>
      </c>
      <c r="L3964" s="206" t="str">
        <v/>
      </c>
      <c r="M3964" s="206" t="str">
        <v/>
      </c>
    </row>
    <row r="3965" spans="1:13" ht="14.4">
      <c r="A3965" s="201"/>
      <c r="B3965" s="209"/>
      <c r="C3965" s="201"/>
      <c r="D3965" s="201"/>
      <c r="E3965" s="202"/>
      <c r="F3965" s="210"/>
      <c r="G3965" s="210"/>
      <c r="H3965" s="206" t="s">
        <v>121</v>
      </c>
      <c r="I3965" s="206" t="s">
        <v>121</v>
      </c>
      <c r="J3965" s="206" t="s">
        <v>121</v>
      </c>
      <c r="K3965" s="206" t="s">
        <v>121</v>
      </c>
      <c r="L3965" s="206" t="str">
        <v/>
      </c>
      <c r="M3965" s="206" t="str">
        <v/>
      </c>
    </row>
    <row r="3966" spans="1:13" ht="14.4">
      <c r="A3966" s="201"/>
      <c r="B3966" s="209"/>
      <c r="C3966" s="201"/>
      <c r="D3966" s="201"/>
      <c r="E3966" s="202"/>
      <c r="F3966" s="210"/>
      <c r="G3966" s="210"/>
      <c r="H3966" s="206" t="s">
        <v>121</v>
      </c>
      <c r="I3966" s="206" t="s">
        <v>121</v>
      </c>
      <c r="J3966" s="206" t="s">
        <v>121</v>
      </c>
      <c r="K3966" s="206" t="s">
        <v>121</v>
      </c>
      <c r="L3966" s="206" t="str">
        <v/>
      </c>
      <c r="M3966" s="206" t="str">
        <v/>
      </c>
    </row>
    <row r="3967" spans="1:13" ht="14.4">
      <c r="A3967" s="201"/>
      <c r="B3967" s="209"/>
      <c r="C3967" s="201"/>
      <c r="D3967" s="201"/>
      <c r="E3967" s="202"/>
      <c r="F3967" s="210"/>
      <c r="G3967" s="210"/>
      <c r="H3967" s="206" t="s">
        <v>121</v>
      </c>
      <c r="I3967" s="206" t="s">
        <v>121</v>
      </c>
      <c r="J3967" s="206" t="s">
        <v>121</v>
      </c>
      <c r="K3967" s="206" t="s">
        <v>121</v>
      </c>
      <c r="L3967" s="206" t="str">
        <v/>
      </c>
      <c r="M3967" s="206" t="str">
        <v/>
      </c>
    </row>
    <row r="3968" spans="1:13" ht="14.4">
      <c r="A3968" s="201"/>
      <c r="B3968" s="209"/>
      <c r="C3968" s="201"/>
      <c r="D3968" s="201"/>
      <c r="E3968" s="202"/>
      <c r="F3968" s="210"/>
      <c r="G3968" s="210"/>
      <c r="H3968" s="206" t="s">
        <v>121</v>
      </c>
      <c r="I3968" s="206" t="s">
        <v>121</v>
      </c>
      <c r="J3968" s="206" t="s">
        <v>121</v>
      </c>
      <c r="K3968" s="206" t="s">
        <v>121</v>
      </c>
      <c r="L3968" s="206" t="str">
        <v/>
      </c>
      <c r="M3968" s="206" t="str">
        <v/>
      </c>
    </row>
    <row r="3969" spans="1:13" ht="14.4">
      <c r="A3969" s="201"/>
      <c r="B3969" s="209"/>
      <c r="C3969" s="201"/>
      <c r="D3969" s="201"/>
      <c r="E3969" s="202"/>
      <c r="F3969" s="210"/>
      <c r="G3969" s="210"/>
      <c r="H3969" s="206" t="s">
        <v>121</v>
      </c>
      <c r="I3969" s="206" t="s">
        <v>121</v>
      </c>
      <c r="J3969" s="206" t="s">
        <v>121</v>
      </c>
      <c r="K3969" s="206" t="s">
        <v>121</v>
      </c>
      <c r="L3969" s="206" t="str">
        <v/>
      </c>
      <c r="M3969" s="206" t="str">
        <v/>
      </c>
    </row>
    <row r="3970" spans="1:13" ht="14.4">
      <c r="A3970" s="201"/>
      <c r="B3970" s="209"/>
      <c r="C3970" s="201"/>
      <c r="D3970" s="201"/>
      <c r="E3970" s="202"/>
      <c r="F3970" s="210"/>
      <c r="G3970" s="210"/>
      <c r="H3970" s="206" t="s">
        <v>121</v>
      </c>
      <c r="I3970" s="206" t="s">
        <v>121</v>
      </c>
      <c r="J3970" s="206" t="s">
        <v>121</v>
      </c>
      <c r="K3970" s="206" t="s">
        <v>121</v>
      </c>
      <c r="L3970" s="206" t="str">
        <v/>
      </c>
      <c r="M3970" s="206" t="str">
        <v/>
      </c>
    </row>
    <row r="3971" spans="1:13" ht="14.4">
      <c r="A3971" s="201"/>
      <c r="B3971" s="209"/>
      <c r="C3971" s="201"/>
      <c r="D3971" s="201"/>
      <c r="E3971" s="202"/>
      <c r="F3971" s="210"/>
      <c r="G3971" s="210"/>
      <c r="H3971" s="206" t="s">
        <v>121</v>
      </c>
      <c r="I3971" s="206" t="s">
        <v>121</v>
      </c>
      <c r="J3971" s="206" t="s">
        <v>121</v>
      </c>
      <c r="K3971" s="206" t="s">
        <v>121</v>
      </c>
      <c r="L3971" s="206" t="str">
        <v/>
      </c>
      <c r="M3971" s="206" t="str">
        <v/>
      </c>
    </row>
    <row r="3972" spans="1:13" ht="14.4">
      <c r="A3972" s="201"/>
      <c r="B3972" s="209"/>
      <c r="C3972" s="201"/>
      <c r="D3972" s="201"/>
      <c r="E3972" s="202"/>
      <c r="F3972" s="210"/>
      <c r="G3972" s="210"/>
      <c r="H3972" s="206" t="s">
        <v>121</v>
      </c>
      <c r="I3972" s="206" t="s">
        <v>121</v>
      </c>
      <c r="J3972" s="206" t="s">
        <v>121</v>
      </c>
      <c r="K3972" s="206" t="s">
        <v>121</v>
      </c>
      <c r="L3972" s="206" t="str">
        <v/>
      </c>
      <c r="M3972" s="206" t="str">
        <v/>
      </c>
    </row>
    <row r="3973" spans="1:13" ht="14.4">
      <c r="A3973" s="201"/>
      <c r="B3973" s="209"/>
      <c r="C3973" s="201"/>
      <c r="D3973" s="201"/>
      <c r="E3973" s="202"/>
      <c r="F3973" s="210"/>
      <c r="G3973" s="210"/>
      <c r="H3973" s="206" t="s">
        <v>121</v>
      </c>
      <c r="I3973" s="206" t="s">
        <v>121</v>
      </c>
      <c r="J3973" s="206" t="s">
        <v>121</v>
      </c>
      <c r="K3973" s="206" t="s">
        <v>121</v>
      </c>
      <c r="L3973" s="206" t="str">
        <v/>
      </c>
      <c r="M3973" s="206" t="str">
        <v/>
      </c>
    </row>
    <row r="3974" spans="1:13" ht="14.4">
      <c r="A3974" s="201"/>
      <c r="B3974" s="209"/>
      <c r="C3974" s="201"/>
      <c r="D3974" s="201"/>
      <c r="E3974" s="202"/>
      <c r="F3974" s="210"/>
      <c r="G3974" s="210"/>
      <c r="H3974" s="206" t="s">
        <v>121</v>
      </c>
      <c r="I3974" s="206" t="s">
        <v>121</v>
      </c>
      <c r="J3974" s="206" t="s">
        <v>121</v>
      </c>
      <c r="K3974" s="206" t="s">
        <v>121</v>
      </c>
      <c r="L3974" s="206" t="str">
        <v/>
      </c>
      <c r="M3974" s="206" t="str">
        <v/>
      </c>
    </row>
    <row r="3975" spans="1:13" ht="14.4">
      <c r="A3975" s="201"/>
      <c r="B3975" s="209"/>
      <c r="C3975" s="201"/>
      <c r="D3975" s="201"/>
      <c r="E3975" s="202"/>
      <c r="F3975" s="210"/>
      <c r="G3975" s="210"/>
      <c r="H3975" s="206" t="s">
        <v>121</v>
      </c>
      <c r="I3975" s="206" t="s">
        <v>121</v>
      </c>
      <c r="J3975" s="206" t="s">
        <v>121</v>
      </c>
      <c r="K3975" s="206" t="s">
        <v>121</v>
      </c>
      <c r="L3975" s="206" t="str">
        <v/>
      </c>
      <c r="M3975" s="206" t="str">
        <v/>
      </c>
    </row>
    <row r="3976" spans="1:13" ht="14.4">
      <c r="A3976" s="201"/>
      <c r="B3976" s="209"/>
      <c r="C3976" s="201"/>
      <c r="D3976" s="201"/>
      <c r="E3976" s="202"/>
      <c r="F3976" s="210"/>
      <c r="G3976" s="210"/>
      <c r="H3976" s="206" t="s">
        <v>121</v>
      </c>
      <c r="I3976" s="206" t="s">
        <v>121</v>
      </c>
      <c r="J3976" s="206" t="s">
        <v>121</v>
      </c>
      <c r="K3976" s="206" t="s">
        <v>121</v>
      </c>
      <c r="L3976" s="206" t="str">
        <v/>
      </c>
      <c r="M3976" s="206" t="str">
        <v/>
      </c>
    </row>
    <row r="3977" spans="1:13" ht="14.4">
      <c r="A3977" s="201"/>
      <c r="B3977" s="209"/>
      <c r="C3977" s="201"/>
      <c r="D3977" s="201"/>
      <c r="E3977" s="202"/>
      <c r="F3977" s="210"/>
      <c r="G3977" s="210"/>
      <c r="H3977" s="206" t="s">
        <v>121</v>
      </c>
      <c r="I3977" s="206" t="s">
        <v>121</v>
      </c>
      <c r="J3977" s="206" t="s">
        <v>121</v>
      </c>
      <c r="K3977" s="206" t="s">
        <v>121</v>
      </c>
      <c r="L3977" s="206" t="str">
        <v/>
      </c>
      <c r="M3977" s="206" t="str">
        <v/>
      </c>
    </row>
    <row r="3978" spans="1:13" ht="14.4">
      <c r="A3978" s="201"/>
      <c r="B3978" s="209"/>
      <c r="C3978" s="201"/>
      <c r="D3978" s="201"/>
      <c r="E3978" s="202"/>
      <c r="F3978" s="210"/>
      <c r="G3978" s="210"/>
      <c r="H3978" s="206" t="s">
        <v>121</v>
      </c>
      <c r="I3978" s="206" t="s">
        <v>121</v>
      </c>
      <c r="J3978" s="206" t="s">
        <v>121</v>
      </c>
      <c r="K3978" s="206" t="s">
        <v>121</v>
      </c>
      <c r="L3978" s="206" t="str">
        <v/>
      </c>
      <c r="M3978" s="206" t="str">
        <v/>
      </c>
    </row>
    <row r="3979" spans="1:13" ht="14.4">
      <c r="A3979" s="201"/>
      <c r="B3979" s="209"/>
      <c r="C3979" s="201"/>
      <c r="D3979" s="201"/>
      <c r="E3979" s="202"/>
      <c r="F3979" s="210"/>
      <c r="G3979" s="210"/>
      <c r="H3979" s="206" t="s">
        <v>121</v>
      </c>
      <c r="I3979" s="206" t="s">
        <v>121</v>
      </c>
      <c r="J3979" s="206" t="s">
        <v>121</v>
      </c>
      <c r="K3979" s="206" t="s">
        <v>121</v>
      </c>
      <c r="L3979" s="206" t="str">
        <v/>
      </c>
      <c r="M3979" s="206" t="str">
        <v/>
      </c>
    </row>
    <row r="3980" spans="1:13" ht="14.4">
      <c r="A3980" s="201"/>
      <c r="B3980" s="209"/>
      <c r="C3980" s="201"/>
      <c r="D3980" s="201"/>
      <c r="E3980" s="202"/>
      <c r="F3980" s="210"/>
      <c r="G3980" s="210"/>
      <c r="H3980" s="206" t="s">
        <v>121</v>
      </c>
      <c r="I3980" s="206" t="s">
        <v>121</v>
      </c>
      <c r="J3980" s="206" t="s">
        <v>121</v>
      </c>
      <c r="K3980" s="206" t="s">
        <v>121</v>
      </c>
      <c r="L3980" s="206" t="str">
        <v/>
      </c>
      <c r="M3980" s="206" t="str">
        <v/>
      </c>
    </row>
    <row r="3981" spans="1:13" ht="14.4">
      <c r="A3981" s="201"/>
      <c r="B3981" s="209"/>
      <c r="C3981" s="201"/>
      <c r="D3981" s="201"/>
      <c r="E3981" s="202"/>
      <c r="F3981" s="210"/>
      <c r="G3981" s="210"/>
      <c r="H3981" s="206" t="s">
        <v>121</v>
      </c>
      <c r="I3981" s="206" t="s">
        <v>121</v>
      </c>
      <c r="J3981" s="206" t="s">
        <v>121</v>
      </c>
      <c r="K3981" s="206" t="s">
        <v>121</v>
      </c>
      <c r="L3981" s="206" t="str">
        <v/>
      </c>
      <c r="M3981" s="206" t="str">
        <v/>
      </c>
    </row>
    <row r="3982" spans="1:13" ht="14.4">
      <c r="A3982" s="201"/>
      <c r="B3982" s="209"/>
      <c r="C3982" s="201"/>
      <c r="D3982" s="201"/>
      <c r="E3982" s="202"/>
      <c r="F3982" s="210"/>
      <c r="G3982" s="210"/>
      <c r="H3982" s="206" t="s">
        <v>121</v>
      </c>
      <c r="I3982" s="206" t="s">
        <v>121</v>
      </c>
      <c r="J3982" s="206" t="s">
        <v>121</v>
      </c>
      <c r="K3982" s="206" t="s">
        <v>121</v>
      </c>
      <c r="L3982" s="206" t="str">
        <v/>
      </c>
      <c r="M3982" s="206" t="str">
        <v/>
      </c>
    </row>
    <row r="3983" spans="1:13" ht="14.4">
      <c r="A3983" s="201"/>
      <c r="B3983" s="209"/>
      <c r="C3983" s="201"/>
      <c r="D3983" s="201"/>
      <c r="E3983" s="202"/>
      <c r="F3983" s="210"/>
      <c r="G3983" s="210"/>
      <c r="H3983" s="206" t="s">
        <v>121</v>
      </c>
      <c r="I3983" s="206" t="s">
        <v>121</v>
      </c>
      <c r="J3983" s="206" t="s">
        <v>121</v>
      </c>
      <c r="K3983" s="206" t="s">
        <v>121</v>
      </c>
      <c r="L3983" s="206" t="str">
        <v/>
      </c>
      <c r="M3983" s="206" t="str">
        <v/>
      </c>
    </row>
    <row r="3984" spans="1:13" ht="14.4">
      <c r="A3984" s="201"/>
      <c r="B3984" s="209"/>
      <c r="C3984" s="201"/>
      <c r="D3984" s="201"/>
      <c r="E3984" s="202"/>
      <c r="F3984" s="210"/>
      <c r="G3984" s="210"/>
      <c r="H3984" s="206" t="s">
        <v>121</v>
      </c>
      <c r="I3984" s="206" t="s">
        <v>121</v>
      </c>
      <c r="J3984" s="206" t="s">
        <v>121</v>
      </c>
      <c r="K3984" s="206" t="s">
        <v>121</v>
      </c>
      <c r="L3984" s="206" t="str">
        <v/>
      </c>
      <c r="M3984" s="206" t="str">
        <v/>
      </c>
    </row>
    <row r="3985" spans="1:13" ht="14.4">
      <c r="A3985" s="201"/>
      <c r="B3985" s="209"/>
      <c r="C3985" s="201"/>
      <c r="D3985" s="201"/>
      <c r="E3985" s="202"/>
      <c r="F3985" s="210"/>
      <c r="G3985" s="210"/>
      <c r="H3985" s="206" t="s">
        <v>121</v>
      </c>
      <c r="I3985" s="206" t="s">
        <v>121</v>
      </c>
      <c r="J3985" s="206" t="s">
        <v>121</v>
      </c>
      <c r="K3985" s="206" t="s">
        <v>121</v>
      </c>
      <c r="L3985" s="206" t="str">
        <v/>
      </c>
      <c r="M3985" s="206" t="str">
        <v/>
      </c>
    </row>
    <row r="3986" spans="1:13" ht="14.4">
      <c r="A3986" s="201"/>
      <c r="B3986" s="209"/>
      <c r="C3986" s="201"/>
      <c r="D3986" s="201"/>
      <c r="E3986" s="202"/>
      <c r="F3986" s="210"/>
      <c r="G3986" s="210"/>
      <c r="H3986" s="206" t="s">
        <v>121</v>
      </c>
      <c r="I3986" s="206" t="s">
        <v>121</v>
      </c>
      <c r="J3986" s="206" t="s">
        <v>121</v>
      </c>
      <c r="K3986" s="206" t="s">
        <v>121</v>
      </c>
      <c r="L3986" s="206" t="str">
        <v/>
      </c>
      <c r="M3986" s="206" t="str">
        <v/>
      </c>
    </row>
    <row r="3987" spans="1:13" ht="14.4">
      <c r="A3987" s="201"/>
      <c r="B3987" s="209"/>
      <c r="C3987" s="201"/>
      <c r="D3987" s="201"/>
      <c r="E3987" s="202"/>
      <c r="F3987" s="210"/>
      <c r="G3987" s="210"/>
      <c r="H3987" s="206" t="s">
        <v>121</v>
      </c>
      <c r="I3987" s="206" t="s">
        <v>121</v>
      </c>
      <c r="J3987" s="206" t="s">
        <v>121</v>
      </c>
      <c r="K3987" s="206" t="s">
        <v>121</v>
      </c>
      <c r="L3987" s="206" t="str">
        <v/>
      </c>
      <c r="M3987" s="206" t="str">
        <v/>
      </c>
    </row>
    <row r="3988" spans="1:13" ht="14.4">
      <c r="A3988" s="201"/>
      <c r="B3988" s="209"/>
      <c r="C3988" s="201"/>
      <c r="D3988" s="201"/>
      <c r="E3988" s="202"/>
      <c r="F3988" s="210"/>
      <c r="G3988" s="210"/>
      <c r="H3988" s="206" t="s">
        <v>121</v>
      </c>
      <c r="I3988" s="206" t="s">
        <v>121</v>
      </c>
      <c r="J3988" s="206" t="s">
        <v>121</v>
      </c>
      <c r="K3988" s="206" t="s">
        <v>121</v>
      </c>
      <c r="L3988" s="206" t="str">
        <v/>
      </c>
      <c r="M3988" s="206" t="str">
        <v/>
      </c>
    </row>
    <row r="3989" spans="1:13" ht="14.4">
      <c r="A3989" s="201"/>
      <c r="B3989" s="209"/>
      <c r="C3989" s="201"/>
      <c r="D3989" s="201"/>
      <c r="E3989" s="202"/>
      <c r="F3989" s="210"/>
      <c r="G3989" s="210"/>
      <c r="H3989" s="206" t="s">
        <v>121</v>
      </c>
      <c r="I3989" s="206" t="s">
        <v>121</v>
      </c>
      <c r="J3989" s="206" t="s">
        <v>121</v>
      </c>
      <c r="K3989" s="206" t="s">
        <v>121</v>
      </c>
      <c r="L3989" s="206" t="str">
        <v/>
      </c>
      <c r="M3989" s="206" t="str">
        <v/>
      </c>
    </row>
    <row r="3990" spans="1:13" ht="14.4">
      <c r="A3990" s="201"/>
      <c r="B3990" s="209"/>
      <c r="C3990" s="201"/>
      <c r="D3990" s="201"/>
      <c r="E3990" s="202"/>
      <c r="F3990" s="210"/>
      <c r="G3990" s="210"/>
      <c r="H3990" s="206" t="s">
        <v>121</v>
      </c>
      <c r="I3990" s="206" t="s">
        <v>121</v>
      </c>
      <c r="J3990" s="206" t="s">
        <v>121</v>
      </c>
      <c r="K3990" s="206" t="s">
        <v>121</v>
      </c>
      <c r="L3990" s="206" t="str">
        <v/>
      </c>
      <c r="M3990" s="206" t="str">
        <v/>
      </c>
    </row>
    <row r="3991" spans="1:13" ht="14.4">
      <c r="A3991" s="201"/>
      <c r="B3991" s="209"/>
      <c r="C3991" s="201"/>
      <c r="D3991" s="201"/>
      <c r="E3991" s="202"/>
      <c r="F3991" s="210"/>
      <c r="G3991" s="210"/>
      <c r="H3991" s="206" t="s">
        <v>121</v>
      </c>
      <c r="I3991" s="206" t="s">
        <v>121</v>
      </c>
      <c r="J3991" s="206" t="s">
        <v>121</v>
      </c>
      <c r="K3991" s="206" t="s">
        <v>121</v>
      </c>
      <c r="L3991" s="206" t="str">
        <v/>
      </c>
      <c r="M3991" s="206" t="str">
        <v/>
      </c>
    </row>
    <row r="3992" spans="1:13" ht="14.4">
      <c r="A3992" s="201"/>
      <c r="B3992" s="209"/>
      <c r="C3992" s="201"/>
      <c r="D3992" s="201"/>
      <c r="E3992" s="202"/>
      <c r="F3992" s="210"/>
      <c r="G3992" s="210"/>
      <c r="H3992" s="206" t="s">
        <v>121</v>
      </c>
      <c r="I3992" s="206" t="s">
        <v>121</v>
      </c>
      <c r="J3992" s="206" t="s">
        <v>121</v>
      </c>
      <c r="K3992" s="206" t="s">
        <v>121</v>
      </c>
      <c r="L3992" s="206" t="str">
        <v/>
      </c>
      <c r="M3992" s="206" t="str">
        <v/>
      </c>
    </row>
    <row r="3993" spans="1:13" ht="14.4">
      <c r="A3993" s="201"/>
      <c r="B3993" s="209"/>
      <c r="C3993" s="201"/>
      <c r="D3993" s="201"/>
      <c r="E3993" s="202"/>
      <c r="F3993" s="210"/>
      <c r="G3993" s="210"/>
      <c r="H3993" s="206" t="s">
        <v>121</v>
      </c>
      <c r="I3993" s="206" t="s">
        <v>121</v>
      </c>
      <c r="J3993" s="206" t="s">
        <v>121</v>
      </c>
      <c r="K3993" s="206" t="s">
        <v>121</v>
      </c>
      <c r="L3993" s="206" t="str">
        <v/>
      </c>
      <c r="M3993" s="206" t="str">
        <v/>
      </c>
    </row>
    <row r="3994" spans="1:13" ht="14.4">
      <c r="A3994" s="201"/>
      <c r="B3994" s="209"/>
      <c r="C3994" s="201"/>
      <c r="D3994" s="201"/>
      <c r="E3994" s="202"/>
      <c r="F3994" s="210"/>
      <c r="G3994" s="210"/>
      <c r="H3994" s="206" t="s">
        <v>121</v>
      </c>
      <c r="I3994" s="206" t="s">
        <v>121</v>
      </c>
      <c r="J3994" s="206" t="s">
        <v>121</v>
      </c>
      <c r="K3994" s="206" t="s">
        <v>121</v>
      </c>
      <c r="L3994" s="206" t="str">
        <v/>
      </c>
      <c r="M3994" s="206" t="str">
        <v/>
      </c>
    </row>
    <row r="3995" spans="1:13" ht="14.4">
      <c r="A3995" s="201"/>
      <c r="B3995" s="209"/>
      <c r="C3995" s="201"/>
      <c r="D3995" s="201"/>
      <c r="E3995" s="202"/>
      <c r="F3995" s="210"/>
      <c r="G3995" s="210"/>
      <c r="H3995" s="206" t="s">
        <v>121</v>
      </c>
      <c r="I3995" s="206" t="s">
        <v>121</v>
      </c>
      <c r="J3995" s="206" t="s">
        <v>121</v>
      </c>
      <c r="K3995" s="206" t="s">
        <v>121</v>
      </c>
      <c r="L3995" s="206" t="str">
        <v/>
      </c>
      <c r="M3995" s="206" t="str">
        <v/>
      </c>
    </row>
    <row r="3996" spans="1:13" ht="14.4">
      <c r="A3996" s="201"/>
      <c r="B3996" s="209"/>
      <c r="C3996" s="201"/>
      <c r="D3996" s="201"/>
      <c r="E3996" s="202"/>
      <c r="F3996" s="210"/>
      <c r="G3996" s="210"/>
      <c r="H3996" s="206" t="s">
        <v>121</v>
      </c>
      <c r="I3996" s="206" t="s">
        <v>121</v>
      </c>
      <c r="J3996" s="206" t="s">
        <v>121</v>
      </c>
      <c r="K3996" s="206" t="s">
        <v>121</v>
      </c>
      <c r="L3996" s="206" t="str">
        <v/>
      </c>
      <c r="M3996" s="206" t="str">
        <v/>
      </c>
    </row>
    <row r="3997" spans="1:13" ht="14.4">
      <c r="A3997" s="201"/>
      <c r="B3997" s="209"/>
      <c r="C3997" s="201"/>
      <c r="D3997" s="201"/>
      <c r="E3997" s="202"/>
      <c r="F3997" s="210"/>
      <c r="G3997" s="210"/>
      <c r="H3997" s="206" t="s">
        <v>121</v>
      </c>
      <c r="I3997" s="206" t="s">
        <v>121</v>
      </c>
      <c r="J3997" s="206" t="s">
        <v>121</v>
      </c>
      <c r="K3997" s="206" t="s">
        <v>121</v>
      </c>
      <c r="L3997" s="206" t="str">
        <v/>
      </c>
      <c r="M3997" s="206" t="str">
        <v/>
      </c>
    </row>
    <row r="3998" spans="1:13" ht="14.4">
      <c r="A3998" s="201"/>
      <c r="B3998" s="209"/>
      <c r="C3998" s="201"/>
      <c r="D3998" s="201"/>
      <c r="E3998" s="202"/>
      <c r="F3998" s="210"/>
      <c r="G3998" s="210"/>
      <c r="H3998" s="206" t="s">
        <v>121</v>
      </c>
      <c r="I3998" s="206" t="s">
        <v>121</v>
      </c>
      <c r="J3998" s="206" t="s">
        <v>121</v>
      </c>
      <c r="K3998" s="206" t="s">
        <v>121</v>
      </c>
      <c r="L3998" s="206" t="str">
        <v/>
      </c>
      <c r="M3998" s="206" t="str">
        <v/>
      </c>
    </row>
    <row r="3999" spans="1:13" ht="14.4">
      <c r="A3999" s="201"/>
      <c r="B3999" s="209"/>
      <c r="C3999" s="201"/>
      <c r="D3999" s="201"/>
      <c r="E3999" s="202"/>
      <c r="F3999" s="210"/>
      <c r="G3999" s="210"/>
      <c r="H3999" s="206" t="s">
        <v>121</v>
      </c>
      <c r="I3999" s="206" t="s">
        <v>121</v>
      </c>
      <c r="J3999" s="206" t="s">
        <v>121</v>
      </c>
      <c r="K3999" s="206" t="s">
        <v>121</v>
      </c>
      <c r="L3999" s="206" t="str">
        <v/>
      </c>
      <c r="M3999" s="206" t="str">
        <v/>
      </c>
    </row>
    <row r="4000" spans="1:13" ht="14.4">
      <c r="A4000" s="201"/>
      <c r="B4000" s="209"/>
      <c r="C4000" s="201"/>
      <c r="D4000" s="201"/>
      <c r="E4000" s="202"/>
      <c r="F4000" s="210"/>
      <c r="G4000" s="210"/>
      <c r="H4000" s="206" t="s">
        <v>121</v>
      </c>
      <c r="I4000" s="206" t="s">
        <v>121</v>
      </c>
      <c r="J4000" s="206" t="s">
        <v>121</v>
      </c>
      <c r="K4000" s="206" t="s">
        <v>121</v>
      </c>
      <c r="L4000" s="206" t="str">
        <v/>
      </c>
      <c r="M4000" s="206" t="str">
        <v/>
      </c>
    </row>
    <row r="4001" spans="1:13" ht="14.4">
      <c r="A4001" s="201"/>
      <c r="B4001" s="209"/>
      <c r="C4001" s="201"/>
      <c r="D4001" s="201"/>
      <c r="E4001" s="202"/>
      <c r="F4001" s="210"/>
      <c r="G4001" s="210"/>
      <c r="H4001" s="206" t="s">
        <v>121</v>
      </c>
      <c r="I4001" s="206" t="s">
        <v>121</v>
      </c>
      <c r="J4001" s="206" t="s">
        <v>121</v>
      </c>
      <c r="K4001" s="206" t="s">
        <v>121</v>
      </c>
      <c r="L4001" s="206" t="str">
        <v/>
      </c>
      <c r="M4001" s="206" t="str">
        <v/>
      </c>
    </row>
    <row r="4002" spans="1:13" ht="14.4">
      <c r="A4002" s="201"/>
      <c r="B4002" s="209"/>
      <c r="C4002" s="201"/>
      <c r="D4002" s="201"/>
      <c r="E4002" s="202"/>
      <c r="F4002" s="210"/>
      <c r="G4002" s="210"/>
      <c r="H4002" s="206" t="s">
        <v>121</v>
      </c>
      <c r="I4002" s="206" t="s">
        <v>121</v>
      </c>
      <c r="J4002" s="206" t="s">
        <v>121</v>
      </c>
      <c r="K4002" s="206" t="s">
        <v>121</v>
      </c>
      <c r="L4002" s="206" t="str">
        <v/>
      </c>
      <c r="M4002" s="206" t="str">
        <v/>
      </c>
    </row>
    <row r="4003" spans="1:13" ht="14.4">
      <c r="A4003" s="201"/>
      <c r="B4003" s="209"/>
      <c r="C4003" s="201"/>
      <c r="D4003" s="201"/>
      <c r="E4003" s="202"/>
      <c r="F4003" s="210"/>
      <c r="G4003" s="210"/>
      <c r="H4003" s="206" t="s">
        <v>121</v>
      </c>
      <c r="I4003" s="206" t="s">
        <v>121</v>
      </c>
      <c r="J4003" s="206" t="s">
        <v>121</v>
      </c>
      <c r="K4003" s="206" t="s">
        <v>121</v>
      </c>
      <c r="L4003" s="206" t="str">
        <v/>
      </c>
      <c r="M4003" s="206" t="str">
        <v/>
      </c>
    </row>
    <row r="4004" spans="1:13" ht="14.4">
      <c r="A4004" s="201"/>
      <c r="B4004" s="209"/>
      <c r="C4004" s="201"/>
      <c r="D4004" s="201"/>
      <c r="E4004" s="202"/>
      <c r="F4004" s="210"/>
      <c r="G4004" s="210"/>
      <c r="H4004" s="206" t="s">
        <v>121</v>
      </c>
      <c r="I4004" s="206" t="s">
        <v>121</v>
      </c>
      <c r="J4004" s="206" t="s">
        <v>121</v>
      </c>
      <c r="K4004" s="206" t="s">
        <v>121</v>
      </c>
      <c r="L4004" s="206" t="str">
        <v/>
      </c>
      <c r="M4004" s="206" t="str">
        <v/>
      </c>
    </row>
    <row r="4005" spans="1:13" ht="14.4">
      <c r="A4005" s="201"/>
      <c r="B4005" s="209"/>
      <c r="C4005" s="201"/>
      <c r="D4005" s="201"/>
      <c r="E4005" s="202"/>
      <c r="F4005" s="210"/>
      <c r="G4005" s="210"/>
      <c r="H4005" s="206" t="s">
        <v>121</v>
      </c>
      <c r="I4005" s="206" t="s">
        <v>121</v>
      </c>
      <c r="J4005" s="206" t="s">
        <v>121</v>
      </c>
      <c r="K4005" s="206" t="s">
        <v>121</v>
      </c>
      <c r="L4005" s="206" t="str">
        <v/>
      </c>
      <c r="M4005" s="206" t="str">
        <v/>
      </c>
    </row>
    <row r="4006" spans="1:13" ht="14.4">
      <c r="A4006" s="201"/>
      <c r="B4006" s="209"/>
      <c r="C4006" s="201"/>
      <c r="D4006" s="201"/>
      <c r="E4006" s="202"/>
      <c r="F4006" s="210"/>
      <c r="G4006" s="210"/>
      <c r="H4006" s="206" t="s">
        <v>121</v>
      </c>
      <c r="I4006" s="206" t="s">
        <v>121</v>
      </c>
      <c r="J4006" s="206" t="s">
        <v>121</v>
      </c>
      <c r="K4006" s="206" t="s">
        <v>121</v>
      </c>
      <c r="L4006" s="206" t="str">
        <v/>
      </c>
      <c r="M4006" s="206" t="str">
        <v/>
      </c>
    </row>
    <row r="4007" spans="1:13" ht="14.4">
      <c r="A4007" s="201"/>
      <c r="B4007" s="209"/>
      <c r="C4007" s="201"/>
      <c r="D4007" s="201"/>
      <c r="E4007" s="202"/>
      <c r="F4007" s="210"/>
      <c r="G4007" s="210"/>
      <c r="H4007" s="206" t="s">
        <v>121</v>
      </c>
      <c r="I4007" s="206" t="s">
        <v>121</v>
      </c>
      <c r="J4007" s="206" t="s">
        <v>121</v>
      </c>
      <c r="K4007" s="206" t="s">
        <v>121</v>
      </c>
      <c r="L4007" s="206" t="str">
        <v/>
      </c>
      <c r="M4007" s="206" t="str">
        <v/>
      </c>
    </row>
    <row r="4008" spans="1:13" ht="14.4">
      <c r="A4008" s="201"/>
      <c r="B4008" s="209"/>
      <c r="C4008" s="201"/>
      <c r="D4008" s="201"/>
      <c r="E4008" s="202"/>
      <c r="F4008" s="210"/>
      <c r="G4008" s="210"/>
      <c r="H4008" s="206" t="s">
        <v>121</v>
      </c>
      <c r="I4008" s="206" t="s">
        <v>121</v>
      </c>
      <c r="J4008" s="206" t="s">
        <v>121</v>
      </c>
      <c r="K4008" s="206" t="s">
        <v>121</v>
      </c>
      <c r="L4008" s="206" t="str">
        <v/>
      </c>
      <c r="M4008" s="206" t="str">
        <v/>
      </c>
    </row>
    <row r="4009" spans="1:13" ht="14.4">
      <c r="A4009" s="201"/>
      <c r="B4009" s="209"/>
      <c r="C4009" s="201"/>
      <c r="D4009" s="201"/>
      <c r="E4009" s="202"/>
      <c r="F4009" s="210"/>
      <c r="G4009" s="210"/>
      <c r="H4009" s="206" t="s">
        <v>121</v>
      </c>
      <c r="I4009" s="206" t="s">
        <v>121</v>
      </c>
      <c r="J4009" s="206" t="s">
        <v>121</v>
      </c>
      <c r="K4009" s="206" t="s">
        <v>121</v>
      </c>
      <c r="L4009" s="206" t="str">
        <v/>
      </c>
      <c r="M4009" s="206" t="str">
        <v/>
      </c>
    </row>
    <row r="4010" spans="1:13" ht="14.4">
      <c r="A4010" s="201"/>
      <c r="B4010" s="209"/>
      <c r="C4010" s="201"/>
      <c r="D4010" s="201"/>
      <c r="E4010" s="202"/>
      <c r="F4010" s="210"/>
      <c r="G4010" s="210"/>
      <c r="H4010" s="206" t="s">
        <v>121</v>
      </c>
      <c r="I4010" s="206" t="s">
        <v>121</v>
      </c>
      <c r="J4010" s="206" t="s">
        <v>121</v>
      </c>
      <c r="K4010" s="206" t="s">
        <v>121</v>
      </c>
      <c r="L4010" s="206" t="str">
        <v/>
      </c>
      <c r="M4010" s="206" t="str">
        <v/>
      </c>
    </row>
    <row r="4011" spans="1:13" ht="14.4">
      <c r="A4011" s="201"/>
      <c r="B4011" s="209"/>
      <c r="C4011" s="201"/>
      <c r="D4011" s="201"/>
      <c r="E4011" s="202"/>
      <c r="F4011" s="210"/>
      <c r="G4011" s="210"/>
      <c r="H4011" s="206" t="s">
        <v>121</v>
      </c>
      <c r="I4011" s="206" t="s">
        <v>121</v>
      </c>
      <c r="J4011" s="206" t="s">
        <v>121</v>
      </c>
      <c r="K4011" s="206" t="s">
        <v>121</v>
      </c>
      <c r="L4011" s="206" t="str">
        <v/>
      </c>
      <c r="M4011" s="206" t="str">
        <v/>
      </c>
    </row>
    <row r="4012" spans="1:13" ht="14.4">
      <c r="A4012" s="201"/>
      <c r="B4012" s="209"/>
      <c r="C4012" s="201"/>
      <c r="D4012" s="201"/>
      <c r="E4012" s="202"/>
      <c r="F4012" s="210"/>
      <c r="G4012" s="210"/>
      <c r="H4012" s="206" t="s">
        <v>121</v>
      </c>
      <c r="I4012" s="206" t="s">
        <v>121</v>
      </c>
      <c r="J4012" s="206" t="s">
        <v>121</v>
      </c>
      <c r="K4012" s="206" t="s">
        <v>121</v>
      </c>
      <c r="L4012" s="206" t="str">
        <v/>
      </c>
      <c r="M4012" s="206" t="str">
        <v/>
      </c>
    </row>
    <row r="4013" spans="1:13" ht="14.4">
      <c r="A4013" s="201"/>
      <c r="B4013" s="209"/>
      <c r="C4013" s="201"/>
      <c r="D4013" s="201"/>
      <c r="E4013" s="202"/>
      <c r="F4013" s="210"/>
      <c r="G4013" s="210"/>
      <c r="H4013" s="206" t="s">
        <v>121</v>
      </c>
      <c r="I4013" s="206" t="s">
        <v>121</v>
      </c>
      <c r="J4013" s="206" t="s">
        <v>121</v>
      </c>
      <c r="K4013" s="206" t="s">
        <v>121</v>
      </c>
      <c r="L4013" s="206" t="str">
        <v/>
      </c>
      <c r="M4013" s="206" t="str">
        <v/>
      </c>
    </row>
    <row r="4014" spans="1:13" ht="14.4">
      <c r="A4014" s="201"/>
      <c r="B4014" s="209"/>
      <c r="C4014" s="201"/>
      <c r="D4014" s="201"/>
      <c r="E4014" s="202"/>
      <c r="F4014" s="210"/>
      <c r="G4014" s="210"/>
      <c r="H4014" s="206" t="s">
        <v>121</v>
      </c>
      <c r="I4014" s="206" t="s">
        <v>121</v>
      </c>
      <c r="J4014" s="206" t="s">
        <v>121</v>
      </c>
      <c r="K4014" s="206" t="s">
        <v>121</v>
      </c>
      <c r="L4014" s="206" t="str">
        <v/>
      </c>
      <c r="M4014" s="206" t="str">
        <v/>
      </c>
    </row>
    <row r="4015" spans="1:13" ht="14.4">
      <c r="A4015" s="201"/>
      <c r="B4015" s="209"/>
      <c r="C4015" s="201"/>
      <c r="D4015" s="201"/>
      <c r="E4015" s="202"/>
      <c r="F4015" s="210"/>
      <c r="G4015" s="210"/>
      <c r="H4015" s="206" t="s">
        <v>121</v>
      </c>
      <c r="I4015" s="206" t="s">
        <v>121</v>
      </c>
      <c r="J4015" s="206" t="s">
        <v>121</v>
      </c>
      <c r="K4015" s="206" t="s">
        <v>121</v>
      </c>
      <c r="L4015" s="206" t="str">
        <v/>
      </c>
      <c r="M4015" s="206" t="str">
        <v/>
      </c>
    </row>
    <row r="4016" spans="1:13" ht="14.4">
      <c r="A4016" s="201"/>
      <c r="B4016" s="209"/>
      <c r="C4016" s="201"/>
      <c r="D4016" s="201"/>
      <c r="E4016" s="202"/>
      <c r="F4016" s="210"/>
      <c r="G4016" s="210"/>
      <c r="H4016" s="206" t="s">
        <v>121</v>
      </c>
      <c r="I4016" s="206" t="s">
        <v>121</v>
      </c>
      <c r="J4016" s="206" t="s">
        <v>121</v>
      </c>
      <c r="K4016" s="206" t="s">
        <v>121</v>
      </c>
      <c r="L4016" s="206" t="str">
        <v/>
      </c>
      <c r="M4016" s="206" t="str">
        <v/>
      </c>
    </row>
    <row r="4017" spans="1:13" ht="14.4">
      <c r="A4017" s="201"/>
      <c r="B4017" s="209"/>
      <c r="C4017" s="201"/>
      <c r="D4017" s="201"/>
      <c r="E4017" s="202"/>
      <c r="F4017" s="210"/>
      <c r="G4017" s="210"/>
      <c r="H4017" s="206" t="s">
        <v>121</v>
      </c>
      <c r="I4017" s="206" t="s">
        <v>121</v>
      </c>
      <c r="J4017" s="206" t="s">
        <v>121</v>
      </c>
      <c r="K4017" s="206" t="s">
        <v>121</v>
      </c>
      <c r="L4017" s="206" t="str">
        <v/>
      </c>
      <c r="M4017" s="206" t="str">
        <v/>
      </c>
    </row>
    <row r="4018" spans="1:13" ht="14.4">
      <c r="A4018" s="201"/>
      <c r="B4018" s="209"/>
      <c r="C4018" s="201"/>
      <c r="D4018" s="201"/>
      <c r="E4018" s="202"/>
      <c r="F4018" s="210"/>
      <c r="G4018" s="210"/>
      <c r="H4018" s="206" t="s">
        <v>121</v>
      </c>
      <c r="I4018" s="206" t="s">
        <v>121</v>
      </c>
      <c r="J4018" s="206" t="s">
        <v>121</v>
      </c>
      <c r="K4018" s="206" t="s">
        <v>121</v>
      </c>
      <c r="L4018" s="206" t="str">
        <v/>
      </c>
      <c r="M4018" s="206" t="str">
        <v/>
      </c>
    </row>
    <row r="4019" spans="1:13" ht="14.4">
      <c r="A4019" s="201"/>
      <c r="B4019" s="209"/>
      <c r="C4019" s="201"/>
      <c r="D4019" s="201"/>
      <c r="E4019" s="202"/>
      <c r="F4019" s="210"/>
      <c r="G4019" s="210"/>
      <c r="H4019" s="206" t="s">
        <v>121</v>
      </c>
      <c r="I4019" s="206" t="s">
        <v>121</v>
      </c>
      <c r="J4019" s="206" t="s">
        <v>121</v>
      </c>
      <c r="K4019" s="206" t="s">
        <v>121</v>
      </c>
      <c r="L4019" s="206" t="str">
        <v/>
      </c>
      <c r="M4019" s="206" t="str">
        <v/>
      </c>
    </row>
    <row r="4020" spans="1:13" ht="14.4">
      <c r="A4020" s="201"/>
      <c r="B4020" s="209"/>
      <c r="C4020" s="201"/>
      <c r="D4020" s="201"/>
      <c r="E4020" s="202"/>
      <c r="F4020" s="210"/>
      <c r="G4020" s="210"/>
      <c r="H4020" s="206" t="s">
        <v>121</v>
      </c>
      <c r="I4020" s="206" t="s">
        <v>121</v>
      </c>
      <c r="J4020" s="206" t="s">
        <v>121</v>
      </c>
      <c r="K4020" s="206" t="s">
        <v>121</v>
      </c>
      <c r="L4020" s="206" t="str">
        <v/>
      </c>
      <c r="M4020" s="206" t="str">
        <v/>
      </c>
    </row>
    <row r="4021" spans="1:13" ht="14.4">
      <c r="A4021" s="201"/>
      <c r="B4021" s="209"/>
      <c r="C4021" s="201"/>
      <c r="D4021" s="201"/>
      <c r="E4021" s="202"/>
      <c r="F4021" s="210"/>
      <c r="G4021" s="210"/>
      <c r="H4021" s="206" t="s">
        <v>121</v>
      </c>
      <c r="I4021" s="206" t="s">
        <v>121</v>
      </c>
      <c r="J4021" s="206" t="s">
        <v>121</v>
      </c>
      <c r="K4021" s="206" t="s">
        <v>121</v>
      </c>
      <c r="L4021" s="206" t="str">
        <v/>
      </c>
      <c r="M4021" s="206" t="str">
        <v/>
      </c>
    </row>
    <row r="4022" spans="1:13" ht="14.4">
      <c r="A4022" s="201"/>
      <c r="B4022" s="209"/>
      <c r="C4022" s="201"/>
      <c r="D4022" s="201"/>
      <c r="E4022" s="202"/>
      <c r="F4022" s="210"/>
      <c r="G4022" s="210"/>
      <c r="H4022" s="206" t="s">
        <v>121</v>
      </c>
      <c r="I4022" s="206" t="s">
        <v>121</v>
      </c>
      <c r="J4022" s="206" t="s">
        <v>121</v>
      </c>
      <c r="K4022" s="206" t="s">
        <v>121</v>
      </c>
      <c r="L4022" s="206" t="str">
        <v/>
      </c>
      <c r="M4022" s="206" t="str">
        <v/>
      </c>
    </row>
    <row r="4023" spans="1:13" ht="14.4">
      <c r="A4023" s="201"/>
      <c r="B4023" s="209"/>
      <c r="C4023" s="201"/>
      <c r="D4023" s="201"/>
      <c r="E4023" s="202"/>
      <c r="F4023" s="210"/>
      <c r="G4023" s="210"/>
      <c r="H4023" s="206" t="s">
        <v>121</v>
      </c>
      <c r="I4023" s="206" t="s">
        <v>121</v>
      </c>
      <c r="J4023" s="206" t="s">
        <v>121</v>
      </c>
      <c r="K4023" s="206" t="s">
        <v>121</v>
      </c>
      <c r="L4023" s="206" t="str">
        <v/>
      </c>
      <c r="M4023" s="206" t="str">
        <v/>
      </c>
    </row>
    <row r="4024" spans="1:13" ht="14.4">
      <c r="A4024" s="201"/>
      <c r="B4024" s="209"/>
      <c r="C4024" s="201"/>
      <c r="D4024" s="201"/>
      <c r="E4024" s="202"/>
      <c r="F4024" s="210"/>
      <c r="G4024" s="210"/>
      <c r="H4024" s="206" t="s">
        <v>121</v>
      </c>
      <c r="I4024" s="206" t="s">
        <v>121</v>
      </c>
      <c r="J4024" s="206" t="s">
        <v>121</v>
      </c>
      <c r="K4024" s="206" t="s">
        <v>121</v>
      </c>
      <c r="L4024" s="206" t="str">
        <v/>
      </c>
      <c r="M4024" s="206" t="str">
        <v/>
      </c>
    </row>
    <row r="4025" spans="1:13" ht="14.4">
      <c r="A4025" s="201"/>
      <c r="B4025" s="209"/>
      <c r="C4025" s="201"/>
      <c r="D4025" s="201"/>
      <c r="E4025" s="202"/>
      <c r="F4025" s="210"/>
      <c r="G4025" s="210"/>
      <c r="H4025" s="206" t="s">
        <v>121</v>
      </c>
      <c r="I4025" s="206" t="s">
        <v>121</v>
      </c>
      <c r="J4025" s="206" t="s">
        <v>121</v>
      </c>
      <c r="K4025" s="206" t="s">
        <v>121</v>
      </c>
      <c r="L4025" s="206" t="str">
        <v/>
      </c>
      <c r="M4025" s="206" t="str">
        <v/>
      </c>
    </row>
    <row r="4026" spans="1:13" ht="14.4">
      <c r="A4026" s="201"/>
      <c r="B4026" s="209"/>
      <c r="C4026" s="201"/>
      <c r="D4026" s="201"/>
      <c r="E4026" s="202"/>
      <c r="F4026" s="210"/>
      <c r="G4026" s="210"/>
      <c r="H4026" s="206" t="s">
        <v>121</v>
      </c>
      <c r="I4026" s="206" t="s">
        <v>121</v>
      </c>
      <c r="J4026" s="206" t="s">
        <v>121</v>
      </c>
      <c r="K4026" s="206" t="s">
        <v>121</v>
      </c>
      <c r="L4026" s="206" t="str">
        <v/>
      </c>
      <c r="M4026" s="206" t="str">
        <v/>
      </c>
    </row>
    <row r="4027" spans="1:13" ht="14.4">
      <c r="A4027" s="201"/>
      <c r="B4027" s="209"/>
      <c r="C4027" s="201"/>
      <c r="D4027" s="201"/>
      <c r="E4027" s="202"/>
      <c r="F4027" s="210"/>
      <c r="G4027" s="210"/>
      <c r="H4027" s="206" t="s">
        <v>121</v>
      </c>
      <c r="I4027" s="206" t="s">
        <v>121</v>
      </c>
      <c r="J4027" s="206" t="s">
        <v>121</v>
      </c>
      <c r="K4027" s="206" t="s">
        <v>121</v>
      </c>
      <c r="L4027" s="206" t="str">
        <v/>
      </c>
      <c r="M4027" s="206" t="str">
        <v/>
      </c>
    </row>
    <row r="4028" spans="1:13" ht="14.4">
      <c r="A4028" s="201"/>
      <c r="B4028" s="209"/>
      <c r="C4028" s="201"/>
      <c r="D4028" s="201"/>
      <c r="E4028" s="202"/>
      <c r="F4028" s="210"/>
      <c r="G4028" s="210"/>
      <c r="H4028" s="206" t="s">
        <v>121</v>
      </c>
      <c r="I4028" s="206" t="s">
        <v>121</v>
      </c>
      <c r="J4028" s="206" t="s">
        <v>121</v>
      </c>
      <c r="K4028" s="206" t="s">
        <v>121</v>
      </c>
      <c r="L4028" s="206" t="str">
        <v/>
      </c>
      <c r="M4028" s="206" t="str">
        <v/>
      </c>
    </row>
    <row r="4029" spans="1:13" ht="14.4">
      <c r="A4029" s="201"/>
      <c r="B4029" s="209"/>
      <c r="C4029" s="201"/>
      <c r="D4029" s="201"/>
      <c r="E4029" s="202"/>
      <c r="F4029" s="210"/>
      <c r="G4029" s="210"/>
      <c r="H4029" s="206" t="s">
        <v>121</v>
      </c>
      <c r="I4029" s="206" t="s">
        <v>121</v>
      </c>
      <c r="J4029" s="206" t="s">
        <v>121</v>
      </c>
      <c r="K4029" s="206" t="s">
        <v>121</v>
      </c>
      <c r="L4029" s="206" t="str">
        <v/>
      </c>
      <c r="M4029" s="206" t="str">
        <v/>
      </c>
    </row>
    <row r="4030" spans="1:13" ht="14.4">
      <c r="A4030" s="201"/>
      <c r="B4030" s="209"/>
      <c r="C4030" s="201"/>
      <c r="D4030" s="201"/>
      <c r="E4030" s="202"/>
      <c r="F4030" s="210"/>
      <c r="G4030" s="210"/>
      <c r="H4030" s="206" t="s">
        <v>121</v>
      </c>
      <c r="I4030" s="206" t="s">
        <v>121</v>
      </c>
      <c r="J4030" s="206" t="s">
        <v>121</v>
      </c>
      <c r="K4030" s="206" t="s">
        <v>121</v>
      </c>
      <c r="L4030" s="206" t="str">
        <v/>
      </c>
      <c r="M4030" s="206" t="str">
        <v/>
      </c>
    </row>
    <row r="4031" spans="1:13" ht="14.4">
      <c r="A4031" s="201"/>
      <c r="B4031" s="209"/>
      <c r="C4031" s="201"/>
      <c r="D4031" s="201"/>
      <c r="E4031" s="202"/>
      <c r="F4031" s="210"/>
      <c r="G4031" s="210"/>
      <c r="H4031" s="206" t="s">
        <v>121</v>
      </c>
      <c r="I4031" s="206" t="s">
        <v>121</v>
      </c>
      <c r="J4031" s="206" t="s">
        <v>121</v>
      </c>
      <c r="K4031" s="206" t="s">
        <v>121</v>
      </c>
      <c r="L4031" s="206" t="str">
        <v/>
      </c>
      <c r="M4031" s="206" t="str">
        <v/>
      </c>
    </row>
    <row r="4032" spans="1:13" ht="14.4">
      <c r="A4032" s="201"/>
      <c r="B4032" s="209"/>
      <c r="C4032" s="201"/>
      <c r="D4032" s="201"/>
      <c r="E4032" s="202"/>
      <c r="F4032" s="210"/>
      <c r="G4032" s="210"/>
      <c r="H4032" s="206" t="s">
        <v>121</v>
      </c>
      <c r="I4032" s="206" t="s">
        <v>121</v>
      </c>
      <c r="J4032" s="206" t="s">
        <v>121</v>
      </c>
      <c r="K4032" s="206" t="s">
        <v>121</v>
      </c>
      <c r="L4032" s="206" t="str">
        <v/>
      </c>
      <c r="M4032" s="206" t="str">
        <v/>
      </c>
    </row>
    <row r="4033" spans="1:13" ht="14.4">
      <c r="A4033" s="201"/>
      <c r="B4033" s="209"/>
      <c r="C4033" s="201"/>
      <c r="D4033" s="201"/>
      <c r="E4033" s="202"/>
      <c r="F4033" s="210"/>
      <c r="G4033" s="210"/>
      <c r="H4033" s="206" t="s">
        <v>121</v>
      </c>
      <c r="I4033" s="206" t="s">
        <v>121</v>
      </c>
      <c r="J4033" s="206" t="s">
        <v>121</v>
      </c>
      <c r="K4033" s="206" t="s">
        <v>121</v>
      </c>
      <c r="L4033" s="206" t="str">
        <v/>
      </c>
      <c r="M4033" s="206" t="str">
        <v/>
      </c>
    </row>
    <row r="4034" spans="1:13" ht="14.4">
      <c r="A4034" s="201"/>
      <c r="B4034" s="209"/>
      <c r="C4034" s="201"/>
      <c r="D4034" s="201"/>
      <c r="E4034" s="202"/>
      <c r="F4034" s="210"/>
      <c r="G4034" s="210"/>
      <c r="H4034" s="206" t="s">
        <v>121</v>
      </c>
      <c r="I4034" s="206" t="s">
        <v>121</v>
      </c>
      <c r="J4034" s="206" t="s">
        <v>121</v>
      </c>
      <c r="K4034" s="206" t="s">
        <v>121</v>
      </c>
      <c r="L4034" s="206" t="str">
        <v/>
      </c>
      <c r="M4034" s="206" t="str">
        <v/>
      </c>
    </row>
    <row r="4035" spans="1:13" ht="14.4">
      <c r="A4035" s="201"/>
      <c r="B4035" s="209"/>
      <c r="C4035" s="201"/>
      <c r="D4035" s="201"/>
      <c r="E4035" s="202"/>
      <c r="F4035" s="210"/>
      <c r="G4035" s="210"/>
      <c r="H4035" s="206" t="s">
        <v>121</v>
      </c>
      <c r="I4035" s="206" t="s">
        <v>121</v>
      </c>
      <c r="J4035" s="206" t="s">
        <v>121</v>
      </c>
      <c r="K4035" s="206" t="s">
        <v>121</v>
      </c>
      <c r="L4035" s="206" t="str">
        <v/>
      </c>
      <c r="M4035" s="206" t="str">
        <v/>
      </c>
    </row>
    <row r="4036" spans="1:13" ht="14.4">
      <c r="A4036" s="201"/>
      <c r="B4036" s="209"/>
      <c r="C4036" s="201"/>
      <c r="D4036" s="201"/>
      <c r="E4036" s="202"/>
      <c r="F4036" s="210"/>
      <c r="G4036" s="210"/>
      <c r="H4036" s="206" t="s">
        <v>121</v>
      </c>
      <c r="I4036" s="206" t="s">
        <v>121</v>
      </c>
      <c r="J4036" s="206" t="s">
        <v>121</v>
      </c>
      <c r="K4036" s="206" t="s">
        <v>121</v>
      </c>
      <c r="L4036" s="206" t="str">
        <v/>
      </c>
      <c r="M4036" s="206" t="str">
        <v/>
      </c>
    </row>
    <row r="4037" spans="1:13" ht="14.4">
      <c r="A4037" s="201"/>
      <c r="B4037" s="209"/>
      <c r="C4037" s="201"/>
      <c r="D4037" s="201"/>
      <c r="E4037" s="202"/>
      <c r="F4037" s="210"/>
      <c r="G4037" s="210"/>
      <c r="H4037" s="206" t="s">
        <v>121</v>
      </c>
      <c r="I4037" s="206" t="s">
        <v>121</v>
      </c>
      <c r="J4037" s="206" t="s">
        <v>121</v>
      </c>
      <c r="K4037" s="206" t="s">
        <v>121</v>
      </c>
      <c r="L4037" s="206" t="str">
        <v/>
      </c>
      <c r="M4037" s="206" t="str">
        <v/>
      </c>
    </row>
    <row r="4038" spans="1:13" ht="14.4">
      <c r="A4038" s="201"/>
      <c r="B4038" s="209"/>
      <c r="C4038" s="201"/>
      <c r="D4038" s="201"/>
      <c r="E4038" s="202"/>
      <c r="F4038" s="210"/>
      <c r="G4038" s="210"/>
      <c r="H4038" s="206" t="s">
        <v>121</v>
      </c>
      <c r="I4038" s="206" t="s">
        <v>121</v>
      </c>
      <c r="J4038" s="206" t="s">
        <v>121</v>
      </c>
      <c r="K4038" s="206" t="s">
        <v>121</v>
      </c>
      <c r="L4038" s="206" t="str">
        <v/>
      </c>
      <c r="M4038" s="206" t="str">
        <v/>
      </c>
    </row>
    <row r="4039" spans="1:13" ht="14.4">
      <c r="A4039" s="201"/>
      <c r="B4039" s="209"/>
      <c r="C4039" s="201"/>
      <c r="D4039" s="201"/>
      <c r="E4039" s="202"/>
      <c r="F4039" s="210"/>
      <c r="G4039" s="210"/>
      <c r="H4039" s="206" t="s">
        <v>121</v>
      </c>
      <c r="I4039" s="206" t="s">
        <v>121</v>
      </c>
      <c r="J4039" s="206" t="s">
        <v>121</v>
      </c>
      <c r="K4039" s="206" t="s">
        <v>121</v>
      </c>
      <c r="L4039" s="206" t="str">
        <v/>
      </c>
      <c r="M4039" s="206" t="str">
        <v/>
      </c>
    </row>
    <row r="4040" spans="1:13" ht="14.4">
      <c r="A4040" s="201"/>
      <c r="B4040" s="209"/>
      <c r="C4040" s="201"/>
      <c r="D4040" s="201"/>
      <c r="E4040" s="202"/>
      <c r="F4040" s="210"/>
      <c r="G4040" s="210"/>
      <c r="H4040" s="206" t="s">
        <v>121</v>
      </c>
      <c r="I4040" s="206" t="s">
        <v>121</v>
      </c>
      <c r="J4040" s="206" t="s">
        <v>121</v>
      </c>
      <c r="K4040" s="206" t="s">
        <v>121</v>
      </c>
      <c r="L4040" s="206" t="str">
        <v/>
      </c>
      <c r="M4040" s="206" t="str">
        <v/>
      </c>
    </row>
    <row r="4041" spans="1:13" ht="14.4">
      <c r="A4041" s="201"/>
      <c r="B4041" s="209"/>
      <c r="C4041" s="201"/>
      <c r="D4041" s="201"/>
      <c r="E4041" s="202"/>
      <c r="F4041" s="210"/>
      <c r="G4041" s="210"/>
      <c r="H4041" s="206" t="s">
        <v>121</v>
      </c>
      <c r="I4041" s="206" t="s">
        <v>121</v>
      </c>
      <c r="J4041" s="206" t="s">
        <v>121</v>
      </c>
      <c r="K4041" s="206" t="s">
        <v>121</v>
      </c>
      <c r="L4041" s="206" t="str">
        <v/>
      </c>
      <c r="M4041" s="206" t="str">
        <v/>
      </c>
    </row>
    <row r="4042" spans="1:13" ht="14.4">
      <c r="A4042" s="201"/>
      <c r="B4042" s="209"/>
      <c r="C4042" s="201"/>
      <c r="D4042" s="201"/>
      <c r="E4042" s="202"/>
      <c r="F4042" s="210"/>
      <c r="G4042" s="210"/>
      <c r="H4042" s="206" t="s">
        <v>121</v>
      </c>
      <c r="I4042" s="206" t="s">
        <v>121</v>
      </c>
      <c r="J4042" s="206" t="s">
        <v>121</v>
      </c>
      <c r="K4042" s="206" t="s">
        <v>121</v>
      </c>
      <c r="L4042" s="206" t="str">
        <v/>
      </c>
      <c r="M4042" s="206" t="str">
        <v/>
      </c>
    </row>
    <row r="4043" spans="1:13" ht="14.4">
      <c r="A4043" s="201"/>
      <c r="B4043" s="209"/>
      <c r="C4043" s="201"/>
      <c r="D4043" s="201"/>
      <c r="E4043" s="202"/>
      <c r="F4043" s="210"/>
      <c r="G4043" s="210"/>
      <c r="H4043" s="206" t="s">
        <v>121</v>
      </c>
      <c r="I4043" s="206" t="s">
        <v>121</v>
      </c>
      <c r="J4043" s="206" t="s">
        <v>121</v>
      </c>
      <c r="K4043" s="206" t="s">
        <v>121</v>
      </c>
      <c r="L4043" s="206" t="str">
        <v/>
      </c>
      <c r="M4043" s="206" t="str">
        <v/>
      </c>
    </row>
    <row r="4044" spans="1:13" ht="14.4">
      <c r="A4044" s="201"/>
      <c r="B4044" s="209"/>
      <c r="C4044" s="201"/>
      <c r="D4044" s="201"/>
      <c r="E4044" s="202"/>
      <c r="F4044" s="210"/>
      <c r="G4044" s="210"/>
      <c r="H4044" s="206" t="s">
        <v>121</v>
      </c>
      <c r="I4044" s="206" t="s">
        <v>121</v>
      </c>
      <c r="J4044" s="206" t="s">
        <v>121</v>
      </c>
      <c r="K4044" s="206" t="s">
        <v>121</v>
      </c>
      <c r="L4044" s="206" t="str">
        <v/>
      </c>
      <c r="M4044" s="206" t="str">
        <v/>
      </c>
    </row>
    <row r="4045" spans="1:13" ht="14.4">
      <c r="A4045" s="201"/>
      <c r="B4045" s="209"/>
      <c r="C4045" s="201"/>
      <c r="D4045" s="201"/>
      <c r="E4045" s="202"/>
      <c r="F4045" s="210"/>
      <c r="G4045" s="210"/>
      <c r="H4045" s="206" t="s">
        <v>121</v>
      </c>
      <c r="I4045" s="206" t="s">
        <v>121</v>
      </c>
      <c r="J4045" s="206" t="s">
        <v>121</v>
      </c>
      <c r="K4045" s="206" t="s">
        <v>121</v>
      </c>
      <c r="L4045" s="206" t="str">
        <v/>
      </c>
      <c r="M4045" s="206" t="str">
        <v/>
      </c>
    </row>
    <row r="4046" spans="1:13" ht="14.4">
      <c r="A4046" s="201"/>
      <c r="B4046" s="209"/>
      <c r="C4046" s="201"/>
      <c r="D4046" s="201"/>
      <c r="E4046" s="202"/>
      <c r="F4046" s="210"/>
      <c r="G4046" s="210"/>
      <c r="H4046" s="206" t="s">
        <v>121</v>
      </c>
      <c r="I4046" s="206" t="s">
        <v>121</v>
      </c>
      <c r="J4046" s="206" t="s">
        <v>121</v>
      </c>
      <c r="K4046" s="206" t="s">
        <v>121</v>
      </c>
      <c r="L4046" s="206" t="str">
        <v/>
      </c>
      <c r="M4046" s="206" t="str">
        <v/>
      </c>
    </row>
    <row r="4047" spans="1:13" ht="14.4">
      <c r="A4047" s="201"/>
      <c r="B4047" s="209"/>
      <c r="C4047" s="201"/>
      <c r="D4047" s="201"/>
      <c r="E4047" s="202"/>
      <c r="F4047" s="210"/>
      <c r="G4047" s="210"/>
      <c r="H4047" s="206" t="s">
        <v>121</v>
      </c>
      <c r="I4047" s="206" t="s">
        <v>121</v>
      </c>
      <c r="J4047" s="206" t="s">
        <v>121</v>
      </c>
      <c r="K4047" s="206" t="s">
        <v>121</v>
      </c>
      <c r="L4047" s="206" t="str">
        <v/>
      </c>
      <c r="M4047" s="206" t="str">
        <v/>
      </c>
    </row>
    <row r="4048" spans="1:13" ht="14.4">
      <c r="A4048" s="201"/>
      <c r="B4048" s="209"/>
      <c r="C4048" s="201"/>
      <c r="D4048" s="201"/>
      <c r="E4048" s="202"/>
      <c r="F4048" s="210"/>
      <c r="G4048" s="210"/>
      <c r="H4048" s="206" t="s">
        <v>121</v>
      </c>
      <c r="I4048" s="206" t="s">
        <v>121</v>
      </c>
      <c r="J4048" s="206" t="s">
        <v>121</v>
      </c>
      <c r="K4048" s="206" t="s">
        <v>121</v>
      </c>
      <c r="L4048" s="206" t="str">
        <v/>
      </c>
      <c r="M4048" s="206" t="str">
        <v/>
      </c>
    </row>
    <row r="4049" spans="1:13" ht="14.4">
      <c r="A4049" s="201"/>
      <c r="B4049" s="209"/>
      <c r="C4049" s="201"/>
      <c r="D4049" s="201"/>
      <c r="E4049" s="202"/>
      <c r="F4049" s="210"/>
      <c r="G4049" s="210"/>
      <c r="H4049" s="206" t="s">
        <v>121</v>
      </c>
      <c r="I4049" s="206" t="s">
        <v>121</v>
      </c>
      <c r="J4049" s="206" t="s">
        <v>121</v>
      </c>
      <c r="K4049" s="206" t="s">
        <v>121</v>
      </c>
      <c r="L4049" s="206" t="str">
        <v/>
      </c>
      <c r="M4049" s="206" t="str">
        <v/>
      </c>
    </row>
    <row r="4050" spans="1:13" ht="14.4">
      <c r="A4050" s="201"/>
      <c r="B4050" s="209"/>
      <c r="C4050" s="201"/>
      <c r="D4050" s="201"/>
      <c r="E4050" s="202"/>
      <c r="F4050" s="210"/>
      <c r="G4050" s="210"/>
      <c r="H4050" s="206" t="s">
        <v>121</v>
      </c>
      <c r="I4050" s="206" t="s">
        <v>121</v>
      </c>
      <c r="J4050" s="206" t="s">
        <v>121</v>
      </c>
      <c r="K4050" s="206" t="s">
        <v>121</v>
      </c>
      <c r="L4050" s="206" t="str">
        <v/>
      </c>
      <c r="M4050" s="206" t="str">
        <v/>
      </c>
    </row>
    <row r="4051" spans="1:13" ht="14.4">
      <c r="A4051" s="201"/>
      <c r="B4051" s="209"/>
      <c r="C4051" s="201"/>
      <c r="D4051" s="201"/>
      <c r="E4051" s="202"/>
      <c r="F4051" s="210"/>
      <c r="G4051" s="210"/>
      <c r="H4051" s="206" t="s">
        <v>121</v>
      </c>
      <c r="I4051" s="206" t="s">
        <v>121</v>
      </c>
      <c r="J4051" s="206" t="s">
        <v>121</v>
      </c>
      <c r="K4051" s="206" t="s">
        <v>121</v>
      </c>
      <c r="L4051" s="206" t="str">
        <v/>
      </c>
      <c r="M4051" s="206" t="str">
        <v/>
      </c>
    </row>
    <row r="4052" spans="1:13" ht="14.4">
      <c r="A4052" s="201"/>
      <c r="B4052" s="209"/>
      <c r="C4052" s="201"/>
      <c r="D4052" s="201"/>
      <c r="E4052" s="202"/>
      <c r="F4052" s="210"/>
      <c r="G4052" s="210"/>
      <c r="H4052" s="206" t="s">
        <v>121</v>
      </c>
      <c r="I4052" s="206" t="s">
        <v>121</v>
      </c>
      <c r="J4052" s="206" t="s">
        <v>121</v>
      </c>
      <c r="K4052" s="206" t="s">
        <v>121</v>
      </c>
      <c r="L4052" s="206" t="str">
        <v/>
      </c>
      <c r="M4052" s="206" t="str">
        <v/>
      </c>
    </row>
    <row r="4053" spans="1:13" ht="14.4">
      <c r="A4053" s="201"/>
      <c r="B4053" s="209"/>
      <c r="C4053" s="201"/>
      <c r="D4053" s="201"/>
      <c r="E4053" s="202"/>
      <c r="F4053" s="210"/>
      <c r="G4053" s="210"/>
      <c r="H4053" s="206" t="s">
        <v>121</v>
      </c>
      <c r="I4053" s="206" t="s">
        <v>121</v>
      </c>
      <c r="J4053" s="206" t="s">
        <v>121</v>
      </c>
      <c r="K4053" s="206" t="s">
        <v>121</v>
      </c>
      <c r="L4053" s="206" t="str">
        <v/>
      </c>
      <c r="M4053" s="206" t="str">
        <v/>
      </c>
    </row>
    <row r="4054" spans="1:13" ht="14.4">
      <c r="A4054" s="201"/>
      <c r="B4054" s="209"/>
      <c r="C4054" s="201"/>
      <c r="D4054" s="201"/>
      <c r="E4054" s="202"/>
      <c r="F4054" s="210"/>
      <c r="G4054" s="210"/>
      <c r="H4054" s="206" t="s">
        <v>121</v>
      </c>
      <c r="I4054" s="206" t="s">
        <v>121</v>
      </c>
      <c r="J4054" s="206" t="s">
        <v>121</v>
      </c>
      <c r="K4054" s="206" t="s">
        <v>121</v>
      </c>
      <c r="L4054" s="206" t="str">
        <v/>
      </c>
      <c r="M4054" s="206" t="str">
        <v/>
      </c>
    </row>
    <row r="4055" spans="1:13" ht="14.4">
      <c r="A4055" s="201"/>
      <c r="B4055" s="209"/>
      <c r="C4055" s="201"/>
      <c r="D4055" s="201"/>
      <c r="E4055" s="202"/>
      <c r="F4055" s="210"/>
      <c r="G4055" s="210"/>
      <c r="H4055" s="206" t="s">
        <v>121</v>
      </c>
      <c r="I4055" s="206" t="s">
        <v>121</v>
      </c>
      <c r="J4055" s="206" t="s">
        <v>121</v>
      </c>
      <c r="K4055" s="206" t="s">
        <v>121</v>
      </c>
      <c r="L4055" s="206" t="str">
        <v/>
      </c>
      <c r="M4055" s="206" t="str">
        <v/>
      </c>
    </row>
    <row r="4056" spans="1:13" ht="14.4">
      <c r="A4056" s="201"/>
      <c r="B4056" s="209"/>
      <c r="C4056" s="201"/>
      <c r="D4056" s="201"/>
      <c r="E4056" s="202"/>
      <c r="F4056" s="210"/>
      <c r="G4056" s="210"/>
      <c r="H4056" s="206" t="s">
        <v>121</v>
      </c>
      <c r="I4056" s="206" t="s">
        <v>121</v>
      </c>
      <c r="J4056" s="206" t="s">
        <v>121</v>
      </c>
      <c r="K4056" s="206" t="s">
        <v>121</v>
      </c>
      <c r="L4056" s="206" t="str">
        <v/>
      </c>
      <c r="M4056" s="206" t="str">
        <v/>
      </c>
    </row>
    <row r="4057" spans="1:13" ht="14.4">
      <c r="A4057" s="201"/>
      <c r="B4057" s="209"/>
      <c r="C4057" s="201"/>
      <c r="D4057" s="201"/>
      <c r="E4057" s="202"/>
      <c r="F4057" s="210"/>
      <c r="G4057" s="210"/>
      <c r="H4057" s="206" t="s">
        <v>121</v>
      </c>
      <c r="I4057" s="206" t="s">
        <v>121</v>
      </c>
      <c r="J4057" s="206" t="s">
        <v>121</v>
      </c>
      <c r="K4057" s="206" t="s">
        <v>121</v>
      </c>
      <c r="L4057" s="206" t="str">
        <v/>
      </c>
      <c r="M4057" s="206" t="str">
        <v/>
      </c>
    </row>
    <row r="4058" spans="1:13" ht="14.4">
      <c r="A4058" s="201"/>
      <c r="B4058" s="209"/>
      <c r="C4058" s="201"/>
      <c r="D4058" s="201"/>
      <c r="E4058" s="202"/>
      <c r="F4058" s="210"/>
      <c r="G4058" s="210"/>
      <c r="H4058" s="206" t="s">
        <v>121</v>
      </c>
      <c r="I4058" s="206" t="s">
        <v>121</v>
      </c>
      <c r="J4058" s="206" t="s">
        <v>121</v>
      </c>
      <c r="K4058" s="206" t="s">
        <v>121</v>
      </c>
      <c r="L4058" s="206" t="str">
        <v/>
      </c>
      <c r="M4058" s="206" t="str">
        <v/>
      </c>
    </row>
    <row r="4059" spans="1:13" ht="14.4">
      <c r="A4059" s="201"/>
      <c r="B4059" s="209"/>
      <c r="C4059" s="201"/>
      <c r="D4059" s="201"/>
      <c r="E4059" s="202"/>
      <c r="F4059" s="210"/>
      <c r="G4059" s="210"/>
      <c r="H4059" s="206" t="s">
        <v>121</v>
      </c>
      <c r="I4059" s="206" t="s">
        <v>121</v>
      </c>
      <c r="J4059" s="206" t="s">
        <v>121</v>
      </c>
      <c r="K4059" s="206" t="s">
        <v>121</v>
      </c>
      <c r="L4059" s="206" t="str">
        <v/>
      </c>
      <c r="M4059" s="206" t="str">
        <v/>
      </c>
    </row>
    <row r="4060" spans="1:13" ht="14.4">
      <c r="A4060" s="201"/>
      <c r="B4060" s="209"/>
      <c r="C4060" s="201"/>
      <c r="D4060" s="201"/>
      <c r="E4060" s="202"/>
      <c r="F4060" s="210"/>
      <c r="G4060" s="210"/>
      <c r="H4060" s="206" t="s">
        <v>121</v>
      </c>
      <c r="I4060" s="206" t="s">
        <v>121</v>
      </c>
      <c r="J4060" s="206" t="s">
        <v>121</v>
      </c>
      <c r="K4060" s="206" t="s">
        <v>121</v>
      </c>
      <c r="L4060" s="206" t="str">
        <v/>
      </c>
      <c r="M4060" s="206" t="str">
        <v/>
      </c>
    </row>
    <row r="4061" spans="1:13" ht="14.4">
      <c r="A4061" s="201"/>
      <c r="B4061" s="209"/>
      <c r="C4061" s="201"/>
      <c r="D4061" s="201"/>
      <c r="E4061" s="202"/>
      <c r="F4061" s="210"/>
      <c r="G4061" s="210"/>
      <c r="H4061" s="206" t="s">
        <v>121</v>
      </c>
      <c r="I4061" s="206" t="s">
        <v>121</v>
      </c>
      <c r="J4061" s="206" t="s">
        <v>121</v>
      </c>
      <c r="K4061" s="206" t="s">
        <v>121</v>
      </c>
      <c r="L4061" s="206" t="str">
        <v/>
      </c>
      <c r="M4061" s="206" t="str">
        <v/>
      </c>
    </row>
    <row r="4062" spans="1:13" ht="14.4">
      <c r="A4062" s="201"/>
      <c r="B4062" s="209"/>
      <c r="C4062" s="201"/>
      <c r="D4062" s="201"/>
      <c r="E4062" s="202"/>
      <c r="F4062" s="210"/>
      <c r="G4062" s="210"/>
      <c r="H4062" s="206" t="s">
        <v>121</v>
      </c>
      <c r="I4062" s="206" t="s">
        <v>121</v>
      </c>
      <c r="J4062" s="206" t="s">
        <v>121</v>
      </c>
      <c r="K4062" s="206" t="s">
        <v>121</v>
      </c>
      <c r="L4062" s="206" t="str">
        <v/>
      </c>
      <c r="M4062" s="206" t="str">
        <v/>
      </c>
    </row>
    <row r="4063" spans="1:13" ht="14.4">
      <c r="A4063" s="201"/>
      <c r="B4063" s="209"/>
      <c r="C4063" s="201"/>
      <c r="D4063" s="201"/>
      <c r="E4063" s="202"/>
      <c r="F4063" s="210"/>
      <c r="G4063" s="210"/>
      <c r="H4063" s="206" t="s">
        <v>121</v>
      </c>
      <c r="I4063" s="206" t="s">
        <v>121</v>
      </c>
      <c r="J4063" s="206" t="s">
        <v>121</v>
      </c>
      <c r="K4063" s="206" t="s">
        <v>121</v>
      </c>
      <c r="L4063" s="206" t="str">
        <v/>
      </c>
      <c r="M4063" s="206" t="str">
        <v/>
      </c>
    </row>
    <row r="4064" spans="1:13" ht="14.4">
      <c r="A4064" s="201"/>
      <c r="B4064" s="209"/>
      <c r="C4064" s="201"/>
      <c r="D4064" s="201"/>
      <c r="E4064" s="202"/>
      <c r="F4064" s="210"/>
      <c r="G4064" s="210"/>
      <c r="H4064" s="206" t="s">
        <v>121</v>
      </c>
      <c r="I4064" s="206" t="s">
        <v>121</v>
      </c>
      <c r="J4064" s="206" t="s">
        <v>121</v>
      </c>
      <c r="K4064" s="206" t="s">
        <v>121</v>
      </c>
      <c r="L4064" s="206" t="str">
        <v/>
      </c>
      <c r="M4064" s="206" t="str">
        <v/>
      </c>
    </row>
    <row r="4065" spans="1:13" ht="14.4">
      <c r="A4065" s="201"/>
      <c r="B4065" s="209"/>
      <c r="C4065" s="201"/>
      <c r="D4065" s="201"/>
      <c r="E4065" s="202"/>
      <c r="F4065" s="210"/>
      <c r="G4065" s="210"/>
      <c r="H4065" s="206" t="s">
        <v>121</v>
      </c>
      <c r="I4065" s="206" t="s">
        <v>121</v>
      </c>
      <c r="J4065" s="206" t="s">
        <v>121</v>
      </c>
      <c r="K4065" s="206" t="s">
        <v>121</v>
      </c>
      <c r="L4065" s="206" t="str">
        <v/>
      </c>
      <c r="M4065" s="206" t="str">
        <v/>
      </c>
    </row>
    <row r="4066" spans="1:13" ht="14.4">
      <c r="A4066" s="201"/>
      <c r="B4066" s="209"/>
      <c r="C4066" s="201"/>
      <c r="D4066" s="201"/>
      <c r="E4066" s="202"/>
      <c r="F4066" s="210"/>
      <c r="G4066" s="210"/>
      <c r="H4066" s="206" t="s">
        <v>121</v>
      </c>
      <c r="I4066" s="206" t="s">
        <v>121</v>
      </c>
      <c r="J4066" s="206" t="s">
        <v>121</v>
      </c>
      <c r="K4066" s="206" t="s">
        <v>121</v>
      </c>
      <c r="L4066" s="206" t="str">
        <v/>
      </c>
      <c r="M4066" s="206" t="str">
        <v/>
      </c>
    </row>
    <row r="4067" spans="1:13" ht="14.4">
      <c r="A4067" s="201"/>
      <c r="B4067" s="209"/>
      <c r="C4067" s="201"/>
      <c r="D4067" s="201"/>
      <c r="E4067" s="202"/>
      <c r="F4067" s="210"/>
      <c r="G4067" s="210"/>
      <c r="H4067" s="206" t="s">
        <v>121</v>
      </c>
      <c r="I4067" s="206" t="s">
        <v>121</v>
      </c>
      <c r="J4067" s="206" t="s">
        <v>121</v>
      </c>
      <c r="K4067" s="206" t="s">
        <v>121</v>
      </c>
      <c r="L4067" s="206" t="str">
        <v/>
      </c>
      <c r="M4067" s="206" t="str">
        <v/>
      </c>
    </row>
    <row r="4068" spans="1:13" ht="14.4">
      <c r="A4068" s="201"/>
      <c r="B4068" s="209"/>
      <c r="C4068" s="201"/>
      <c r="D4068" s="201"/>
      <c r="E4068" s="202"/>
      <c r="F4068" s="210"/>
      <c r="G4068" s="210"/>
      <c r="H4068" s="206" t="s">
        <v>121</v>
      </c>
      <c r="I4068" s="206" t="s">
        <v>121</v>
      </c>
      <c r="J4068" s="206" t="s">
        <v>121</v>
      </c>
      <c r="K4068" s="206" t="s">
        <v>121</v>
      </c>
      <c r="L4068" s="206" t="str">
        <v/>
      </c>
      <c r="M4068" s="206" t="str">
        <v/>
      </c>
    </row>
    <row r="4069" spans="1:13" ht="14.4">
      <c r="A4069" s="201"/>
      <c r="B4069" s="209"/>
      <c r="C4069" s="201"/>
      <c r="D4069" s="201"/>
      <c r="E4069" s="202"/>
      <c r="F4069" s="210"/>
      <c r="G4069" s="210"/>
      <c r="H4069" s="206" t="s">
        <v>121</v>
      </c>
      <c r="I4069" s="206" t="s">
        <v>121</v>
      </c>
      <c r="J4069" s="206" t="s">
        <v>121</v>
      </c>
      <c r="K4069" s="206" t="s">
        <v>121</v>
      </c>
      <c r="L4069" s="206" t="str">
        <v/>
      </c>
      <c r="M4069" s="206" t="str">
        <v/>
      </c>
    </row>
    <row r="4070" spans="1:13" ht="14.4">
      <c r="A4070" s="201"/>
      <c r="B4070" s="209"/>
      <c r="C4070" s="201"/>
      <c r="D4070" s="201"/>
      <c r="E4070" s="202"/>
      <c r="F4070" s="210"/>
      <c r="G4070" s="210"/>
      <c r="H4070" s="206" t="s">
        <v>121</v>
      </c>
      <c r="I4070" s="206" t="s">
        <v>121</v>
      </c>
      <c r="J4070" s="206" t="s">
        <v>121</v>
      </c>
      <c r="K4070" s="206" t="s">
        <v>121</v>
      </c>
      <c r="L4070" s="206" t="str">
        <v/>
      </c>
      <c r="M4070" s="206" t="str">
        <v/>
      </c>
    </row>
    <row r="4071" spans="1:13" ht="14.4">
      <c r="A4071" s="201"/>
      <c r="B4071" s="209"/>
      <c r="C4071" s="201"/>
      <c r="D4071" s="201"/>
      <c r="E4071" s="202"/>
      <c r="F4071" s="210"/>
      <c r="G4071" s="210"/>
      <c r="H4071" s="206" t="s">
        <v>121</v>
      </c>
      <c r="I4071" s="206" t="s">
        <v>121</v>
      </c>
      <c r="J4071" s="206" t="s">
        <v>121</v>
      </c>
      <c r="K4071" s="206" t="s">
        <v>121</v>
      </c>
      <c r="L4071" s="206" t="str">
        <v/>
      </c>
      <c r="M4071" s="206" t="str">
        <v/>
      </c>
    </row>
    <row r="4072" spans="1:13" ht="14.4">
      <c r="A4072" s="201"/>
      <c r="B4072" s="209"/>
      <c r="C4072" s="201"/>
      <c r="D4072" s="201"/>
      <c r="E4072" s="202"/>
      <c r="F4072" s="210"/>
      <c r="G4072" s="210"/>
      <c r="H4072" s="206" t="s">
        <v>121</v>
      </c>
      <c r="I4072" s="206" t="s">
        <v>121</v>
      </c>
      <c r="J4072" s="206" t="s">
        <v>121</v>
      </c>
      <c r="K4072" s="206" t="s">
        <v>121</v>
      </c>
      <c r="L4072" s="206" t="str">
        <v/>
      </c>
      <c r="M4072" s="206" t="str">
        <v/>
      </c>
    </row>
    <row r="4073" spans="1:13" ht="14.4">
      <c r="A4073" s="201"/>
      <c r="B4073" s="209"/>
      <c r="C4073" s="201"/>
      <c r="D4073" s="201"/>
      <c r="E4073" s="202"/>
      <c r="F4073" s="210"/>
      <c r="G4073" s="210"/>
      <c r="H4073" s="206" t="s">
        <v>121</v>
      </c>
      <c r="I4073" s="206" t="s">
        <v>121</v>
      </c>
      <c r="J4073" s="206" t="s">
        <v>121</v>
      </c>
      <c r="K4073" s="206" t="s">
        <v>121</v>
      </c>
      <c r="L4073" s="206" t="str">
        <v/>
      </c>
      <c r="M4073" s="206" t="str">
        <v/>
      </c>
    </row>
    <row r="4074" spans="1:13" ht="14.4">
      <c r="A4074" s="201"/>
      <c r="B4074" s="209"/>
      <c r="C4074" s="201"/>
      <c r="D4074" s="201"/>
      <c r="E4074" s="202"/>
      <c r="F4074" s="210"/>
      <c r="G4074" s="210"/>
      <c r="H4074" s="206" t="s">
        <v>121</v>
      </c>
      <c r="I4074" s="206" t="s">
        <v>121</v>
      </c>
      <c r="J4074" s="206" t="s">
        <v>121</v>
      </c>
      <c r="K4074" s="206" t="s">
        <v>121</v>
      </c>
      <c r="L4074" s="206" t="str">
        <v/>
      </c>
      <c r="M4074" s="206" t="str">
        <v/>
      </c>
    </row>
    <row r="4075" spans="1:13" ht="14.4">
      <c r="A4075" s="201"/>
      <c r="B4075" s="209"/>
      <c r="C4075" s="201"/>
      <c r="D4075" s="201"/>
      <c r="E4075" s="202"/>
      <c r="F4075" s="210"/>
      <c r="G4075" s="210"/>
      <c r="H4075" s="206" t="s">
        <v>121</v>
      </c>
      <c r="I4075" s="206" t="s">
        <v>121</v>
      </c>
      <c r="J4075" s="206" t="s">
        <v>121</v>
      </c>
      <c r="K4075" s="206" t="s">
        <v>121</v>
      </c>
      <c r="L4075" s="206" t="str">
        <v/>
      </c>
      <c r="M4075" s="206" t="str">
        <v/>
      </c>
    </row>
    <row r="4076" spans="1:13" ht="14.4">
      <c r="A4076" s="201"/>
      <c r="B4076" s="209"/>
      <c r="C4076" s="201"/>
      <c r="D4076" s="201"/>
      <c r="E4076" s="202"/>
      <c r="F4076" s="210"/>
      <c r="G4076" s="210"/>
      <c r="H4076" s="206" t="s">
        <v>121</v>
      </c>
      <c r="I4076" s="206" t="s">
        <v>121</v>
      </c>
      <c r="J4076" s="206" t="s">
        <v>121</v>
      </c>
      <c r="K4076" s="206" t="s">
        <v>121</v>
      </c>
      <c r="L4076" s="206" t="str">
        <v/>
      </c>
      <c r="M4076" s="206" t="str">
        <v/>
      </c>
    </row>
    <row r="4077" spans="1:13" ht="14.4">
      <c r="A4077" s="201"/>
      <c r="B4077" s="209"/>
      <c r="C4077" s="201"/>
      <c r="D4077" s="201"/>
      <c r="E4077" s="202"/>
      <c r="F4077" s="210"/>
      <c r="G4077" s="210"/>
      <c r="H4077" s="206" t="s">
        <v>121</v>
      </c>
      <c r="I4077" s="206" t="s">
        <v>121</v>
      </c>
      <c r="J4077" s="206" t="s">
        <v>121</v>
      </c>
      <c r="K4077" s="206" t="s">
        <v>121</v>
      </c>
      <c r="L4077" s="206" t="str">
        <v/>
      </c>
      <c r="M4077" s="206" t="str">
        <v/>
      </c>
    </row>
    <row r="4078" spans="1:13" ht="14.4">
      <c r="A4078" s="201"/>
      <c r="B4078" s="209"/>
      <c r="C4078" s="201"/>
      <c r="D4078" s="201"/>
      <c r="E4078" s="202"/>
      <c r="F4078" s="210"/>
      <c r="G4078" s="210"/>
      <c r="H4078" s="206" t="s">
        <v>121</v>
      </c>
      <c r="I4078" s="206" t="s">
        <v>121</v>
      </c>
      <c r="J4078" s="206" t="s">
        <v>121</v>
      </c>
      <c r="K4078" s="206" t="s">
        <v>121</v>
      </c>
      <c r="L4078" s="206" t="str">
        <v/>
      </c>
      <c r="M4078" s="206" t="str">
        <v/>
      </c>
    </row>
    <row r="4079" spans="1:13" ht="14.4">
      <c r="A4079" s="201"/>
      <c r="B4079" s="209"/>
      <c r="C4079" s="201"/>
      <c r="D4079" s="201"/>
      <c r="E4079" s="202"/>
      <c r="F4079" s="210"/>
      <c r="G4079" s="210"/>
      <c r="H4079" s="206" t="s">
        <v>121</v>
      </c>
      <c r="I4079" s="206" t="s">
        <v>121</v>
      </c>
      <c r="J4079" s="206" t="s">
        <v>121</v>
      </c>
      <c r="K4079" s="206" t="s">
        <v>121</v>
      </c>
      <c r="L4079" s="206" t="str">
        <v/>
      </c>
      <c r="M4079" s="206" t="str">
        <v/>
      </c>
    </row>
    <row r="4080" spans="1:13" ht="14.4">
      <c r="A4080" s="201"/>
      <c r="B4080" s="209"/>
      <c r="C4080" s="201"/>
      <c r="D4080" s="201"/>
      <c r="E4080" s="202"/>
      <c r="F4080" s="210"/>
      <c r="G4080" s="210"/>
      <c r="H4080" s="206" t="s">
        <v>121</v>
      </c>
      <c r="I4080" s="206" t="s">
        <v>121</v>
      </c>
      <c r="J4080" s="206" t="s">
        <v>121</v>
      </c>
      <c r="K4080" s="206" t="s">
        <v>121</v>
      </c>
      <c r="L4080" s="206" t="str">
        <v/>
      </c>
      <c r="M4080" s="206" t="str">
        <v/>
      </c>
    </row>
    <row r="4081" spans="1:13" ht="14.4">
      <c r="A4081" s="201"/>
      <c r="B4081" s="209"/>
      <c r="C4081" s="201"/>
      <c r="D4081" s="201"/>
      <c r="E4081" s="202"/>
      <c r="F4081" s="210"/>
      <c r="G4081" s="210"/>
      <c r="H4081" s="206" t="s">
        <v>121</v>
      </c>
      <c r="I4081" s="206" t="s">
        <v>121</v>
      </c>
      <c r="J4081" s="206" t="s">
        <v>121</v>
      </c>
      <c r="K4081" s="206" t="s">
        <v>121</v>
      </c>
      <c r="L4081" s="206" t="str">
        <v/>
      </c>
      <c r="M4081" s="206" t="str">
        <v/>
      </c>
    </row>
    <row r="4082" spans="1:13" ht="14.4">
      <c r="A4082" s="201"/>
      <c r="B4082" s="209"/>
      <c r="C4082" s="201"/>
      <c r="D4082" s="201"/>
      <c r="E4082" s="202"/>
      <c r="F4082" s="210"/>
      <c r="G4082" s="210"/>
      <c r="H4082" s="206" t="s">
        <v>121</v>
      </c>
      <c r="I4082" s="206" t="s">
        <v>121</v>
      </c>
      <c r="J4082" s="206" t="s">
        <v>121</v>
      </c>
      <c r="K4082" s="206" t="s">
        <v>121</v>
      </c>
      <c r="L4082" s="206" t="str">
        <v/>
      </c>
      <c r="M4082" s="206" t="str">
        <v/>
      </c>
    </row>
    <row r="4083" spans="1:13" ht="14.4">
      <c r="A4083" s="201"/>
      <c r="B4083" s="209"/>
      <c r="C4083" s="201"/>
      <c r="D4083" s="201"/>
      <c r="E4083" s="202"/>
      <c r="F4083" s="210"/>
      <c r="G4083" s="210"/>
      <c r="H4083" s="206" t="s">
        <v>121</v>
      </c>
      <c r="I4083" s="206" t="s">
        <v>121</v>
      </c>
      <c r="J4083" s="206" t="s">
        <v>121</v>
      </c>
      <c r="K4083" s="206" t="s">
        <v>121</v>
      </c>
      <c r="L4083" s="206" t="str">
        <v/>
      </c>
      <c r="M4083" s="206" t="str">
        <v/>
      </c>
    </row>
    <row r="4084" spans="1:13" ht="14.4">
      <c r="A4084" s="201"/>
      <c r="B4084" s="209"/>
      <c r="C4084" s="201"/>
      <c r="D4084" s="201"/>
      <c r="E4084" s="202"/>
      <c r="F4084" s="210"/>
      <c r="G4084" s="210"/>
      <c r="H4084" s="206" t="s">
        <v>121</v>
      </c>
      <c r="I4084" s="206" t="s">
        <v>121</v>
      </c>
      <c r="J4084" s="206" t="s">
        <v>121</v>
      </c>
      <c r="K4084" s="206" t="s">
        <v>121</v>
      </c>
      <c r="L4084" s="206" t="str">
        <v/>
      </c>
      <c r="M4084" s="206" t="str">
        <v/>
      </c>
    </row>
    <row r="4085" spans="1:13" ht="14.4">
      <c r="A4085" s="201"/>
      <c r="B4085" s="209"/>
      <c r="C4085" s="201"/>
      <c r="D4085" s="201"/>
      <c r="E4085" s="202"/>
      <c r="F4085" s="210"/>
      <c r="G4085" s="210"/>
      <c r="H4085" s="206" t="s">
        <v>121</v>
      </c>
      <c r="I4085" s="206" t="s">
        <v>121</v>
      </c>
      <c r="J4085" s="206" t="s">
        <v>121</v>
      </c>
      <c r="K4085" s="206" t="s">
        <v>121</v>
      </c>
      <c r="L4085" s="206" t="str">
        <v/>
      </c>
      <c r="M4085" s="206" t="str">
        <v/>
      </c>
    </row>
    <row r="4086" spans="1:13" ht="14.4">
      <c r="A4086" s="201"/>
      <c r="B4086" s="209"/>
      <c r="C4086" s="201"/>
      <c r="D4086" s="201"/>
      <c r="E4086" s="202"/>
      <c r="F4086" s="210"/>
      <c r="G4086" s="210"/>
      <c r="H4086" s="206" t="s">
        <v>121</v>
      </c>
      <c r="I4086" s="206" t="s">
        <v>121</v>
      </c>
      <c r="J4086" s="206" t="s">
        <v>121</v>
      </c>
      <c r="K4086" s="206" t="s">
        <v>121</v>
      </c>
      <c r="L4086" s="206" t="str">
        <v/>
      </c>
      <c r="M4086" s="206" t="str">
        <v/>
      </c>
    </row>
    <row r="4087" spans="1:13" ht="14.4">
      <c r="A4087" s="201"/>
      <c r="B4087" s="209"/>
      <c r="C4087" s="201"/>
      <c r="D4087" s="201"/>
      <c r="E4087" s="202"/>
      <c r="F4087" s="210"/>
      <c r="G4087" s="210"/>
      <c r="H4087" s="206" t="s">
        <v>121</v>
      </c>
      <c r="I4087" s="206" t="s">
        <v>121</v>
      </c>
      <c r="J4087" s="206" t="s">
        <v>121</v>
      </c>
      <c r="K4087" s="206" t="s">
        <v>121</v>
      </c>
      <c r="L4087" s="206" t="str">
        <v/>
      </c>
      <c r="M4087" s="206" t="str">
        <v/>
      </c>
    </row>
    <row r="4088" spans="1:13" ht="14.4">
      <c r="A4088" s="201"/>
      <c r="B4088" s="209"/>
      <c r="C4088" s="201"/>
      <c r="D4088" s="201"/>
      <c r="E4088" s="202"/>
      <c r="F4088" s="210"/>
      <c r="G4088" s="210"/>
      <c r="H4088" s="206" t="s">
        <v>121</v>
      </c>
      <c r="I4088" s="206" t="s">
        <v>121</v>
      </c>
      <c r="J4088" s="206" t="s">
        <v>121</v>
      </c>
      <c r="K4088" s="206" t="s">
        <v>121</v>
      </c>
      <c r="L4088" s="206" t="str">
        <v/>
      </c>
      <c r="M4088" s="206" t="str">
        <v/>
      </c>
    </row>
    <row r="4089" spans="1:13" ht="14.4">
      <c r="A4089" s="201"/>
      <c r="B4089" s="209"/>
      <c r="C4089" s="201"/>
      <c r="D4089" s="201"/>
      <c r="E4089" s="202"/>
      <c r="F4089" s="210"/>
      <c r="G4089" s="210"/>
      <c r="H4089" s="206" t="s">
        <v>121</v>
      </c>
      <c r="I4089" s="206" t="s">
        <v>121</v>
      </c>
      <c r="J4089" s="206" t="s">
        <v>121</v>
      </c>
      <c r="K4089" s="206" t="s">
        <v>121</v>
      </c>
      <c r="L4089" s="206" t="str">
        <v/>
      </c>
      <c r="M4089" s="206" t="str">
        <v/>
      </c>
    </row>
    <row r="4090" spans="1:13" ht="14.4">
      <c r="A4090" s="201"/>
      <c r="B4090" s="209"/>
      <c r="C4090" s="201"/>
      <c r="D4090" s="201"/>
      <c r="E4090" s="202"/>
      <c r="F4090" s="210"/>
      <c r="G4090" s="210"/>
      <c r="H4090" s="206" t="s">
        <v>121</v>
      </c>
      <c r="I4090" s="206" t="s">
        <v>121</v>
      </c>
      <c r="J4090" s="206" t="s">
        <v>121</v>
      </c>
      <c r="K4090" s="206" t="s">
        <v>121</v>
      </c>
      <c r="L4090" s="206" t="str">
        <v/>
      </c>
      <c r="M4090" s="206" t="str">
        <v/>
      </c>
    </row>
    <row r="4091" spans="1:13" ht="14.4">
      <c r="A4091" s="201"/>
      <c r="B4091" s="209"/>
      <c r="C4091" s="201"/>
      <c r="D4091" s="201"/>
      <c r="E4091" s="202"/>
      <c r="F4091" s="210"/>
      <c r="G4091" s="210"/>
      <c r="H4091" s="206" t="s">
        <v>121</v>
      </c>
      <c r="I4091" s="206" t="s">
        <v>121</v>
      </c>
      <c r="J4091" s="206" t="s">
        <v>121</v>
      </c>
      <c r="K4091" s="206" t="s">
        <v>121</v>
      </c>
      <c r="L4091" s="206" t="str">
        <v/>
      </c>
      <c r="M4091" s="206" t="str">
        <v/>
      </c>
    </row>
    <row r="4092" spans="1:13" ht="14.4">
      <c r="A4092" s="201"/>
      <c r="B4092" s="209"/>
      <c r="C4092" s="201"/>
      <c r="D4092" s="201"/>
      <c r="E4092" s="202"/>
      <c r="F4092" s="210"/>
      <c r="G4092" s="210"/>
      <c r="H4092" s="206" t="s">
        <v>121</v>
      </c>
      <c r="I4092" s="206" t="s">
        <v>121</v>
      </c>
      <c r="J4092" s="206" t="s">
        <v>121</v>
      </c>
      <c r="K4092" s="206" t="s">
        <v>121</v>
      </c>
      <c r="L4092" s="206" t="str">
        <v/>
      </c>
      <c r="M4092" s="206" t="str">
        <v/>
      </c>
    </row>
    <row r="4093" spans="1:13" ht="14.4">
      <c r="A4093" s="201"/>
      <c r="B4093" s="209"/>
      <c r="C4093" s="201"/>
      <c r="D4093" s="201"/>
      <c r="E4093" s="202"/>
      <c r="F4093" s="210"/>
      <c r="G4093" s="210"/>
      <c r="H4093" s="206" t="s">
        <v>121</v>
      </c>
      <c r="I4093" s="206" t="s">
        <v>121</v>
      </c>
      <c r="J4093" s="206" t="s">
        <v>121</v>
      </c>
      <c r="K4093" s="206" t="s">
        <v>121</v>
      </c>
      <c r="L4093" s="206" t="str">
        <v/>
      </c>
      <c r="M4093" s="206" t="str">
        <v/>
      </c>
    </row>
    <row r="4094" spans="1:13" ht="14.4">
      <c r="A4094" s="201"/>
      <c r="B4094" s="209"/>
      <c r="C4094" s="201"/>
      <c r="D4094" s="201"/>
      <c r="E4094" s="202"/>
      <c r="F4094" s="210"/>
      <c r="G4094" s="210"/>
      <c r="H4094" s="206" t="s">
        <v>121</v>
      </c>
      <c r="I4094" s="206" t="s">
        <v>121</v>
      </c>
      <c r="J4094" s="206" t="s">
        <v>121</v>
      </c>
      <c r="K4094" s="206" t="s">
        <v>121</v>
      </c>
      <c r="L4094" s="206" t="str">
        <v/>
      </c>
      <c r="M4094" s="206" t="str">
        <v/>
      </c>
    </row>
    <row r="4095" spans="1:13" ht="14.4">
      <c r="A4095" s="201"/>
      <c r="B4095" s="209"/>
      <c r="C4095" s="201"/>
      <c r="D4095" s="201"/>
      <c r="E4095" s="202"/>
      <c r="F4095" s="210"/>
      <c r="G4095" s="210"/>
      <c r="H4095" s="206" t="s">
        <v>121</v>
      </c>
      <c r="I4095" s="206" t="s">
        <v>121</v>
      </c>
      <c r="J4095" s="206" t="s">
        <v>121</v>
      </c>
      <c r="K4095" s="206" t="s">
        <v>121</v>
      </c>
      <c r="L4095" s="206" t="str">
        <v/>
      </c>
      <c r="M4095" s="206" t="str">
        <v/>
      </c>
    </row>
    <row r="4096" spans="1:13" ht="14.4">
      <c r="A4096" s="201"/>
      <c r="B4096" s="209"/>
      <c r="C4096" s="201"/>
      <c r="D4096" s="201"/>
      <c r="E4096" s="202"/>
      <c r="F4096" s="210"/>
      <c r="G4096" s="210"/>
      <c r="H4096" s="206" t="s">
        <v>121</v>
      </c>
      <c r="I4096" s="206" t="s">
        <v>121</v>
      </c>
      <c r="J4096" s="206" t="s">
        <v>121</v>
      </c>
      <c r="K4096" s="206" t="s">
        <v>121</v>
      </c>
      <c r="L4096" s="206" t="str">
        <v/>
      </c>
      <c r="M4096" s="206" t="str">
        <v/>
      </c>
    </row>
    <row r="4097" spans="1:13" ht="14.4">
      <c r="A4097" s="201"/>
      <c r="B4097" s="209"/>
      <c r="C4097" s="201"/>
      <c r="D4097" s="201"/>
      <c r="E4097" s="202"/>
      <c r="F4097" s="210"/>
      <c r="G4097" s="210"/>
      <c r="H4097" s="206" t="s">
        <v>121</v>
      </c>
      <c r="I4097" s="206" t="s">
        <v>121</v>
      </c>
      <c r="J4097" s="206" t="s">
        <v>121</v>
      </c>
      <c r="K4097" s="206" t="s">
        <v>121</v>
      </c>
      <c r="L4097" s="206" t="str">
        <v/>
      </c>
      <c r="M4097" s="206" t="str">
        <v/>
      </c>
    </row>
    <row r="4098" spans="1:13" ht="14.4">
      <c r="A4098" s="201"/>
      <c r="B4098" s="209"/>
      <c r="C4098" s="201"/>
      <c r="D4098" s="201"/>
      <c r="E4098" s="202"/>
      <c r="F4098" s="210"/>
      <c r="G4098" s="210"/>
      <c r="H4098" s="206" t="s">
        <v>121</v>
      </c>
      <c r="I4098" s="206" t="s">
        <v>121</v>
      </c>
      <c r="J4098" s="206" t="s">
        <v>121</v>
      </c>
      <c r="K4098" s="206" t="s">
        <v>121</v>
      </c>
      <c r="L4098" s="206" t="str">
        <v/>
      </c>
      <c r="M4098" s="206" t="str">
        <v/>
      </c>
    </row>
    <row r="4099" spans="1:13" ht="14.4">
      <c r="A4099" s="201"/>
      <c r="B4099" s="209"/>
      <c r="C4099" s="201"/>
      <c r="D4099" s="201"/>
      <c r="E4099" s="202"/>
      <c r="F4099" s="210"/>
      <c r="G4099" s="210"/>
      <c r="H4099" s="206" t="s">
        <v>121</v>
      </c>
      <c r="I4099" s="206" t="s">
        <v>121</v>
      </c>
      <c r="J4099" s="206" t="s">
        <v>121</v>
      </c>
      <c r="K4099" s="206" t="s">
        <v>121</v>
      </c>
      <c r="L4099" s="206" t="str">
        <v/>
      </c>
      <c r="M4099" s="206" t="str">
        <v/>
      </c>
    </row>
    <row r="4100" spans="1:13" ht="14.4">
      <c r="A4100" s="201"/>
      <c r="B4100" s="209"/>
      <c r="C4100" s="201"/>
      <c r="D4100" s="201"/>
      <c r="E4100" s="202"/>
      <c r="F4100" s="210"/>
      <c r="G4100" s="210"/>
      <c r="H4100" s="206" t="s">
        <v>121</v>
      </c>
      <c r="I4100" s="206" t="s">
        <v>121</v>
      </c>
      <c r="J4100" s="206" t="s">
        <v>121</v>
      </c>
      <c r="K4100" s="206" t="s">
        <v>121</v>
      </c>
      <c r="L4100" s="206" t="str">
        <v/>
      </c>
      <c r="M4100" s="206" t="str">
        <v/>
      </c>
    </row>
    <row r="4101" spans="1:13" ht="14.4">
      <c r="A4101" s="201"/>
      <c r="B4101" s="209"/>
      <c r="C4101" s="201"/>
      <c r="D4101" s="201"/>
      <c r="E4101" s="202"/>
      <c r="F4101" s="210"/>
      <c r="G4101" s="210"/>
      <c r="H4101" s="206" t="s">
        <v>121</v>
      </c>
      <c r="I4101" s="206" t="s">
        <v>121</v>
      </c>
      <c r="J4101" s="206" t="s">
        <v>121</v>
      </c>
      <c r="K4101" s="206" t="s">
        <v>121</v>
      </c>
      <c r="L4101" s="206" t="str">
        <v/>
      </c>
      <c r="M4101" s="206" t="str">
        <v/>
      </c>
    </row>
    <row r="4102" spans="1:13" ht="14.4">
      <c r="A4102" s="201"/>
      <c r="B4102" s="209"/>
      <c r="C4102" s="201"/>
      <c r="D4102" s="201"/>
      <c r="E4102" s="202"/>
      <c r="F4102" s="210"/>
      <c r="G4102" s="210"/>
      <c r="H4102" s="206" t="s">
        <v>121</v>
      </c>
      <c r="I4102" s="206" t="s">
        <v>121</v>
      </c>
      <c r="J4102" s="206" t="s">
        <v>121</v>
      </c>
      <c r="K4102" s="206" t="s">
        <v>121</v>
      </c>
      <c r="L4102" s="206" t="str">
        <v/>
      </c>
      <c r="M4102" s="206" t="str">
        <v/>
      </c>
    </row>
    <row r="4103" spans="1:13" ht="14.4">
      <c r="A4103" s="201"/>
      <c r="B4103" s="209"/>
      <c r="C4103" s="201"/>
      <c r="D4103" s="201"/>
      <c r="E4103" s="202"/>
      <c r="F4103" s="210"/>
      <c r="G4103" s="210"/>
      <c r="H4103" s="206" t="s">
        <v>121</v>
      </c>
      <c r="I4103" s="206" t="s">
        <v>121</v>
      </c>
      <c r="J4103" s="206" t="s">
        <v>121</v>
      </c>
      <c r="K4103" s="206" t="s">
        <v>121</v>
      </c>
      <c r="L4103" s="206" t="str">
        <v/>
      </c>
      <c r="M4103" s="206" t="str">
        <v/>
      </c>
    </row>
    <row r="4104" spans="1:13" ht="14.4">
      <c r="A4104" s="201"/>
      <c r="B4104" s="209"/>
      <c r="C4104" s="201"/>
      <c r="D4104" s="201"/>
      <c r="E4104" s="202"/>
      <c r="F4104" s="210"/>
      <c r="G4104" s="210"/>
      <c r="H4104" s="206" t="s">
        <v>121</v>
      </c>
      <c r="I4104" s="206" t="s">
        <v>121</v>
      </c>
      <c r="J4104" s="206" t="s">
        <v>121</v>
      </c>
      <c r="K4104" s="206" t="s">
        <v>121</v>
      </c>
      <c r="L4104" s="206" t="str">
        <v/>
      </c>
      <c r="M4104" s="206" t="str">
        <v/>
      </c>
    </row>
    <row r="4105" spans="1:13" ht="14.4">
      <c r="A4105" s="201"/>
      <c r="B4105" s="209"/>
      <c r="C4105" s="201"/>
      <c r="D4105" s="201"/>
      <c r="E4105" s="202"/>
      <c r="F4105" s="210"/>
      <c r="G4105" s="210"/>
      <c r="H4105" s="206" t="s">
        <v>121</v>
      </c>
      <c r="I4105" s="206" t="s">
        <v>121</v>
      </c>
      <c r="J4105" s="206" t="s">
        <v>121</v>
      </c>
      <c r="K4105" s="206" t="s">
        <v>121</v>
      </c>
      <c r="L4105" s="206" t="str">
        <v/>
      </c>
      <c r="M4105" s="206" t="str">
        <v/>
      </c>
    </row>
    <row r="4106" spans="1:13" ht="14.4">
      <c r="A4106" s="201"/>
      <c r="B4106" s="209"/>
      <c r="C4106" s="201"/>
      <c r="D4106" s="201"/>
      <c r="E4106" s="202"/>
      <c r="F4106" s="210"/>
      <c r="G4106" s="210"/>
      <c r="H4106" s="206" t="s">
        <v>121</v>
      </c>
      <c r="I4106" s="206" t="s">
        <v>121</v>
      </c>
      <c r="J4106" s="206" t="s">
        <v>121</v>
      </c>
      <c r="K4106" s="206" t="s">
        <v>121</v>
      </c>
      <c r="L4106" s="206" t="str">
        <v/>
      </c>
      <c r="M4106" s="206" t="str">
        <v/>
      </c>
    </row>
    <row r="4107" spans="1:13" ht="14.4">
      <c r="A4107" s="201"/>
      <c r="B4107" s="209"/>
      <c r="C4107" s="201"/>
      <c r="D4107" s="201"/>
      <c r="E4107" s="202"/>
      <c r="F4107" s="210"/>
      <c r="G4107" s="210"/>
      <c r="H4107" s="206" t="s">
        <v>121</v>
      </c>
      <c r="I4107" s="206" t="s">
        <v>121</v>
      </c>
      <c r="J4107" s="206" t="s">
        <v>121</v>
      </c>
      <c r="K4107" s="206" t="s">
        <v>121</v>
      </c>
      <c r="L4107" s="206" t="str">
        <v/>
      </c>
      <c r="M4107" s="206" t="str">
        <v/>
      </c>
    </row>
    <row r="4108" spans="1:13" ht="14.4">
      <c r="A4108" s="201"/>
      <c r="B4108" s="209"/>
      <c r="C4108" s="201"/>
      <c r="D4108" s="201"/>
      <c r="E4108" s="202"/>
      <c r="F4108" s="210"/>
      <c r="G4108" s="210"/>
      <c r="H4108" s="206" t="s">
        <v>121</v>
      </c>
      <c r="I4108" s="206" t="s">
        <v>121</v>
      </c>
      <c r="J4108" s="206" t="s">
        <v>121</v>
      </c>
      <c r="K4108" s="206" t="s">
        <v>121</v>
      </c>
      <c r="L4108" s="206" t="str">
        <v/>
      </c>
      <c r="M4108" s="206" t="str">
        <v/>
      </c>
    </row>
    <row r="4109" spans="1:13" ht="14.4">
      <c r="A4109" s="201"/>
      <c r="B4109" s="209"/>
      <c r="C4109" s="201"/>
      <c r="D4109" s="201"/>
      <c r="E4109" s="202"/>
      <c r="F4109" s="210"/>
      <c r="G4109" s="210"/>
      <c r="H4109" s="206" t="s">
        <v>121</v>
      </c>
      <c r="I4109" s="206" t="s">
        <v>121</v>
      </c>
      <c r="J4109" s="206" t="s">
        <v>121</v>
      </c>
      <c r="K4109" s="206" t="s">
        <v>121</v>
      </c>
      <c r="L4109" s="206" t="str">
        <v/>
      </c>
      <c r="M4109" s="206" t="str">
        <v/>
      </c>
    </row>
    <row r="4110" spans="1:13" ht="14.4">
      <c r="A4110" s="201"/>
      <c r="B4110" s="209"/>
      <c r="C4110" s="201"/>
      <c r="D4110" s="201"/>
      <c r="E4110" s="202"/>
      <c r="F4110" s="210"/>
      <c r="G4110" s="210"/>
      <c r="H4110" s="206" t="s">
        <v>121</v>
      </c>
      <c r="I4110" s="206" t="s">
        <v>121</v>
      </c>
      <c r="J4110" s="206" t="s">
        <v>121</v>
      </c>
      <c r="K4110" s="206" t="s">
        <v>121</v>
      </c>
      <c r="L4110" s="206" t="str">
        <v/>
      </c>
      <c r="M4110" s="206" t="str">
        <v/>
      </c>
    </row>
    <row r="4111" spans="1:13" ht="14.4">
      <c r="A4111" s="201"/>
      <c r="B4111" s="209"/>
      <c r="C4111" s="201"/>
      <c r="D4111" s="201"/>
      <c r="E4111" s="202"/>
      <c r="F4111" s="210"/>
      <c r="G4111" s="210"/>
      <c r="H4111" s="206" t="s">
        <v>121</v>
      </c>
      <c r="I4111" s="206" t="s">
        <v>121</v>
      </c>
      <c r="J4111" s="206" t="s">
        <v>121</v>
      </c>
      <c r="K4111" s="206" t="s">
        <v>121</v>
      </c>
      <c r="L4111" s="206" t="str">
        <v/>
      </c>
      <c r="M4111" s="206" t="str">
        <v/>
      </c>
    </row>
    <row r="4112" spans="1:13" ht="14.4">
      <c r="A4112" s="201"/>
      <c r="B4112" s="209"/>
      <c r="C4112" s="201"/>
      <c r="D4112" s="201"/>
      <c r="E4112" s="202"/>
      <c r="F4112" s="210"/>
      <c r="G4112" s="210"/>
      <c r="H4112" s="206" t="s">
        <v>121</v>
      </c>
      <c r="I4112" s="206" t="s">
        <v>121</v>
      </c>
      <c r="J4112" s="206" t="s">
        <v>121</v>
      </c>
      <c r="K4112" s="206" t="s">
        <v>121</v>
      </c>
      <c r="L4112" s="206" t="str">
        <v/>
      </c>
      <c r="M4112" s="206" t="str">
        <v/>
      </c>
    </row>
    <row r="4113" spans="1:13" ht="14.4">
      <c r="A4113" s="201"/>
      <c r="B4113" s="209"/>
      <c r="C4113" s="201"/>
      <c r="D4113" s="201"/>
      <c r="E4113" s="202"/>
      <c r="F4113" s="210"/>
      <c r="G4113" s="210"/>
      <c r="H4113" s="206" t="s">
        <v>121</v>
      </c>
      <c r="I4113" s="206" t="s">
        <v>121</v>
      </c>
      <c r="J4113" s="206" t="s">
        <v>121</v>
      </c>
      <c r="K4113" s="206" t="s">
        <v>121</v>
      </c>
      <c r="L4113" s="206" t="str">
        <v/>
      </c>
      <c r="M4113" s="206" t="str">
        <v/>
      </c>
    </row>
    <row r="4114" spans="1:13" ht="14.4">
      <c r="A4114" s="201"/>
      <c r="B4114" s="209"/>
      <c r="C4114" s="201"/>
      <c r="D4114" s="201"/>
      <c r="E4114" s="202"/>
      <c r="F4114" s="210"/>
      <c r="G4114" s="210"/>
      <c r="H4114" s="206" t="s">
        <v>121</v>
      </c>
      <c r="I4114" s="206" t="s">
        <v>121</v>
      </c>
      <c r="J4114" s="206" t="s">
        <v>121</v>
      </c>
      <c r="K4114" s="206" t="s">
        <v>121</v>
      </c>
      <c r="L4114" s="206" t="str">
        <v/>
      </c>
      <c r="M4114" s="206" t="str">
        <v/>
      </c>
    </row>
    <row r="4115" spans="1:13" ht="14.4">
      <c r="A4115" s="201"/>
      <c r="B4115" s="209"/>
      <c r="C4115" s="201"/>
      <c r="D4115" s="201"/>
      <c r="E4115" s="202"/>
      <c r="F4115" s="210"/>
      <c r="G4115" s="210"/>
      <c r="H4115" s="206" t="s">
        <v>121</v>
      </c>
      <c r="I4115" s="206" t="s">
        <v>121</v>
      </c>
      <c r="J4115" s="206" t="s">
        <v>121</v>
      </c>
      <c r="K4115" s="206" t="s">
        <v>121</v>
      </c>
      <c r="L4115" s="206" t="str">
        <v/>
      </c>
      <c r="M4115" s="206" t="str">
        <v/>
      </c>
    </row>
    <row r="4116" spans="1:13" ht="14.4">
      <c r="A4116" s="201"/>
      <c r="B4116" s="209"/>
      <c r="C4116" s="201"/>
      <c r="D4116" s="201"/>
      <c r="E4116" s="202"/>
      <c r="F4116" s="210"/>
      <c r="G4116" s="210"/>
      <c r="H4116" s="206" t="s">
        <v>121</v>
      </c>
      <c r="I4116" s="206" t="s">
        <v>121</v>
      </c>
      <c r="J4116" s="206" t="s">
        <v>121</v>
      </c>
      <c r="K4116" s="206" t="s">
        <v>121</v>
      </c>
      <c r="L4116" s="206" t="str">
        <v/>
      </c>
      <c r="M4116" s="206" t="str">
        <v/>
      </c>
    </row>
    <row r="4117" spans="1:13" ht="14.4">
      <c r="A4117" s="201"/>
      <c r="B4117" s="209"/>
      <c r="C4117" s="201"/>
      <c r="D4117" s="201"/>
      <c r="E4117" s="202"/>
      <c r="F4117" s="210"/>
      <c r="G4117" s="210"/>
      <c r="H4117" s="206" t="s">
        <v>121</v>
      </c>
      <c r="I4117" s="206" t="s">
        <v>121</v>
      </c>
      <c r="J4117" s="206" t="s">
        <v>121</v>
      </c>
      <c r="K4117" s="206" t="s">
        <v>121</v>
      </c>
      <c r="L4117" s="206" t="str">
        <v/>
      </c>
      <c r="M4117" s="206" t="str">
        <v/>
      </c>
    </row>
    <row r="4118" spans="1:13" ht="14.4">
      <c r="A4118" s="201"/>
      <c r="B4118" s="209"/>
      <c r="C4118" s="201"/>
      <c r="D4118" s="201"/>
      <c r="E4118" s="202"/>
      <c r="F4118" s="210"/>
      <c r="G4118" s="210"/>
      <c r="H4118" s="206" t="s">
        <v>121</v>
      </c>
      <c r="I4118" s="206" t="s">
        <v>121</v>
      </c>
      <c r="J4118" s="206" t="s">
        <v>121</v>
      </c>
      <c r="K4118" s="206" t="s">
        <v>121</v>
      </c>
      <c r="L4118" s="206" t="str">
        <v/>
      </c>
      <c r="M4118" s="206" t="str">
        <v/>
      </c>
    </row>
    <row r="4119" spans="1:13" ht="14.4">
      <c r="A4119" s="201"/>
      <c r="B4119" s="209"/>
      <c r="C4119" s="201"/>
      <c r="D4119" s="201"/>
      <c r="E4119" s="202"/>
      <c r="F4119" s="210"/>
      <c r="G4119" s="210"/>
      <c r="H4119" s="206" t="s">
        <v>121</v>
      </c>
      <c r="I4119" s="206" t="s">
        <v>121</v>
      </c>
      <c r="J4119" s="206" t="s">
        <v>121</v>
      </c>
      <c r="K4119" s="206" t="s">
        <v>121</v>
      </c>
      <c r="L4119" s="206" t="str">
        <v/>
      </c>
      <c r="M4119" s="206" t="str">
        <v/>
      </c>
    </row>
    <row r="4120" spans="1:13" ht="14.4">
      <c r="A4120" s="201"/>
      <c r="B4120" s="209"/>
      <c r="C4120" s="201"/>
      <c r="D4120" s="201"/>
      <c r="E4120" s="202"/>
      <c r="F4120" s="210"/>
      <c r="G4120" s="210"/>
      <c r="H4120" s="206" t="s">
        <v>121</v>
      </c>
      <c r="I4120" s="206" t="s">
        <v>121</v>
      </c>
      <c r="J4120" s="206" t="s">
        <v>121</v>
      </c>
      <c r="K4120" s="206" t="s">
        <v>121</v>
      </c>
      <c r="L4120" s="206" t="str">
        <v/>
      </c>
      <c r="M4120" s="206" t="str">
        <v/>
      </c>
    </row>
    <row r="4121" spans="1:13" ht="14.4">
      <c r="A4121" s="201"/>
      <c r="B4121" s="209"/>
      <c r="C4121" s="201"/>
      <c r="D4121" s="201"/>
      <c r="E4121" s="202"/>
      <c r="F4121" s="210"/>
      <c r="G4121" s="210"/>
      <c r="H4121" s="206" t="s">
        <v>121</v>
      </c>
      <c r="I4121" s="206" t="s">
        <v>121</v>
      </c>
      <c r="J4121" s="206" t="s">
        <v>121</v>
      </c>
      <c r="K4121" s="206" t="s">
        <v>121</v>
      </c>
      <c r="L4121" s="206" t="str">
        <v/>
      </c>
      <c r="M4121" s="206" t="str">
        <v/>
      </c>
    </row>
    <row r="4122" spans="1:13" ht="14.4">
      <c r="A4122" s="201"/>
      <c r="B4122" s="209"/>
      <c r="C4122" s="201"/>
      <c r="D4122" s="201"/>
      <c r="E4122" s="202"/>
      <c r="F4122" s="210"/>
      <c r="G4122" s="210"/>
      <c r="H4122" s="206" t="s">
        <v>121</v>
      </c>
      <c r="I4122" s="206" t="s">
        <v>121</v>
      </c>
      <c r="J4122" s="206" t="s">
        <v>121</v>
      </c>
      <c r="K4122" s="206" t="s">
        <v>121</v>
      </c>
      <c r="L4122" s="206" t="str">
        <v/>
      </c>
      <c r="M4122" s="206" t="str">
        <v/>
      </c>
    </row>
    <row r="4123" spans="1:13" ht="14.4">
      <c r="A4123" s="201"/>
      <c r="B4123" s="209"/>
      <c r="C4123" s="201"/>
      <c r="D4123" s="201"/>
      <c r="E4123" s="202"/>
      <c r="F4123" s="210"/>
      <c r="G4123" s="210"/>
      <c r="H4123" s="206" t="s">
        <v>121</v>
      </c>
      <c r="I4123" s="206" t="s">
        <v>121</v>
      </c>
      <c r="J4123" s="206" t="s">
        <v>121</v>
      </c>
      <c r="K4123" s="206" t="s">
        <v>121</v>
      </c>
      <c r="L4123" s="206" t="str">
        <v/>
      </c>
      <c r="M4123" s="206" t="str">
        <v/>
      </c>
    </row>
    <row r="4124" spans="1:13" ht="14.4">
      <c r="A4124" s="201"/>
      <c r="B4124" s="209"/>
      <c r="C4124" s="201"/>
      <c r="D4124" s="201"/>
      <c r="E4124" s="202"/>
      <c r="F4124" s="210"/>
      <c r="G4124" s="210"/>
      <c r="H4124" s="206" t="s">
        <v>121</v>
      </c>
      <c r="I4124" s="206" t="s">
        <v>121</v>
      </c>
      <c r="J4124" s="206" t="s">
        <v>121</v>
      </c>
      <c r="K4124" s="206" t="s">
        <v>121</v>
      </c>
      <c r="L4124" s="206" t="str">
        <v/>
      </c>
      <c r="M4124" s="206" t="str">
        <v/>
      </c>
    </row>
    <row r="4125" spans="1:13" ht="14.4">
      <c r="A4125" s="201"/>
      <c r="B4125" s="209"/>
      <c r="C4125" s="201"/>
      <c r="D4125" s="201"/>
      <c r="E4125" s="202"/>
      <c r="F4125" s="210"/>
      <c r="G4125" s="210"/>
      <c r="H4125" s="206" t="s">
        <v>121</v>
      </c>
      <c r="I4125" s="206" t="s">
        <v>121</v>
      </c>
      <c r="J4125" s="206" t="s">
        <v>121</v>
      </c>
      <c r="K4125" s="206" t="s">
        <v>121</v>
      </c>
      <c r="L4125" s="206" t="str">
        <v/>
      </c>
      <c r="M4125" s="206" t="str">
        <v/>
      </c>
    </row>
    <row r="4126" spans="1:13" ht="14.4">
      <c r="A4126" s="201"/>
      <c r="B4126" s="209"/>
      <c r="C4126" s="201"/>
      <c r="D4126" s="201"/>
      <c r="E4126" s="202"/>
      <c r="F4126" s="210"/>
      <c r="G4126" s="210"/>
      <c r="H4126" s="206" t="s">
        <v>121</v>
      </c>
      <c r="I4126" s="206" t="s">
        <v>121</v>
      </c>
      <c r="J4126" s="206" t="s">
        <v>121</v>
      </c>
      <c r="K4126" s="206" t="s">
        <v>121</v>
      </c>
      <c r="L4126" s="206" t="str">
        <v/>
      </c>
      <c r="M4126" s="206" t="str">
        <v/>
      </c>
    </row>
    <row r="4127" spans="1:13" ht="14.4">
      <c r="A4127" s="201"/>
      <c r="B4127" s="209"/>
      <c r="C4127" s="201"/>
      <c r="D4127" s="201"/>
      <c r="E4127" s="202"/>
      <c r="F4127" s="210"/>
      <c r="G4127" s="210"/>
      <c r="H4127" s="206" t="s">
        <v>121</v>
      </c>
      <c r="I4127" s="206" t="s">
        <v>121</v>
      </c>
      <c r="J4127" s="206" t="s">
        <v>121</v>
      </c>
      <c r="K4127" s="206" t="s">
        <v>121</v>
      </c>
      <c r="L4127" s="206" t="str">
        <v/>
      </c>
      <c r="M4127" s="206" t="str">
        <v/>
      </c>
    </row>
    <row r="4128" spans="1:13" ht="14.4">
      <c r="A4128" s="201"/>
      <c r="B4128" s="209"/>
      <c r="C4128" s="201"/>
      <c r="D4128" s="201"/>
      <c r="E4128" s="202"/>
      <c r="F4128" s="210"/>
      <c r="G4128" s="210"/>
      <c r="H4128" s="206" t="s">
        <v>121</v>
      </c>
      <c r="I4128" s="206" t="s">
        <v>121</v>
      </c>
      <c r="J4128" s="206" t="s">
        <v>121</v>
      </c>
      <c r="K4128" s="206" t="s">
        <v>121</v>
      </c>
      <c r="L4128" s="206" t="str">
        <v/>
      </c>
      <c r="M4128" s="206" t="str">
        <v/>
      </c>
    </row>
    <row r="4129" spans="1:13" ht="14.4">
      <c r="A4129" s="201"/>
      <c r="B4129" s="209"/>
      <c r="C4129" s="201"/>
      <c r="D4129" s="201"/>
      <c r="E4129" s="202"/>
      <c r="F4129" s="210"/>
      <c r="G4129" s="210"/>
      <c r="H4129" s="206" t="s">
        <v>121</v>
      </c>
      <c r="I4129" s="206" t="s">
        <v>121</v>
      </c>
      <c r="J4129" s="206" t="s">
        <v>121</v>
      </c>
      <c r="K4129" s="206" t="s">
        <v>121</v>
      </c>
      <c r="L4129" s="206" t="str">
        <v/>
      </c>
      <c r="M4129" s="206" t="str">
        <v/>
      </c>
    </row>
    <row r="4130" spans="1:13" ht="14.4">
      <c r="A4130" s="201"/>
      <c r="B4130" s="209"/>
      <c r="C4130" s="201"/>
      <c r="D4130" s="201"/>
      <c r="E4130" s="202"/>
      <c r="F4130" s="210"/>
      <c r="G4130" s="210"/>
      <c r="H4130" s="206" t="s">
        <v>121</v>
      </c>
      <c r="I4130" s="206" t="s">
        <v>121</v>
      </c>
      <c r="J4130" s="206" t="s">
        <v>121</v>
      </c>
      <c r="K4130" s="206" t="s">
        <v>121</v>
      </c>
      <c r="L4130" s="206" t="str">
        <v/>
      </c>
      <c r="M4130" s="206" t="str">
        <v/>
      </c>
    </row>
    <row r="4131" spans="1:13" ht="14.4">
      <c r="A4131" s="201"/>
      <c r="B4131" s="209"/>
      <c r="C4131" s="201"/>
      <c r="D4131" s="201"/>
      <c r="E4131" s="202"/>
      <c r="F4131" s="210"/>
      <c r="G4131" s="210"/>
      <c r="H4131" s="206" t="s">
        <v>121</v>
      </c>
      <c r="I4131" s="206" t="s">
        <v>121</v>
      </c>
      <c r="J4131" s="206" t="s">
        <v>121</v>
      </c>
      <c r="K4131" s="206" t="s">
        <v>121</v>
      </c>
      <c r="L4131" s="206" t="str">
        <v/>
      </c>
      <c r="M4131" s="206" t="str">
        <v/>
      </c>
    </row>
    <row r="4132" spans="1:13" ht="14.4">
      <c r="A4132" s="201"/>
      <c r="B4132" s="209"/>
      <c r="C4132" s="201"/>
      <c r="D4132" s="201"/>
      <c r="E4132" s="202"/>
      <c r="F4132" s="210"/>
      <c r="G4132" s="210"/>
      <c r="H4132" s="206" t="s">
        <v>121</v>
      </c>
      <c r="I4132" s="206" t="s">
        <v>121</v>
      </c>
      <c r="J4132" s="206" t="s">
        <v>121</v>
      </c>
      <c r="K4132" s="206" t="s">
        <v>121</v>
      </c>
      <c r="L4132" s="206" t="str">
        <v/>
      </c>
      <c r="M4132" s="206" t="str">
        <v/>
      </c>
    </row>
    <row r="4133" spans="1:13" ht="14.4">
      <c r="A4133" s="201"/>
      <c r="B4133" s="209"/>
      <c r="C4133" s="201"/>
      <c r="D4133" s="201"/>
      <c r="E4133" s="202"/>
      <c r="F4133" s="210"/>
      <c r="G4133" s="210"/>
      <c r="H4133" s="206" t="s">
        <v>121</v>
      </c>
      <c r="I4133" s="206" t="s">
        <v>121</v>
      </c>
      <c r="J4133" s="206" t="s">
        <v>121</v>
      </c>
      <c r="K4133" s="206" t="s">
        <v>121</v>
      </c>
      <c r="L4133" s="206" t="str">
        <v/>
      </c>
      <c r="M4133" s="206" t="str">
        <v/>
      </c>
    </row>
    <row r="4134" spans="1:13" ht="14.4">
      <c r="A4134" s="201"/>
      <c r="B4134" s="209"/>
      <c r="C4134" s="201"/>
      <c r="D4134" s="201"/>
      <c r="E4134" s="202"/>
      <c r="F4134" s="210"/>
      <c r="G4134" s="210"/>
      <c r="H4134" s="206" t="s">
        <v>121</v>
      </c>
      <c r="I4134" s="206" t="s">
        <v>121</v>
      </c>
      <c r="J4134" s="206" t="s">
        <v>121</v>
      </c>
      <c r="K4134" s="206" t="s">
        <v>121</v>
      </c>
      <c r="L4134" s="206" t="str">
        <v/>
      </c>
      <c r="M4134" s="206" t="str">
        <v/>
      </c>
    </row>
    <row r="4135" spans="1:13" ht="14.4">
      <c r="A4135" s="201"/>
      <c r="B4135" s="209"/>
      <c r="C4135" s="201"/>
      <c r="D4135" s="201"/>
      <c r="E4135" s="202"/>
      <c r="F4135" s="210"/>
      <c r="G4135" s="210"/>
      <c r="H4135" s="206" t="s">
        <v>121</v>
      </c>
      <c r="I4135" s="206" t="s">
        <v>121</v>
      </c>
      <c r="J4135" s="206" t="s">
        <v>121</v>
      </c>
      <c r="K4135" s="206" t="s">
        <v>121</v>
      </c>
      <c r="L4135" s="206" t="str">
        <v/>
      </c>
      <c r="M4135" s="206" t="str">
        <v/>
      </c>
    </row>
    <row r="4136" spans="1:13" ht="14.4">
      <c r="A4136" s="201"/>
      <c r="B4136" s="209"/>
      <c r="C4136" s="201"/>
      <c r="D4136" s="201"/>
      <c r="E4136" s="202"/>
      <c r="F4136" s="210"/>
      <c r="G4136" s="210"/>
      <c r="H4136" s="206" t="s">
        <v>121</v>
      </c>
      <c r="I4136" s="206" t="s">
        <v>121</v>
      </c>
      <c r="J4136" s="206" t="s">
        <v>121</v>
      </c>
      <c r="K4136" s="206" t="s">
        <v>121</v>
      </c>
      <c r="L4136" s="206" t="str">
        <v/>
      </c>
      <c r="M4136" s="206" t="str">
        <v/>
      </c>
    </row>
    <row r="4137" spans="1:13" ht="14.4">
      <c r="A4137" s="201"/>
      <c r="B4137" s="209"/>
      <c r="C4137" s="201"/>
      <c r="D4137" s="201"/>
      <c r="E4137" s="202"/>
      <c r="F4137" s="210"/>
      <c r="G4137" s="210"/>
      <c r="H4137" s="206" t="s">
        <v>121</v>
      </c>
      <c r="I4137" s="206" t="s">
        <v>121</v>
      </c>
      <c r="J4137" s="206" t="s">
        <v>121</v>
      </c>
      <c r="K4137" s="206" t="s">
        <v>121</v>
      </c>
      <c r="L4137" s="206" t="str">
        <v/>
      </c>
      <c r="M4137" s="206" t="str">
        <v/>
      </c>
    </row>
    <row r="4138" spans="1:13" ht="14.4">
      <c r="A4138" s="201"/>
      <c r="B4138" s="209"/>
      <c r="C4138" s="201"/>
      <c r="D4138" s="201"/>
      <c r="E4138" s="202"/>
      <c r="F4138" s="210"/>
      <c r="G4138" s="210"/>
      <c r="H4138" s="206" t="s">
        <v>121</v>
      </c>
      <c r="I4138" s="206" t="s">
        <v>121</v>
      </c>
      <c r="J4138" s="206" t="s">
        <v>121</v>
      </c>
      <c r="K4138" s="206" t="s">
        <v>121</v>
      </c>
      <c r="L4138" s="206" t="str">
        <v/>
      </c>
      <c r="M4138" s="206" t="str">
        <v/>
      </c>
    </row>
    <row r="4139" spans="1:13" ht="14.4">
      <c r="A4139" s="201"/>
      <c r="B4139" s="209"/>
      <c r="C4139" s="201"/>
      <c r="D4139" s="201"/>
      <c r="E4139" s="202"/>
      <c r="F4139" s="210"/>
      <c r="G4139" s="210"/>
      <c r="H4139" s="206" t="s">
        <v>121</v>
      </c>
      <c r="I4139" s="206" t="s">
        <v>121</v>
      </c>
      <c r="J4139" s="206" t="s">
        <v>121</v>
      </c>
      <c r="K4139" s="206" t="s">
        <v>121</v>
      </c>
      <c r="L4139" s="206" t="str">
        <v/>
      </c>
      <c r="M4139" s="206" t="str">
        <v/>
      </c>
    </row>
    <row r="4140" spans="1:13" ht="14.4">
      <c r="A4140" s="201"/>
      <c r="B4140" s="209"/>
      <c r="C4140" s="201"/>
      <c r="D4140" s="201"/>
      <c r="E4140" s="202"/>
      <c r="F4140" s="210"/>
      <c r="G4140" s="210"/>
      <c r="H4140" s="206" t="s">
        <v>121</v>
      </c>
      <c r="I4140" s="206" t="s">
        <v>121</v>
      </c>
      <c r="J4140" s="206" t="s">
        <v>121</v>
      </c>
      <c r="K4140" s="206" t="s">
        <v>121</v>
      </c>
      <c r="L4140" s="206" t="str">
        <v/>
      </c>
      <c r="M4140" s="206" t="str">
        <v/>
      </c>
    </row>
    <row r="4141" spans="1:13" ht="14.4">
      <c r="A4141" s="201"/>
      <c r="B4141" s="209"/>
      <c r="C4141" s="201"/>
      <c r="D4141" s="201"/>
      <c r="E4141" s="202"/>
      <c r="F4141" s="210"/>
      <c r="G4141" s="210"/>
      <c r="H4141" s="206" t="s">
        <v>121</v>
      </c>
      <c r="I4141" s="206" t="s">
        <v>121</v>
      </c>
      <c r="J4141" s="206" t="s">
        <v>121</v>
      </c>
      <c r="K4141" s="206" t="s">
        <v>121</v>
      </c>
      <c r="L4141" s="206" t="str">
        <v/>
      </c>
      <c r="M4141" s="206" t="str">
        <v/>
      </c>
    </row>
    <row r="4142" spans="1:13" ht="14.4">
      <c r="A4142" s="201"/>
      <c r="B4142" s="209"/>
      <c r="C4142" s="201"/>
      <c r="D4142" s="201"/>
      <c r="E4142" s="202"/>
      <c r="F4142" s="210"/>
      <c r="G4142" s="210"/>
      <c r="H4142" s="206" t="s">
        <v>121</v>
      </c>
      <c r="I4142" s="206" t="s">
        <v>121</v>
      </c>
      <c r="J4142" s="206" t="s">
        <v>121</v>
      </c>
      <c r="K4142" s="206" t="s">
        <v>121</v>
      </c>
      <c r="L4142" s="206" t="str">
        <v/>
      </c>
      <c r="M4142" s="206" t="str">
        <v/>
      </c>
    </row>
    <row r="4143" spans="1:13" ht="14.4">
      <c r="A4143" s="201"/>
      <c r="B4143" s="209"/>
      <c r="C4143" s="201"/>
      <c r="D4143" s="201"/>
      <c r="E4143" s="202"/>
      <c r="F4143" s="210"/>
      <c r="G4143" s="210"/>
      <c r="H4143" s="206" t="s">
        <v>121</v>
      </c>
      <c r="I4143" s="206" t="s">
        <v>121</v>
      </c>
      <c r="J4143" s="206" t="s">
        <v>121</v>
      </c>
      <c r="K4143" s="206" t="s">
        <v>121</v>
      </c>
      <c r="L4143" s="206" t="str">
        <v/>
      </c>
      <c r="M4143" s="206" t="str">
        <v/>
      </c>
    </row>
    <row r="4144" spans="1:13" ht="14.4">
      <c r="A4144" s="201"/>
      <c r="B4144" s="209"/>
      <c r="C4144" s="201"/>
      <c r="D4144" s="201"/>
      <c r="E4144" s="202"/>
      <c r="F4144" s="210"/>
      <c r="G4144" s="210"/>
      <c r="H4144" s="206" t="s">
        <v>121</v>
      </c>
      <c r="I4144" s="206" t="s">
        <v>121</v>
      </c>
      <c r="J4144" s="206" t="s">
        <v>121</v>
      </c>
      <c r="K4144" s="206" t="s">
        <v>121</v>
      </c>
      <c r="L4144" s="206" t="str">
        <v/>
      </c>
      <c r="M4144" s="206" t="str">
        <v/>
      </c>
    </row>
    <row r="4145" spans="1:13" ht="14.4">
      <c r="A4145" s="201"/>
      <c r="B4145" s="209"/>
      <c r="C4145" s="201"/>
      <c r="D4145" s="201"/>
      <c r="E4145" s="202"/>
      <c r="F4145" s="210"/>
      <c r="G4145" s="210"/>
      <c r="H4145" s="206" t="s">
        <v>121</v>
      </c>
      <c r="I4145" s="206" t="s">
        <v>121</v>
      </c>
      <c r="J4145" s="206" t="s">
        <v>121</v>
      </c>
      <c r="K4145" s="206" t="s">
        <v>121</v>
      </c>
      <c r="L4145" s="206" t="str">
        <v/>
      </c>
      <c r="M4145" s="206" t="str">
        <v/>
      </c>
    </row>
    <row r="4146" spans="1:13" ht="14.4">
      <c r="A4146" s="201"/>
      <c r="B4146" s="209"/>
      <c r="C4146" s="201"/>
      <c r="D4146" s="201"/>
      <c r="E4146" s="202"/>
      <c r="F4146" s="210"/>
      <c r="G4146" s="210"/>
      <c r="H4146" s="206" t="s">
        <v>121</v>
      </c>
      <c r="I4146" s="206" t="s">
        <v>121</v>
      </c>
      <c r="J4146" s="206" t="s">
        <v>121</v>
      </c>
      <c r="K4146" s="206" t="s">
        <v>121</v>
      </c>
      <c r="L4146" s="206" t="str">
        <v/>
      </c>
      <c r="M4146" s="206" t="str">
        <v/>
      </c>
    </row>
    <row r="4147" spans="1:13" ht="14.4">
      <c r="A4147" s="201"/>
      <c r="B4147" s="209"/>
      <c r="C4147" s="201"/>
      <c r="D4147" s="201"/>
      <c r="E4147" s="202"/>
      <c r="F4147" s="210"/>
      <c r="G4147" s="210"/>
      <c r="H4147" s="206" t="s">
        <v>121</v>
      </c>
      <c r="I4147" s="206" t="s">
        <v>121</v>
      </c>
      <c r="J4147" s="206" t="s">
        <v>121</v>
      </c>
      <c r="K4147" s="206" t="s">
        <v>121</v>
      </c>
      <c r="L4147" s="206" t="str">
        <v/>
      </c>
      <c r="M4147" s="206" t="str">
        <v/>
      </c>
    </row>
    <row r="4148" spans="1:13" ht="14.4">
      <c r="A4148" s="201"/>
      <c r="B4148" s="209"/>
      <c r="C4148" s="201"/>
      <c r="D4148" s="201"/>
      <c r="E4148" s="202"/>
      <c r="F4148" s="210"/>
      <c r="G4148" s="210"/>
      <c r="H4148" s="206" t="s">
        <v>121</v>
      </c>
      <c r="I4148" s="206" t="s">
        <v>121</v>
      </c>
      <c r="J4148" s="206" t="s">
        <v>121</v>
      </c>
      <c r="K4148" s="206" t="s">
        <v>121</v>
      </c>
      <c r="L4148" s="206" t="str">
        <v/>
      </c>
      <c r="M4148" s="206" t="str">
        <v/>
      </c>
    </row>
    <row r="4149" spans="1:13" ht="14.4">
      <c r="A4149" s="201"/>
      <c r="B4149" s="209"/>
      <c r="C4149" s="201"/>
      <c r="D4149" s="201"/>
      <c r="E4149" s="202"/>
      <c r="F4149" s="210"/>
      <c r="G4149" s="210"/>
      <c r="H4149" s="206" t="s">
        <v>121</v>
      </c>
      <c r="I4149" s="206" t="s">
        <v>121</v>
      </c>
      <c r="J4149" s="206" t="s">
        <v>121</v>
      </c>
      <c r="K4149" s="206" t="s">
        <v>121</v>
      </c>
      <c r="L4149" s="206" t="str">
        <v/>
      </c>
      <c r="M4149" s="206" t="str">
        <v/>
      </c>
    </row>
    <row r="4150" spans="1:13" ht="14.4">
      <c r="A4150" s="201"/>
      <c r="B4150" s="209"/>
      <c r="C4150" s="201"/>
      <c r="D4150" s="201"/>
      <c r="E4150" s="202"/>
      <c r="F4150" s="210"/>
      <c r="G4150" s="210"/>
      <c r="H4150" s="206" t="s">
        <v>121</v>
      </c>
      <c r="I4150" s="206" t="s">
        <v>121</v>
      </c>
      <c r="J4150" s="206" t="s">
        <v>121</v>
      </c>
      <c r="K4150" s="206" t="s">
        <v>121</v>
      </c>
      <c r="L4150" s="206" t="str">
        <v/>
      </c>
      <c r="M4150" s="206" t="str">
        <v/>
      </c>
    </row>
    <row r="4151" spans="1:13" ht="14.4">
      <c r="A4151" s="201"/>
      <c r="B4151" s="209"/>
      <c r="C4151" s="201"/>
      <c r="D4151" s="201"/>
      <c r="E4151" s="202"/>
      <c r="F4151" s="210"/>
      <c r="G4151" s="210"/>
      <c r="H4151" s="206" t="s">
        <v>121</v>
      </c>
      <c r="I4151" s="206" t="s">
        <v>121</v>
      </c>
      <c r="J4151" s="206" t="s">
        <v>121</v>
      </c>
      <c r="K4151" s="206" t="s">
        <v>121</v>
      </c>
      <c r="L4151" s="206" t="str">
        <v/>
      </c>
      <c r="M4151" s="206" t="str">
        <v/>
      </c>
    </row>
    <row r="4152" spans="1:13" ht="14.4">
      <c r="A4152" s="201"/>
      <c r="B4152" s="209"/>
      <c r="C4152" s="201"/>
      <c r="D4152" s="201"/>
      <c r="E4152" s="202"/>
      <c r="F4152" s="210"/>
      <c r="G4152" s="210"/>
      <c r="H4152" s="206" t="s">
        <v>121</v>
      </c>
      <c r="I4152" s="206" t="s">
        <v>121</v>
      </c>
      <c r="J4152" s="206" t="s">
        <v>121</v>
      </c>
      <c r="K4152" s="206" t="s">
        <v>121</v>
      </c>
      <c r="L4152" s="206" t="str">
        <v/>
      </c>
      <c r="M4152" s="206" t="str">
        <v/>
      </c>
    </row>
    <row r="4153" spans="1:13" ht="14.4">
      <c r="A4153" s="201"/>
      <c r="B4153" s="209"/>
      <c r="C4153" s="201"/>
      <c r="D4153" s="201"/>
      <c r="E4153" s="202"/>
      <c r="F4153" s="210"/>
      <c r="G4153" s="210"/>
      <c r="H4153" s="206" t="s">
        <v>121</v>
      </c>
      <c r="I4153" s="206" t="s">
        <v>121</v>
      </c>
      <c r="J4153" s="206" t="s">
        <v>121</v>
      </c>
      <c r="K4153" s="206" t="s">
        <v>121</v>
      </c>
      <c r="L4153" s="206" t="str">
        <v/>
      </c>
      <c r="M4153" s="206" t="str">
        <v/>
      </c>
    </row>
    <row r="4154" spans="1:13" ht="14.4">
      <c r="A4154" s="201"/>
      <c r="B4154" s="209"/>
      <c r="C4154" s="201"/>
      <c r="D4154" s="201"/>
      <c r="E4154" s="202"/>
      <c r="F4154" s="210"/>
      <c r="G4154" s="210"/>
      <c r="H4154" s="206" t="s">
        <v>121</v>
      </c>
      <c r="I4154" s="206" t="s">
        <v>121</v>
      </c>
      <c r="J4154" s="206" t="s">
        <v>121</v>
      </c>
      <c r="K4154" s="206" t="s">
        <v>121</v>
      </c>
      <c r="L4154" s="206" t="str">
        <v/>
      </c>
      <c r="M4154" s="206" t="str">
        <v/>
      </c>
    </row>
    <row r="4155" spans="1:13" ht="14.4">
      <c r="A4155" s="201"/>
      <c r="B4155" s="209"/>
      <c r="C4155" s="201"/>
      <c r="D4155" s="201"/>
      <c r="E4155" s="202"/>
      <c r="F4155" s="210"/>
      <c r="G4155" s="210"/>
      <c r="H4155" s="206" t="s">
        <v>121</v>
      </c>
      <c r="I4155" s="206" t="s">
        <v>121</v>
      </c>
      <c r="J4155" s="206" t="s">
        <v>121</v>
      </c>
      <c r="K4155" s="206" t="s">
        <v>121</v>
      </c>
      <c r="L4155" s="206" t="str">
        <v/>
      </c>
      <c r="M4155" s="206" t="str">
        <v/>
      </c>
    </row>
    <row r="4156" spans="1:13" ht="14.4">
      <c r="A4156" s="201"/>
      <c r="B4156" s="209"/>
      <c r="C4156" s="201"/>
      <c r="D4156" s="201"/>
      <c r="E4156" s="202"/>
      <c r="F4156" s="210"/>
      <c r="G4156" s="210"/>
      <c r="H4156" s="206" t="s">
        <v>121</v>
      </c>
      <c r="I4156" s="206" t="s">
        <v>121</v>
      </c>
      <c r="J4156" s="206" t="s">
        <v>121</v>
      </c>
      <c r="K4156" s="206" t="s">
        <v>121</v>
      </c>
      <c r="L4156" s="206" t="str">
        <v/>
      </c>
      <c r="M4156" s="206" t="str">
        <v/>
      </c>
    </row>
    <row r="4157" spans="1:13" ht="14.4">
      <c r="A4157" s="201"/>
      <c r="B4157" s="209"/>
      <c r="C4157" s="201"/>
      <c r="D4157" s="201"/>
      <c r="E4157" s="202"/>
      <c r="F4157" s="210"/>
      <c r="G4157" s="210"/>
      <c r="H4157" s="206" t="s">
        <v>121</v>
      </c>
      <c r="I4157" s="206" t="s">
        <v>121</v>
      </c>
      <c r="J4157" s="206" t="s">
        <v>121</v>
      </c>
      <c r="K4157" s="206" t="s">
        <v>121</v>
      </c>
      <c r="L4157" s="206" t="str">
        <v/>
      </c>
      <c r="M4157" s="206" t="str">
        <v/>
      </c>
    </row>
    <row r="4158" spans="1:13" ht="14.4">
      <c r="A4158" s="201"/>
      <c r="B4158" s="209"/>
      <c r="C4158" s="201"/>
      <c r="D4158" s="201"/>
      <c r="E4158" s="202"/>
      <c r="F4158" s="210"/>
      <c r="G4158" s="210"/>
      <c r="H4158" s="206" t="s">
        <v>121</v>
      </c>
      <c r="I4158" s="206" t="s">
        <v>121</v>
      </c>
      <c r="J4158" s="206" t="s">
        <v>121</v>
      </c>
      <c r="K4158" s="206" t="s">
        <v>121</v>
      </c>
      <c r="L4158" s="206" t="str">
        <v/>
      </c>
      <c r="M4158" s="206" t="str">
        <v/>
      </c>
    </row>
    <row r="4159" spans="1:13" ht="14.4">
      <c r="A4159" s="201"/>
      <c r="B4159" s="209"/>
      <c r="C4159" s="201"/>
      <c r="D4159" s="201"/>
      <c r="E4159" s="202"/>
      <c r="F4159" s="210"/>
      <c r="G4159" s="210"/>
      <c r="H4159" s="206" t="s">
        <v>121</v>
      </c>
      <c r="I4159" s="206" t="s">
        <v>121</v>
      </c>
      <c r="J4159" s="206" t="s">
        <v>121</v>
      </c>
      <c r="K4159" s="206" t="s">
        <v>121</v>
      </c>
      <c r="L4159" s="206" t="str">
        <v/>
      </c>
      <c r="M4159" s="206" t="str">
        <v/>
      </c>
    </row>
    <row r="4160" spans="1:13" ht="14.4">
      <c r="A4160" s="201"/>
      <c r="B4160" s="209"/>
      <c r="C4160" s="201"/>
      <c r="D4160" s="201"/>
      <c r="E4160" s="202"/>
      <c r="F4160" s="210"/>
      <c r="G4160" s="210"/>
      <c r="H4160" s="206" t="s">
        <v>121</v>
      </c>
      <c r="I4160" s="206" t="s">
        <v>121</v>
      </c>
      <c r="J4160" s="206" t="s">
        <v>121</v>
      </c>
      <c r="K4160" s="206" t="s">
        <v>121</v>
      </c>
      <c r="L4160" s="206" t="str">
        <v/>
      </c>
      <c r="M4160" s="206" t="str">
        <v/>
      </c>
    </row>
    <row r="4161" spans="1:13" ht="14.4">
      <c r="A4161" s="201"/>
      <c r="B4161" s="209"/>
      <c r="C4161" s="201"/>
      <c r="D4161" s="201"/>
      <c r="E4161" s="202"/>
      <c r="F4161" s="210"/>
      <c r="G4161" s="210"/>
      <c r="H4161" s="206" t="s">
        <v>121</v>
      </c>
      <c r="I4161" s="206" t="s">
        <v>121</v>
      </c>
      <c r="J4161" s="206" t="s">
        <v>121</v>
      </c>
      <c r="K4161" s="206" t="s">
        <v>121</v>
      </c>
      <c r="L4161" s="206" t="str">
        <v/>
      </c>
      <c r="M4161" s="206" t="str">
        <v/>
      </c>
    </row>
    <row r="4162" spans="1:13" ht="14.4">
      <c r="A4162" s="201"/>
      <c r="B4162" s="209"/>
      <c r="C4162" s="201"/>
      <c r="D4162" s="201"/>
      <c r="E4162" s="202"/>
      <c r="F4162" s="210"/>
      <c r="G4162" s="210"/>
      <c r="H4162" s="206" t="s">
        <v>121</v>
      </c>
      <c r="I4162" s="206" t="s">
        <v>121</v>
      </c>
      <c r="J4162" s="206" t="s">
        <v>121</v>
      </c>
      <c r="K4162" s="206" t="s">
        <v>121</v>
      </c>
      <c r="L4162" s="206" t="str">
        <v/>
      </c>
      <c r="M4162" s="206" t="str">
        <v/>
      </c>
    </row>
    <row r="4163" spans="1:13" ht="14.4">
      <c r="A4163" s="201"/>
      <c r="B4163" s="209"/>
      <c r="C4163" s="201"/>
      <c r="D4163" s="201"/>
      <c r="E4163" s="202"/>
      <c r="F4163" s="210"/>
      <c r="G4163" s="210"/>
      <c r="H4163" s="206" t="s">
        <v>121</v>
      </c>
      <c r="I4163" s="206" t="s">
        <v>121</v>
      </c>
      <c r="J4163" s="206" t="s">
        <v>121</v>
      </c>
      <c r="K4163" s="206" t="s">
        <v>121</v>
      </c>
      <c r="L4163" s="206" t="str">
        <v/>
      </c>
      <c r="M4163" s="206" t="str">
        <v/>
      </c>
    </row>
    <row r="4164" spans="1:13" ht="14.4">
      <c r="A4164" s="201"/>
      <c r="B4164" s="209"/>
      <c r="C4164" s="201"/>
      <c r="D4164" s="201"/>
      <c r="E4164" s="202"/>
      <c r="F4164" s="210"/>
      <c r="G4164" s="210"/>
      <c r="H4164" s="206" t="s">
        <v>121</v>
      </c>
      <c r="I4164" s="206" t="s">
        <v>121</v>
      </c>
      <c r="J4164" s="206" t="s">
        <v>121</v>
      </c>
      <c r="K4164" s="206" t="s">
        <v>121</v>
      </c>
      <c r="L4164" s="206" t="str">
        <v/>
      </c>
      <c r="M4164" s="206" t="str">
        <v/>
      </c>
    </row>
    <row r="4165" spans="1:13" ht="14.4">
      <c r="A4165" s="201"/>
      <c r="B4165" s="209"/>
      <c r="C4165" s="201"/>
      <c r="D4165" s="201"/>
      <c r="E4165" s="202"/>
      <c r="F4165" s="210"/>
      <c r="G4165" s="210"/>
      <c r="H4165" s="206" t="s">
        <v>121</v>
      </c>
      <c r="I4165" s="206" t="s">
        <v>121</v>
      </c>
      <c r="J4165" s="206" t="s">
        <v>121</v>
      </c>
      <c r="K4165" s="206" t="s">
        <v>121</v>
      </c>
      <c r="L4165" s="206" t="str">
        <v/>
      </c>
      <c r="M4165" s="206" t="str">
        <v/>
      </c>
    </row>
    <row r="4166" spans="1:13" ht="14.4">
      <c r="A4166" s="201"/>
      <c r="B4166" s="209"/>
      <c r="C4166" s="201"/>
      <c r="D4166" s="201"/>
      <c r="E4166" s="202"/>
      <c r="F4166" s="210"/>
      <c r="G4166" s="210"/>
      <c r="H4166" s="206" t="s">
        <v>121</v>
      </c>
      <c r="I4166" s="206" t="s">
        <v>121</v>
      </c>
      <c r="J4166" s="206" t="s">
        <v>121</v>
      </c>
      <c r="K4166" s="206" t="s">
        <v>121</v>
      </c>
      <c r="L4166" s="206" t="str">
        <v/>
      </c>
      <c r="M4166" s="206" t="str">
        <v/>
      </c>
    </row>
    <row r="4167" spans="1:13" ht="14.4">
      <c r="A4167" s="201"/>
      <c r="B4167" s="209"/>
      <c r="C4167" s="201"/>
      <c r="D4167" s="201"/>
      <c r="E4167" s="202"/>
      <c r="F4167" s="210"/>
      <c r="G4167" s="210"/>
      <c r="H4167" s="206" t="s">
        <v>121</v>
      </c>
      <c r="I4167" s="206" t="s">
        <v>121</v>
      </c>
      <c r="J4167" s="206" t="s">
        <v>121</v>
      </c>
      <c r="K4167" s="206" t="s">
        <v>121</v>
      </c>
      <c r="L4167" s="206" t="str">
        <v/>
      </c>
      <c r="M4167" s="206" t="str">
        <v/>
      </c>
    </row>
    <row r="4168" spans="1:13" ht="14.4">
      <c r="A4168" s="201"/>
      <c r="B4168" s="209"/>
      <c r="C4168" s="201"/>
      <c r="D4168" s="201"/>
      <c r="E4168" s="202"/>
      <c r="F4168" s="210"/>
      <c r="G4168" s="210"/>
      <c r="H4168" s="206" t="s">
        <v>121</v>
      </c>
      <c r="I4168" s="206" t="s">
        <v>121</v>
      </c>
      <c r="J4168" s="206" t="s">
        <v>121</v>
      </c>
      <c r="K4168" s="206" t="s">
        <v>121</v>
      </c>
      <c r="L4168" s="206" t="str">
        <v/>
      </c>
      <c r="M4168" s="206" t="str">
        <v/>
      </c>
    </row>
    <row r="4169" spans="1:13" ht="14.4">
      <c r="A4169" s="201"/>
      <c r="B4169" s="209"/>
      <c r="C4169" s="201"/>
      <c r="D4169" s="201"/>
      <c r="E4169" s="202"/>
      <c r="F4169" s="210"/>
      <c r="G4169" s="210"/>
      <c r="H4169" s="206" t="s">
        <v>121</v>
      </c>
      <c r="I4169" s="206" t="s">
        <v>121</v>
      </c>
      <c r="J4169" s="206" t="s">
        <v>121</v>
      </c>
      <c r="K4169" s="206" t="s">
        <v>121</v>
      </c>
      <c r="L4169" s="206" t="str">
        <v/>
      </c>
      <c r="M4169" s="206" t="str">
        <v/>
      </c>
    </row>
    <row r="4170" spans="1:13" ht="14.4">
      <c r="A4170" s="201"/>
      <c r="B4170" s="209"/>
      <c r="C4170" s="201"/>
      <c r="D4170" s="201"/>
      <c r="E4170" s="202"/>
      <c r="F4170" s="210"/>
      <c r="G4170" s="210"/>
      <c r="H4170" s="206" t="s">
        <v>121</v>
      </c>
      <c r="I4170" s="206" t="s">
        <v>121</v>
      </c>
      <c r="J4170" s="206" t="s">
        <v>121</v>
      </c>
      <c r="K4170" s="206" t="s">
        <v>121</v>
      </c>
      <c r="L4170" s="206" t="str">
        <v/>
      </c>
      <c r="M4170" s="206" t="str">
        <v/>
      </c>
    </row>
    <row r="4171" spans="1:13" ht="14.4">
      <c r="A4171" s="201"/>
      <c r="B4171" s="209"/>
      <c r="C4171" s="201"/>
      <c r="D4171" s="201"/>
      <c r="E4171" s="202"/>
      <c r="F4171" s="210"/>
      <c r="G4171" s="210"/>
      <c r="H4171" s="206" t="s">
        <v>121</v>
      </c>
      <c r="I4171" s="206" t="s">
        <v>121</v>
      </c>
      <c r="J4171" s="206" t="s">
        <v>121</v>
      </c>
      <c r="K4171" s="206" t="s">
        <v>121</v>
      </c>
      <c r="L4171" s="206" t="str">
        <v/>
      </c>
      <c r="M4171" s="206" t="str">
        <v/>
      </c>
    </row>
    <row r="4172" spans="1:13" ht="14.4">
      <c r="A4172" s="201"/>
      <c r="B4172" s="209"/>
      <c r="C4172" s="201"/>
      <c r="D4172" s="201"/>
      <c r="E4172" s="202"/>
      <c r="F4172" s="210"/>
      <c r="G4172" s="210"/>
      <c r="H4172" s="206" t="s">
        <v>121</v>
      </c>
      <c r="I4172" s="206" t="s">
        <v>121</v>
      </c>
      <c r="J4172" s="206" t="s">
        <v>121</v>
      </c>
      <c r="K4172" s="206" t="s">
        <v>121</v>
      </c>
      <c r="L4172" s="206" t="str">
        <v/>
      </c>
      <c r="M4172" s="206" t="str">
        <v/>
      </c>
    </row>
    <row r="4173" spans="1:13" ht="14.4">
      <c r="A4173" s="201"/>
      <c r="B4173" s="209"/>
      <c r="C4173" s="201"/>
      <c r="D4173" s="201"/>
      <c r="E4173" s="202"/>
      <c r="F4173" s="210"/>
      <c r="G4173" s="210"/>
      <c r="H4173" s="206" t="s">
        <v>121</v>
      </c>
      <c r="I4173" s="206" t="s">
        <v>121</v>
      </c>
      <c r="J4173" s="206" t="s">
        <v>121</v>
      </c>
      <c r="K4173" s="206" t="s">
        <v>121</v>
      </c>
      <c r="L4173" s="206" t="str">
        <v/>
      </c>
      <c r="M4173" s="206" t="str">
        <v/>
      </c>
    </row>
    <row r="4174" spans="1:13" ht="14.4">
      <c r="A4174" s="201"/>
      <c r="B4174" s="209"/>
      <c r="C4174" s="201"/>
      <c r="D4174" s="201"/>
      <c r="E4174" s="202"/>
      <c r="F4174" s="210"/>
      <c r="G4174" s="210"/>
      <c r="H4174" s="206" t="s">
        <v>121</v>
      </c>
      <c r="I4174" s="206" t="s">
        <v>121</v>
      </c>
      <c r="J4174" s="206" t="s">
        <v>121</v>
      </c>
      <c r="K4174" s="206" t="s">
        <v>121</v>
      </c>
      <c r="L4174" s="206" t="str">
        <v/>
      </c>
      <c r="M4174" s="206" t="str">
        <v/>
      </c>
    </row>
    <row r="4175" spans="1:13" ht="14.4">
      <c r="A4175" s="201"/>
      <c r="B4175" s="209"/>
      <c r="C4175" s="201"/>
      <c r="D4175" s="201"/>
      <c r="E4175" s="202"/>
      <c r="F4175" s="210"/>
      <c r="G4175" s="210"/>
      <c r="H4175" s="206" t="s">
        <v>121</v>
      </c>
      <c r="I4175" s="206" t="s">
        <v>121</v>
      </c>
      <c r="J4175" s="206" t="s">
        <v>121</v>
      </c>
      <c r="K4175" s="206" t="s">
        <v>121</v>
      </c>
      <c r="L4175" s="206" t="str">
        <v/>
      </c>
      <c r="M4175" s="206" t="str">
        <v/>
      </c>
    </row>
    <row r="4176" spans="1:13" ht="14.4">
      <c r="A4176" s="201"/>
      <c r="B4176" s="209"/>
      <c r="C4176" s="201"/>
      <c r="D4176" s="201"/>
      <c r="E4176" s="202"/>
      <c r="F4176" s="210"/>
      <c r="G4176" s="210"/>
      <c r="H4176" s="206" t="s">
        <v>121</v>
      </c>
      <c r="I4176" s="206" t="s">
        <v>121</v>
      </c>
      <c r="J4176" s="206" t="s">
        <v>121</v>
      </c>
      <c r="K4176" s="206" t="s">
        <v>121</v>
      </c>
      <c r="L4176" s="206" t="str">
        <v/>
      </c>
      <c r="M4176" s="206" t="str">
        <v/>
      </c>
    </row>
    <row r="4177" spans="1:13" ht="14.4">
      <c r="A4177" s="201"/>
      <c r="B4177" s="209"/>
      <c r="C4177" s="201"/>
      <c r="D4177" s="201"/>
      <c r="E4177" s="202"/>
      <c r="F4177" s="210"/>
      <c r="G4177" s="210"/>
      <c r="H4177" s="206" t="s">
        <v>121</v>
      </c>
      <c r="I4177" s="206" t="s">
        <v>121</v>
      </c>
      <c r="J4177" s="206" t="s">
        <v>121</v>
      </c>
      <c r="K4177" s="206" t="s">
        <v>121</v>
      </c>
      <c r="L4177" s="206" t="str">
        <v/>
      </c>
      <c r="M4177" s="206" t="str">
        <v/>
      </c>
    </row>
    <row r="4178" spans="1:13" ht="14.4">
      <c r="A4178" s="201"/>
      <c r="B4178" s="209"/>
      <c r="C4178" s="201"/>
      <c r="D4178" s="201"/>
      <c r="E4178" s="202"/>
      <c r="F4178" s="210"/>
      <c r="G4178" s="210"/>
      <c r="H4178" s="206" t="s">
        <v>121</v>
      </c>
      <c r="I4178" s="206" t="s">
        <v>121</v>
      </c>
      <c r="J4178" s="206" t="s">
        <v>121</v>
      </c>
      <c r="K4178" s="206" t="s">
        <v>121</v>
      </c>
      <c r="L4178" s="206" t="str">
        <v/>
      </c>
      <c r="M4178" s="206" t="str">
        <v/>
      </c>
    </row>
    <row r="4179" spans="1:13" ht="14.4">
      <c r="A4179" s="201"/>
      <c r="B4179" s="209"/>
      <c r="C4179" s="201"/>
      <c r="D4179" s="201"/>
      <c r="E4179" s="202"/>
      <c r="F4179" s="210"/>
      <c r="G4179" s="210"/>
      <c r="H4179" s="206" t="s">
        <v>121</v>
      </c>
      <c r="I4179" s="206" t="s">
        <v>121</v>
      </c>
      <c r="J4179" s="206" t="s">
        <v>121</v>
      </c>
      <c r="K4179" s="206" t="s">
        <v>121</v>
      </c>
      <c r="L4179" s="206" t="str">
        <v/>
      </c>
      <c r="M4179" s="206" t="str">
        <v/>
      </c>
    </row>
    <row r="4180" spans="1:13" ht="14.4">
      <c r="A4180" s="201"/>
      <c r="B4180" s="209"/>
      <c r="C4180" s="201"/>
      <c r="D4180" s="201"/>
      <c r="E4180" s="202"/>
      <c r="F4180" s="210"/>
      <c r="G4180" s="210"/>
      <c r="H4180" s="206" t="s">
        <v>121</v>
      </c>
      <c r="I4180" s="206" t="s">
        <v>121</v>
      </c>
      <c r="J4180" s="206" t="s">
        <v>121</v>
      </c>
      <c r="K4180" s="206" t="s">
        <v>121</v>
      </c>
      <c r="L4180" s="206" t="str">
        <v/>
      </c>
      <c r="M4180" s="206" t="str">
        <v/>
      </c>
    </row>
    <row r="4181" spans="1:13" ht="14.4">
      <c r="A4181" s="201"/>
      <c r="B4181" s="209"/>
      <c r="C4181" s="201"/>
      <c r="D4181" s="201"/>
      <c r="E4181" s="202"/>
      <c r="F4181" s="210"/>
      <c r="G4181" s="210"/>
      <c r="H4181" s="206" t="s">
        <v>121</v>
      </c>
      <c r="I4181" s="206" t="s">
        <v>121</v>
      </c>
      <c r="J4181" s="206" t="s">
        <v>121</v>
      </c>
      <c r="K4181" s="206" t="s">
        <v>121</v>
      </c>
      <c r="L4181" s="206" t="str">
        <v/>
      </c>
      <c r="M4181" s="206" t="str">
        <v/>
      </c>
    </row>
    <row r="4182" spans="1:13" ht="14.4">
      <c r="A4182" s="201"/>
      <c r="B4182" s="209"/>
      <c r="C4182" s="201"/>
      <c r="D4182" s="201"/>
      <c r="E4182" s="202"/>
      <c r="F4182" s="210"/>
      <c r="G4182" s="210"/>
      <c r="H4182" s="206" t="s">
        <v>121</v>
      </c>
      <c r="I4182" s="206" t="s">
        <v>121</v>
      </c>
      <c r="J4182" s="206" t="s">
        <v>121</v>
      </c>
      <c r="K4182" s="206" t="s">
        <v>121</v>
      </c>
      <c r="L4182" s="206" t="str">
        <v/>
      </c>
      <c r="M4182" s="206" t="str">
        <v/>
      </c>
    </row>
    <row r="4183" spans="1:13" ht="14.4">
      <c r="A4183" s="201"/>
      <c r="B4183" s="209"/>
      <c r="C4183" s="201"/>
      <c r="D4183" s="201"/>
      <c r="E4183" s="202"/>
      <c r="F4183" s="210"/>
      <c r="G4183" s="210"/>
      <c r="H4183" s="206" t="s">
        <v>121</v>
      </c>
      <c r="I4183" s="206" t="s">
        <v>121</v>
      </c>
      <c r="J4183" s="206" t="s">
        <v>121</v>
      </c>
      <c r="K4183" s="206" t="s">
        <v>121</v>
      </c>
      <c r="L4183" s="206" t="str">
        <v/>
      </c>
      <c r="M4183" s="206" t="str">
        <v/>
      </c>
    </row>
    <row r="4184" spans="1:13" ht="14.4">
      <c r="A4184" s="201"/>
      <c r="B4184" s="209"/>
      <c r="C4184" s="201"/>
      <c r="D4184" s="201"/>
      <c r="E4184" s="202"/>
      <c r="F4184" s="210"/>
      <c r="G4184" s="210"/>
      <c r="H4184" s="206" t="s">
        <v>121</v>
      </c>
      <c r="I4184" s="206" t="s">
        <v>121</v>
      </c>
      <c r="J4184" s="206" t="s">
        <v>121</v>
      </c>
      <c r="K4184" s="206" t="s">
        <v>121</v>
      </c>
      <c r="L4184" s="206" t="str">
        <v/>
      </c>
      <c r="M4184" s="206" t="str">
        <v/>
      </c>
    </row>
    <row r="4185" spans="1:13" ht="14.4">
      <c r="A4185" s="201"/>
      <c r="B4185" s="209"/>
      <c r="C4185" s="201"/>
      <c r="D4185" s="201"/>
      <c r="E4185" s="202"/>
      <c r="F4185" s="210"/>
      <c r="G4185" s="210"/>
      <c r="H4185" s="206" t="s">
        <v>121</v>
      </c>
      <c r="I4185" s="206" t="s">
        <v>121</v>
      </c>
      <c r="J4185" s="206" t="s">
        <v>121</v>
      </c>
      <c r="K4185" s="206" t="s">
        <v>121</v>
      </c>
      <c r="L4185" s="206" t="str">
        <v/>
      </c>
      <c r="M4185" s="206" t="str">
        <v/>
      </c>
    </row>
    <row r="4186" spans="1:13" ht="14.4">
      <c r="A4186" s="201"/>
      <c r="B4186" s="209"/>
      <c r="C4186" s="201"/>
      <c r="D4186" s="201"/>
      <c r="E4186" s="202"/>
      <c r="F4186" s="210"/>
      <c r="G4186" s="210"/>
      <c r="H4186" s="206" t="s">
        <v>121</v>
      </c>
      <c r="I4186" s="206" t="s">
        <v>121</v>
      </c>
      <c r="J4186" s="206" t="s">
        <v>121</v>
      </c>
      <c r="K4186" s="206" t="s">
        <v>121</v>
      </c>
      <c r="L4186" s="206" t="str">
        <v/>
      </c>
      <c r="M4186" s="206" t="str">
        <v/>
      </c>
    </row>
    <row r="4187" spans="1:13" ht="14.4">
      <c r="A4187" s="201"/>
      <c r="B4187" s="209"/>
      <c r="C4187" s="201"/>
      <c r="D4187" s="201"/>
      <c r="E4187" s="202"/>
      <c r="F4187" s="210"/>
      <c r="G4187" s="210"/>
      <c r="H4187" s="206" t="s">
        <v>121</v>
      </c>
      <c r="I4187" s="206" t="s">
        <v>121</v>
      </c>
      <c r="J4187" s="206" t="s">
        <v>121</v>
      </c>
      <c r="K4187" s="206" t="s">
        <v>121</v>
      </c>
      <c r="L4187" s="206" t="str">
        <v/>
      </c>
      <c r="M4187" s="206" t="str">
        <v/>
      </c>
    </row>
    <row r="4188" spans="1:13" ht="14.4">
      <c r="A4188" s="201"/>
      <c r="B4188" s="209"/>
      <c r="C4188" s="201"/>
      <c r="D4188" s="201"/>
      <c r="E4188" s="202"/>
      <c r="F4188" s="210"/>
      <c r="G4188" s="210"/>
      <c r="H4188" s="206" t="s">
        <v>121</v>
      </c>
      <c r="I4188" s="206" t="s">
        <v>121</v>
      </c>
      <c r="J4188" s="206" t="s">
        <v>121</v>
      </c>
      <c r="K4188" s="206" t="s">
        <v>121</v>
      </c>
      <c r="L4188" s="206" t="str">
        <v/>
      </c>
      <c r="M4188" s="206" t="str">
        <v/>
      </c>
    </row>
    <row r="4189" spans="1:13" ht="14.4">
      <c r="A4189" s="201"/>
      <c r="B4189" s="209"/>
      <c r="C4189" s="201"/>
      <c r="D4189" s="201"/>
      <c r="E4189" s="202"/>
      <c r="F4189" s="210"/>
      <c r="G4189" s="210"/>
      <c r="H4189" s="206" t="s">
        <v>121</v>
      </c>
      <c r="I4189" s="206" t="s">
        <v>121</v>
      </c>
      <c r="J4189" s="206" t="s">
        <v>121</v>
      </c>
      <c r="K4189" s="206" t="s">
        <v>121</v>
      </c>
      <c r="L4189" s="206" t="str">
        <v/>
      </c>
      <c r="M4189" s="206" t="str">
        <v/>
      </c>
    </row>
    <row r="4190" spans="1:13" ht="14.4">
      <c r="A4190" s="201"/>
      <c r="B4190" s="209"/>
      <c r="C4190" s="201"/>
      <c r="D4190" s="201"/>
      <c r="E4190" s="202"/>
      <c r="F4190" s="210"/>
      <c r="G4190" s="210"/>
      <c r="H4190" s="206" t="s">
        <v>121</v>
      </c>
      <c r="I4190" s="206" t="s">
        <v>121</v>
      </c>
      <c r="J4190" s="206" t="s">
        <v>121</v>
      </c>
      <c r="K4190" s="206" t="s">
        <v>121</v>
      </c>
      <c r="L4190" s="206" t="str">
        <v/>
      </c>
      <c r="M4190" s="206" t="str">
        <v/>
      </c>
    </row>
    <row r="4191" spans="1:13" ht="14.4">
      <c r="A4191" s="201"/>
      <c r="B4191" s="209"/>
      <c r="C4191" s="201"/>
      <c r="D4191" s="201"/>
      <c r="E4191" s="202"/>
      <c r="F4191" s="210"/>
      <c r="G4191" s="210"/>
      <c r="H4191" s="206" t="s">
        <v>121</v>
      </c>
      <c r="I4191" s="206" t="s">
        <v>121</v>
      </c>
      <c r="J4191" s="206" t="s">
        <v>121</v>
      </c>
      <c r="K4191" s="206" t="s">
        <v>121</v>
      </c>
      <c r="L4191" s="206" t="str">
        <v/>
      </c>
      <c r="M4191" s="206" t="str">
        <v/>
      </c>
    </row>
    <row r="4192" spans="1:13" ht="14.4">
      <c r="A4192" s="201"/>
      <c r="B4192" s="209"/>
      <c r="C4192" s="201"/>
      <c r="D4192" s="201"/>
      <c r="E4192" s="202"/>
      <c r="F4192" s="210"/>
      <c r="G4192" s="210"/>
      <c r="H4192" s="206" t="s">
        <v>121</v>
      </c>
      <c r="I4192" s="206" t="s">
        <v>121</v>
      </c>
      <c r="J4192" s="206" t="s">
        <v>121</v>
      </c>
      <c r="K4192" s="206" t="s">
        <v>121</v>
      </c>
      <c r="L4192" s="206" t="str">
        <v/>
      </c>
      <c r="M4192" s="206" t="str">
        <v/>
      </c>
    </row>
    <row r="4193" spans="1:13" ht="14.4">
      <c r="A4193" s="201"/>
      <c r="B4193" s="209"/>
      <c r="C4193" s="201"/>
      <c r="D4193" s="201"/>
      <c r="E4193" s="202"/>
      <c r="F4193" s="210"/>
      <c r="G4193" s="210"/>
      <c r="H4193" s="206" t="s">
        <v>121</v>
      </c>
      <c r="I4193" s="206" t="s">
        <v>121</v>
      </c>
      <c r="J4193" s="206" t="s">
        <v>121</v>
      </c>
      <c r="K4193" s="206" t="s">
        <v>121</v>
      </c>
      <c r="L4193" s="206" t="str">
        <v/>
      </c>
      <c r="M4193" s="206" t="str">
        <v/>
      </c>
    </row>
    <row r="4194" spans="1:13" ht="14.4">
      <c r="A4194" s="201"/>
      <c r="B4194" s="209"/>
      <c r="C4194" s="201"/>
      <c r="D4194" s="201"/>
      <c r="E4194" s="202"/>
      <c r="F4194" s="210"/>
      <c r="G4194" s="210"/>
      <c r="H4194" s="206" t="s">
        <v>121</v>
      </c>
      <c r="I4194" s="206" t="s">
        <v>121</v>
      </c>
      <c r="J4194" s="206" t="s">
        <v>121</v>
      </c>
      <c r="K4194" s="206" t="s">
        <v>121</v>
      </c>
      <c r="L4194" s="206" t="str">
        <v/>
      </c>
      <c r="M4194" s="206" t="str">
        <v/>
      </c>
    </row>
    <row r="4195" spans="1:13" ht="14.4">
      <c r="A4195" s="201"/>
      <c r="B4195" s="209"/>
      <c r="C4195" s="201"/>
      <c r="D4195" s="201"/>
      <c r="E4195" s="202"/>
      <c r="F4195" s="210"/>
      <c r="G4195" s="210"/>
      <c r="H4195" s="206" t="s">
        <v>121</v>
      </c>
      <c r="I4195" s="206" t="s">
        <v>121</v>
      </c>
      <c r="J4195" s="206" t="s">
        <v>121</v>
      </c>
      <c r="K4195" s="206" t="s">
        <v>121</v>
      </c>
      <c r="L4195" s="206" t="str">
        <v/>
      </c>
      <c r="M4195" s="206" t="str">
        <v/>
      </c>
    </row>
    <row r="4196" spans="1:13" ht="14.4">
      <c r="A4196" s="201"/>
      <c r="B4196" s="209"/>
      <c r="C4196" s="201"/>
      <c r="D4196" s="201"/>
      <c r="E4196" s="202"/>
      <c r="F4196" s="210"/>
      <c r="G4196" s="210"/>
      <c r="H4196" s="206" t="s">
        <v>121</v>
      </c>
      <c r="I4196" s="206" t="s">
        <v>121</v>
      </c>
      <c r="J4196" s="206" t="s">
        <v>121</v>
      </c>
      <c r="K4196" s="206" t="s">
        <v>121</v>
      </c>
      <c r="L4196" s="206" t="str">
        <v/>
      </c>
      <c r="M4196" s="206" t="str">
        <v/>
      </c>
    </row>
    <row r="4197" spans="1:13" ht="14.4">
      <c r="A4197" s="201"/>
      <c r="B4197" s="209"/>
      <c r="C4197" s="201"/>
      <c r="D4197" s="201"/>
      <c r="E4197" s="202"/>
      <c r="F4197" s="210"/>
      <c r="G4197" s="210"/>
      <c r="H4197" s="206" t="s">
        <v>121</v>
      </c>
      <c r="I4197" s="206" t="s">
        <v>121</v>
      </c>
      <c r="J4197" s="206" t="s">
        <v>121</v>
      </c>
      <c r="K4197" s="206" t="s">
        <v>121</v>
      </c>
      <c r="L4197" s="206" t="str">
        <v/>
      </c>
      <c r="M4197" s="206" t="str">
        <v/>
      </c>
    </row>
    <row r="4198" spans="1:13" ht="14.4">
      <c r="A4198" s="201"/>
      <c r="B4198" s="209"/>
      <c r="C4198" s="201"/>
      <c r="D4198" s="201"/>
      <c r="E4198" s="202"/>
      <c r="F4198" s="210"/>
      <c r="G4198" s="210"/>
      <c r="H4198" s="206" t="s">
        <v>121</v>
      </c>
      <c r="I4198" s="206" t="s">
        <v>121</v>
      </c>
      <c r="J4198" s="206" t="s">
        <v>121</v>
      </c>
      <c r="K4198" s="206" t="s">
        <v>121</v>
      </c>
      <c r="L4198" s="206" t="str">
        <v/>
      </c>
      <c r="M4198" s="206" t="str">
        <v/>
      </c>
    </row>
    <row r="4199" spans="1:13" ht="14.4">
      <c r="A4199" s="201"/>
      <c r="B4199" s="209"/>
      <c r="C4199" s="201"/>
      <c r="D4199" s="201"/>
      <c r="E4199" s="202"/>
      <c r="F4199" s="210"/>
      <c r="G4199" s="210"/>
      <c r="H4199" s="206" t="s">
        <v>121</v>
      </c>
      <c r="I4199" s="206" t="s">
        <v>121</v>
      </c>
      <c r="J4199" s="206" t="s">
        <v>121</v>
      </c>
      <c r="K4199" s="206" t="s">
        <v>121</v>
      </c>
      <c r="L4199" s="206" t="str">
        <v/>
      </c>
      <c r="M4199" s="206" t="str">
        <v/>
      </c>
    </row>
    <row r="4200" spans="1:13" ht="14.4">
      <c r="A4200" s="201"/>
      <c r="B4200" s="209"/>
      <c r="C4200" s="201"/>
      <c r="D4200" s="201"/>
      <c r="E4200" s="202"/>
      <c r="F4200" s="210"/>
      <c r="G4200" s="210"/>
      <c r="H4200" s="206" t="s">
        <v>121</v>
      </c>
      <c r="I4200" s="206" t="s">
        <v>121</v>
      </c>
      <c r="J4200" s="206" t="s">
        <v>121</v>
      </c>
      <c r="K4200" s="206" t="s">
        <v>121</v>
      </c>
      <c r="L4200" s="206" t="str">
        <v/>
      </c>
      <c r="M4200" s="206" t="str">
        <v/>
      </c>
    </row>
    <row r="4201" spans="1:13" ht="14.4">
      <c r="A4201" s="201"/>
      <c r="B4201" s="209"/>
      <c r="C4201" s="201"/>
      <c r="D4201" s="201"/>
      <c r="E4201" s="202"/>
      <c r="F4201" s="210"/>
      <c r="G4201" s="210"/>
      <c r="H4201" s="206" t="s">
        <v>121</v>
      </c>
      <c r="I4201" s="206" t="s">
        <v>121</v>
      </c>
      <c r="J4201" s="206" t="s">
        <v>121</v>
      </c>
      <c r="K4201" s="206" t="s">
        <v>121</v>
      </c>
      <c r="L4201" s="206" t="str">
        <v/>
      </c>
      <c r="M4201" s="206" t="str">
        <v/>
      </c>
    </row>
    <row r="4202" spans="1:13" ht="14.4">
      <c r="A4202" s="201"/>
      <c r="B4202" s="209"/>
      <c r="C4202" s="201"/>
      <c r="D4202" s="201"/>
      <c r="E4202" s="202"/>
      <c r="F4202" s="210"/>
      <c r="G4202" s="210"/>
      <c r="H4202" s="206" t="s">
        <v>121</v>
      </c>
      <c r="I4202" s="206" t="s">
        <v>121</v>
      </c>
      <c r="J4202" s="206" t="s">
        <v>121</v>
      </c>
      <c r="K4202" s="206" t="s">
        <v>121</v>
      </c>
      <c r="L4202" s="206" t="str">
        <v/>
      </c>
      <c r="M4202" s="206" t="str">
        <v/>
      </c>
    </row>
    <row r="4203" spans="1:13" ht="14.4">
      <c r="A4203" s="201"/>
      <c r="B4203" s="209"/>
      <c r="C4203" s="201"/>
      <c r="D4203" s="201"/>
      <c r="E4203" s="202"/>
      <c r="F4203" s="210"/>
      <c r="G4203" s="210"/>
      <c r="H4203" s="206" t="s">
        <v>121</v>
      </c>
      <c r="I4203" s="206" t="s">
        <v>121</v>
      </c>
      <c r="J4203" s="206" t="s">
        <v>121</v>
      </c>
      <c r="K4203" s="206" t="s">
        <v>121</v>
      </c>
      <c r="L4203" s="206" t="str">
        <v/>
      </c>
      <c r="M4203" s="206" t="str">
        <v/>
      </c>
    </row>
    <row r="4204" spans="1:13" ht="14.4">
      <c r="A4204" s="201"/>
      <c r="B4204" s="209"/>
      <c r="C4204" s="201"/>
      <c r="D4204" s="201"/>
      <c r="E4204" s="202"/>
      <c r="F4204" s="210"/>
      <c r="G4204" s="210"/>
      <c r="H4204" s="206" t="s">
        <v>121</v>
      </c>
      <c r="I4204" s="206" t="s">
        <v>121</v>
      </c>
      <c r="J4204" s="206" t="s">
        <v>121</v>
      </c>
      <c r="K4204" s="206" t="s">
        <v>121</v>
      </c>
      <c r="L4204" s="206" t="str">
        <v/>
      </c>
      <c r="M4204" s="206" t="str">
        <v/>
      </c>
    </row>
    <row r="4205" spans="1:13" ht="14.4">
      <c r="A4205" s="201"/>
      <c r="B4205" s="209"/>
      <c r="C4205" s="201"/>
      <c r="D4205" s="201"/>
      <c r="E4205" s="202"/>
      <c r="F4205" s="210"/>
      <c r="G4205" s="210"/>
      <c r="H4205" s="206" t="s">
        <v>121</v>
      </c>
      <c r="I4205" s="206" t="s">
        <v>121</v>
      </c>
      <c r="J4205" s="206" t="s">
        <v>121</v>
      </c>
      <c r="K4205" s="206" t="s">
        <v>121</v>
      </c>
      <c r="L4205" s="206" t="str">
        <v/>
      </c>
      <c r="M4205" s="206" t="str">
        <v/>
      </c>
    </row>
    <row r="4206" spans="1:13" ht="14.4">
      <c r="A4206" s="201"/>
      <c r="B4206" s="209"/>
      <c r="C4206" s="201"/>
      <c r="D4206" s="201"/>
      <c r="E4206" s="202"/>
      <c r="F4206" s="210"/>
      <c r="G4206" s="210"/>
      <c r="H4206" s="206" t="s">
        <v>121</v>
      </c>
      <c r="I4206" s="206" t="s">
        <v>121</v>
      </c>
      <c r="J4206" s="206" t="s">
        <v>121</v>
      </c>
      <c r="K4206" s="206" t="s">
        <v>121</v>
      </c>
      <c r="L4206" s="206" t="str">
        <v/>
      </c>
      <c r="M4206" s="206" t="str">
        <v/>
      </c>
    </row>
    <row r="4207" spans="1:13" ht="14.4">
      <c r="A4207" s="201"/>
      <c r="B4207" s="209"/>
      <c r="C4207" s="201"/>
      <c r="D4207" s="201"/>
      <c r="E4207" s="202"/>
      <c r="F4207" s="210"/>
      <c r="G4207" s="210"/>
      <c r="H4207" s="206" t="s">
        <v>121</v>
      </c>
      <c r="I4207" s="206" t="s">
        <v>121</v>
      </c>
      <c r="J4207" s="206" t="s">
        <v>121</v>
      </c>
      <c r="K4207" s="206" t="s">
        <v>121</v>
      </c>
      <c r="L4207" s="206" t="str">
        <v/>
      </c>
      <c r="M4207" s="206" t="str">
        <v/>
      </c>
    </row>
    <row r="4208" spans="1:13" ht="14.4">
      <c r="A4208" s="201"/>
      <c r="B4208" s="209"/>
      <c r="C4208" s="201"/>
      <c r="D4208" s="201"/>
      <c r="E4208" s="202"/>
      <c r="F4208" s="210"/>
      <c r="G4208" s="210"/>
      <c r="H4208" s="206" t="s">
        <v>121</v>
      </c>
      <c r="I4208" s="206" t="s">
        <v>121</v>
      </c>
      <c r="J4208" s="206" t="s">
        <v>121</v>
      </c>
      <c r="K4208" s="206" t="s">
        <v>121</v>
      </c>
      <c r="L4208" s="206" t="str">
        <v/>
      </c>
      <c r="M4208" s="206" t="str">
        <v/>
      </c>
    </row>
    <row r="4209" spans="1:13" ht="14.4">
      <c r="A4209" s="201"/>
      <c r="B4209" s="209"/>
      <c r="C4209" s="201"/>
      <c r="D4209" s="201"/>
      <c r="E4209" s="202"/>
      <c r="F4209" s="210"/>
      <c r="G4209" s="210"/>
      <c r="H4209" s="206" t="s">
        <v>121</v>
      </c>
      <c r="I4209" s="206" t="s">
        <v>121</v>
      </c>
      <c r="J4209" s="206" t="s">
        <v>121</v>
      </c>
      <c r="K4209" s="206" t="s">
        <v>121</v>
      </c>
      <c r="L4209" s="206" t="str">
        <v/>
      </c>
      <c r="M4209" s="206" t="str">
        <v/>
      </c>
    </row>
    <row r="4210" spans="1:13" ht="14.4">
      <c r="A4210" s="201"/>
      <c r="B4210" s="209"/>
      <c r="C4210" s="201"/>
      <c r="D4210" s="201"/>
      <c r="E4210" s="202"/>
      <c r="F4210" s="210"/>
      <c r="G4210" s="210"/>
      <c r="H4210" s="206" t="s">
        <v>121</v>
      </c>
      <c r="I4210" s="206" t="s">
        <v>121</v>
      </c>
      <c r="J4210" s="206" t="s">
        <v>121</v>
      </c>
      <c r="K4210" s="206" t="s">
        <v>121</v>
      </c>
      <c r="L4210" s="206" t="str">
        <v/>
      </c>
      <c r="M4210" s="206" t="str">
        <v/>
      </c>
    </row>
    <row r="4211" spans="1:13" ht="14.4">
      <c r="A4211" s="201"/>
      <c r="B4211" s="209"/>
      <c r="C4211" s="201"/>
      <c r="D4211" s="201"/>
      <c r="E4211" s="202"/>
      <c r="F4211" s="210"/>
      <c r="G4211" s="210"/>
      <c r="H4211" s="206" t="s">
        <v>121</v>
      </c>
      <c r="I4211" s="206" t="s">
        <v>121</v>
      </c>
      <c r="J4211" s="206" t="s">
        <v>121</v>
      </c>
      <c r="K4211" s="206" t="s">
        <v>121</v>
      </c>
      <c r="L4211" s="206" t="str">
        <v/>
      </c>
      <c r="M4211" s="206" t="str">
        <v/>
      </c>
    </row>
    <row r="4212" spans="1:13" ht="14.4">
      <c r="A4212" s="201"/>
      <c r="B4212" s="209"/>
      <c r="C4212" s="201"/>
      <c r="D4212" s="201"/>
      <c r="E4212" s="202"/>
      <c r="F4212" s="210"/>
      <c r="G4212" s="210"/>
      <c r="H4212" s="206" t="s">
        <v>121</v>
      </c>
      <c r="I4212" s="206" t="s">
        <v>121</v>
      </c>
      <c r="J4212" s="206" t="s">
        <v>121</v>
      </c>
      <c r="K4212" s="206" t="s">
        <v>121</v>
      </c>
      <c r="L4212" s="206" t="str">
        <v/>
      </c>
      <c r="M4212" s="206" t="str">
        <v/>
      </c>
    </row>
    <row r="4213" spans="1:13" ht="14.4">
      <c r="A4213" s="201"/>
      <c r="B4213" s="209"/>
      <c r="C4213" s="201"/>
      <c r="D4213" s="201"/>
      <c r="E4213" s="202"/>
      <c r="F4213" s="210"/>
      <c r="G4213" s="210"/>
      <c r="H4213" s="206" t="s">
        <v>121</v>
      </c>
      <c r="I4213" s="206" t="s">
        <v>121</v>
      </c>
      <c r="J4213" s="206" t="s">
        <v>121</v>
      </c>
      <c r="K4213" s="206" t="s">
        <v>121</v>
      </c>
      <c r="L4213" s="206" t="str">
        <v/>
      </c>
      <c r="M4213" s="206" t="str">
        <v/>
      </c>
    </row>
    <row r="4214" spans="1:13" ht="14.4">
      <c r="A4214" s="201"/>
      <c r="B4214" s="209"/>
      <c r="C4214" s="201"/>
      <c r="D4214" s="201"/>
      <c r="E4214" s="202"/>
      <c r="F4214" s="210"/>
      <c r="G4214" s="210"/>
      <c r="H4214" s="206" t="s">
        <v>121</v>
      </c>
      <c r="I4214" s="206" t="s">
        <v>121</v>
      </c>
      <c r="J4214" s="206" t="s">
        <v>121</v>
      </c>
      <c r="K4214" s="206" t="s">
        <v>121</v>
      </c>
      <c r="L4214" s="206" t="str">
        <v/>
      </c>
      <c r="M4214" s="206" t="str">
        <v/>
      </c>
    </row>
    <row r="4215" spans="1:13" ht="14.4">
      <c r="A4215" s="201"/>
      <c r="B4215" s="209"/>
      <c r="C4215" s="201"/>
      <c r="D4215" s="201"/>
      <c r="E4215" s="202"/>
      <c r="F4215" s="210"/>
      <c r="G4215" s="210"/>
      <c r="H4215" s="206" t="s">
        <v>121</v>
      </c>
      <c r="I4215" s="206" t="s">
        <v>121</v>
      </c>
      <c r="J4215" s="206" t="s">
        <v>121</v>
      </c>
      <c r="K4215" s="206" t="s">
        <v>121</v>
      </c>
      <c r="L4215" s="206" t="str">
        <v/>
      </c>
      <c r="M4215" s="206" t="str">
        <v/>
      </c>
    </row>
    <row r="4216" spans="1:13" ht="14.4">
      <c r="A4216" s="201"/>
      <c r="B4216" s="209"/>
      <c r="C4216" s="201"/>
      <c r="D4216" s="201"/>
      <c r="E4216" s="202"/>
      <c r="F4216" s="210"/>
      <c r="G4216" s="210"/>
      <c r="H4216" s="206" t="s">
        <v>121</v>
      </c>
      <c r="I4216" s="206" t="s">
        <v>121</v>
      </c>
      <c r="J4216" s="206" t="s">
        <v>121</v>
      </c>
      <c r="K4216" s="206" t="s">
        <v>121</v>
      </c>
      <c r="L4216" s="206" t="str">
        <v/>
      </c>
      <c r="M4216" s="206" t="str">
        <v/>
      </c>
    </row>
    <row r="4217" spans="1:13" ht="14.4">
      <c r="A4217" s="201"/>
      <c r="B4217" s="209"/>
      <c r="C4217" s="201"/>
      <c r="D4217" s="201"/>
      <c r="E4217" s="202"/>
      <c r="F4217" s="210"/>
      <c r="G4217" s="210"/>
      <c r="H4217" s="206" t="s">
        <v>121</v>
      </c>
      <c r="I4217" s="206" t="s">
        <v>121</v>
      </c>
      <c r="J4217" s="206" t="s">
        <v>121</v>
      </c>
      <c r="K4217" s="206" t="s">
        <v>121</v>
      </c>
      <c r="L4217" s="206" t="str">
        <v/>
      </c>
      <c r="M4217" s="206" t="str">
        <v/>
      </c>
    </row>
    <row r="4218" spans="1:13" ht="14.4">
      <c r="A4218" s="201"/>
      <c r="B4218" s="209"/>
      <c r="C4218" s="201"/>
      <c r="D4218" s="201"/>
      <c r="E4218" s="202"/>
      <c r="F4218" s="210"/>
      <c r="G4218" s="210"/>
      <c r="H4218" s="206" t="s">
        <v>121</v>
      </c>
      <c r="I4218" s="206" t="s">
        <v>121</v>
      </c>
      <c r="J4218" s="206" t="s">
        <v>121</v>
      </c>
      <c r="K4218" s="206" t="s">
        <v>121</v>
      </c>
      <c r="L4218" s="206" t="str">
        <v/>
      </c>
      <c r="M4218" s="206" t="str">
        <v/>
      </c>
    </row>
    <row r="4219" spans="1:13" ht="14.4">
      <c r="A4219" s="201"/>
      <c r="B4219" s="209"/>
      <c r="C4219" s="201"/>
      <c r="D4219" s="201"/>
      <c r="E4219" s="202"/>
      <c r="F4219" s="210"/>
      <c r="G4219" s="210"/>
      <c r="H4219" s="206" t="s">
        <v>121</v>
      </c>
      <c r="I4219" s="206" t="s">
        <v>121</v>
      </c>
      <c r="J4219" s="206" t="s">
        <v>121</v>
      </c>
      <c r="K4219" s="206" t="s">
        <v>121</v>
      </c>
      <c r="L4219" s="206" t="str">
        <v/>
      </c>
      <c r="M4219" s="206" t="str">
        <v/>
      </c>
    </row>
    <row r="4220" spans="1:13" ht="14.4">
      <c r="A4220" s="201"/>
      <c r="B4220" s="209"/>
      <c r="C4220" s="201"/>
      <c r="D4220" s="201"/>
      <c r="E4220" s="202"/>
      <c r="F4220" s="210"/>
      <c r="G4220" s="210"/>
      <c r="H4220" s="206" t="s">
        <v>121</v>
      </c>
      <c r="I4220" s="206" t="s">
        <v>121</v>
      </c>
      <c r="J4220" s="206" t="s">
        <v>121</v>
      </c>
      <c r="K4220" s="206" t="s">
        <v>121</v>
      </c>
      <c r="L4220" s="206" t="str">
        <v/>
      </c>
      <c r="M4220" s="206" t="str">
        <v/>
      </c>
    </row>
    <row r="4221" spans="1:13" ht="14.4">
      <c r="A4221" s="201"/>
      <c r="B4221" s="209"/>
      <c r="C4221" s="201"/>
      <c r="D4221" s="201"/>
      <c r="E4221" s="202"/>
      <c r="F4221" s="210"/>
      <c r="G4221" s="210"/>
      <c r="H4221" s="206" t="s">
        <v>121</v>
      </c>
      <c r="I4221" s="206" t="s">
        <v>121</v>
      </c>
      <c r="J4221" s="206" t="s">
        <v>121</v>
      </c>
      <c r="K4221" s="206" t="s">
        <v>121</v>
      </c>
      <c r="L4221" s="206" t="str">
        <v/>
      </c>
      <c r="M4221" s="206" t="str">
        <v/>
      </c>
    </row>
    <row r="4222" spans="1:13" ht="14.4">
      <c r="A4222" s="201"/>
      <c r="B4222" s="209"/>
      <c r="C4222" s="201"/>
      <c r="D4222" s="201"/>
      <c r="E4222" s="202"/>
      <c r="F4222" s="210"/>
      <c r="G4222" s="210"/>
      <c r="H4222" s="206" t="s">
        <v>121</v>
      </c>
      <c r="I4222" s="206" t="s">
        <v>121</v>
      </c>
      <c r="J4222" s="206" t="s">
        <v>121</v>
      </c>
      <c r="K4222" s="206" t="s">
        <v>121</v>
      </c>
      <c r="L4222" s="206" t="str">
        <v/>
      </c>
      <c r="M4222" s="206" t="str">
        <v/>
      </c>
    </row>
    <row r="4223" spans="1:13" ht="14.4">
      <c r="A4223" s="201"/>
      <c r="B4223" s="209"/>
      <c r="C4223" s="201"/>
      <c r="D4223" s="201"/>
      <c r="E4223" s="202"/>
      <c r="F4223" s="210"/>
      <c r="G4223" s="210"/>
      <c r="H4223" s="206" t="s">
        <v>121</v>
      </c>
      <c r="I4223" s="206" t="s">
        <v>121</v>
      </c>
      <c r="J4223" s="206" t="s">
        <v>121</v>
      </c>
      <c r="K4223" s="206" t="s">
        <v>121</v>
      </c>
      <c r="L4223" s="206" t="str">
        <v/>
      </c>
      <c r="M4223" s="206" t="str">
        <v/>
      </c>
    </row>
    <row r="4224" spans="1:13" ht="14.4">
      <c r="A4224" s="201"/>
      <c r="B4224" s="209"/>
      <c r="C4224" s="201"/>
      <c r="D4224" s="201"/>
      <c r="E4224" s="202"/>
      <c r="F4224" s="210"/>
      <c r="G4224" s="210"/>
      <c r="H4224" s="206" t="s">
        <v>121</v>
      </c>
      <c r="I4224" s="206" t="s">
        <v>121</v>
      </c>
      <c r="J4224" s="206" t="s">
        <v>121</v>
      </c>
      <c r="K4224" s="206" t="s">
        <v>121</v>
      </c>
      <c r="L4224" s="206" t="str">
        <v/>
      </c>
      <c r="M4224" s="206" t="str">
        <v/>
      </c>
    </row>
    <row r="4225" spans="1:13" ht="14.4">
      <c r="A4225" s="201"/>
      <c r="B4225" s="209"/>
      <c r="C4225" s="201"/>
      <c r="D4225" s="201"/>
      <c r="E4225" s="202"/>
      <c r="F4225" s="210"/>
      <c r="G4225" s="210"/>
      <c r="H4225" s="206" t="s">
        <v>121</v>
      </c>
      <c r="I4225" s="206" t="s">
        <v>121</v>
      </c>
      <c r="J4225" s="206" t="s">
        <v>121</v>
      </c>
      <c r="K4225" s="206" t="s">
        <v>121</v>
      </c>
      <c r="L4225" s="206" t="str">
        <v/>
      </c>
      <c r="M4225" s="206" t="str">
        <v/>
      </c>
    </row>
    <row r="4226" spans="1:13" ht="14.4">
      <c r="A4226" s="201"/>
      <c r="B4226" s="209"/>
      <c r="C4226" s="201"/>
      <c r="D4226" s="201"/>
      <c r="E4226" s="202"/>
      <c r="F4226" s="210"/>
      <c r="G4226" s="210"/>
      <c r="H4226" s="206" t="s">
        <v>121</v>
      </c>
      <c r="I4226" s="206" t="s">
        <v>121</v>
      </c>
      <c r="J4226" s="206" t="s">
        <v>121</v>
      </c>
      <c r="K4226" s="206" t="s">
        <v>121</v>
      </c>
      <c r="L4226" s="206" t="str">
        <v/>
      </c>
      <c r="M4226" s="206" t="str">
        <v/>
      </c>
    </row>
    <row r="4227" spans="1:13" ht="14.4">
      <c r="A4227" s="201"/>
      <c r="B4227" s="209"/>
      <c r="C4227" s="201"/>
      <c r="D4227" s="201"/>
      <c r="E4227" s="202"/>
      <c r="F4227" s="210"/>
      <c r="G4227" s="210"/>
      <c r="H4227" s="206" t="s">
        <v>121</v>
      </c>
      <c r="I4227" s="206" t="s">
        <v>121</v>
      </c>
      <c r="J4227" s="206" t="s">
        <v>121</v>
      </c>
      <c r="K4227" s="206" t="s">
        <v>121</v>
      </c>
      <c r="L4227" s="206" t="str">
        <v/>
      </c>
      <c r="M4227" s="206" t="str">
        <v/>
      </c>
    </row>
    <row r="4228" spans="1:13" ht="14.4">
      <c r="A4228" s="201"/>
      <c r="B4228" s="209"/>
      <c r="C4228" s="201"/>
      <c r="D4228" s="201"/>
      <c r="E4228" s="202"/>
      <c r="F4228" s="210"/>
      <c r="G4228" s="210"/>
      <c r="H4228" s="206" t="s">
        <v>121</v>
      </c>
      <c r="I4228" s="206" t="s">
        <v>121</v>
      </c>
      <c r="J4228" s="206" t="s">
        <v>121</v>
      </c>
      <c r="K4228" s="206" t="s">
        <v>121</v>
      </c>
      <c r="L4228" s="206" t="str">
        <v/>
      </c>
      <c r="M4228" s="206" t="str">
        <v/>
      </c>
    </row>
    <row r="4229" spans="1:13" ht="14.4">
      <c r="A4229" s="201"/>
      <c r="B4229" s="209"/>
      <c r="C4229" s="201"/>
      <c r="D4229" s="201"/>
      <c r="E4229" s="202"/>
      <c r="F4229" s="210"/>
      <c r="G4229" s="210"/>
      <c r="H4229" s="206" t="s">
        <v>121</v>
      </c>
      <c r="I4229" s="206" t="s">
        <v>121</v>
      </c>
      <c r="J4229" s="206" t="s">
        <v>121</v>
      </c>
      <c r="K4229" s="206" t="s">
        <v>121</v>
      </c>
      <c r="L4229" s="206" t="str">
        <v/>
      </c>
      <c r="M4229" s="206" t="str">
        <v/>
      </c>
    </row>
    <row r="4230" spans="1:13" ht="14.4">
      <c r="A4230" s="201"/>
      <c r="B4230" s="209"/>
      <c r="C4230" s="201"/>
      <c r="D4230" s="201"/>
      <c r="E4230" s="202"/>
      <c r="F4230" s="210"/>
      <c r="G4230" s="210"/>
      <c r="H4230" s="206" t="s">
        <v>121</v>
      </c>
      <c r="I4230" s="206" t="s">
        <v>121</v>
      </c>
      <c r="J4230" s="206" t="s">
        <v>121</v>
      </c>
      <c r="K4230" s="206" t="s">
        <v>121</v>
      </c>
      <c r="L4230" s="206" t="str">
        <v/>
      </c>
      <c r="M4230" s="206" t="str">
        <v/>
      </c>
    </row>
    <row r="4231" spans="1:13" ht="14.4">
      <c r="A4231" s="201"/>
      <c r="B4231" s="209"/>
      <c r="C4231" s="201"/>
      <c r="D4231" s="201"/>
      <c r="E4231" s="202"/>
      <c r="F4231" s="210"/>
      <c r="G4231" s="210"/>
      <c r="H4231" s="206" t="s">
        <v>121</v>
      </c>
      <c r="I4231" s="206" t="s">
        <v>121</v>
      </c>
      <c r="J4231" s="206" t="s">
        <v>121</v>
      </c>
      <c r="K4231" s="206" t="s">
        <v>121</v>
      </c>
      <c r="L4231" s="206" t="str">
        <v/>
      </c>
      <c r="M4231" s="206" t="str">
        <v/>
      </c>
    </row>
    <row r="4232" spans="1:13" ht="14.4">
      <c r="A4232" s="201"/>
      <c r="B4232" s="209"/>
      <c r="C4232" s="201"/>
      <c r="D4232" s="201"/>
      <c r="E4232" s="202"/>
      <c r="F4232" s="210"/>
      <c r="G4232" s="210"/>
      <c r="H4232" s="206" t="s">
        <v>121</v>
      </c>
      <c r="I4232" s="206" t="s">
        <v>121</v>
      </c>
      <c r="J4232" s="206" t="s">
        <v>121</v>
      </c>
      <c r="K4232" s="206" t="s">
        <v>121</v>
      </c>
      <c r="L4232" s="206" t="str">
        <v/>
      </c>
      <c r="M4232" s="206" t="str">
        <v/>
      </c>
    </row>
    <row r="4233" spans="1:13" ht="14.4">
      <c r="A4233" s="201"/>
      <c r="B4233" s="209"/>
      <c r="C4233" s="201"/>
      <c r="D4233" s="201"/>
      <c r="E4233" s="202"/>
      <c r="F4233" s="210"/>
      <c r="G4233" s="210"/>
      <c r="H4233" s="206" t="s">
        <v>121</v>
      </c>
      <c r="I4233" s="206" t="s">
        <v>121</v>
      </c>
      <c r="J4233" s="206" t="s">
        <v>121</v>
      </c>
      <c r="K4233" s="206" t="s">
        <v>121</v>
      </c>
      <c r="L4233" s="206" t="str">
        <v/>
      </c>
      <c r="M4233" s="206" t="str">
        <v/>
      </c>
    </row>
    <row r="4234" spans="1:13" ht="14.4">
      <c r="A4234" s="201"/>
      <c r="B4234" s="209"/>
      <c r="C4234" s="201"/>
      <c r="D4234" s="201"/>
      <c r="E4234" s="202"/>
      <c r="F4234" s="210"/>
      <c r="G4234" s="210"/>
      <c r="H4234" s="206" t="s">
        <v>121</v>
      </c>
      <c r="I4234" s="206" t="s">
        <v>121</v>
      </c>
      <c r="J4234" s="206" t="s">
        <v>121</v>
      </c>
      <c r="K4234" s="206" t="s">
        <v>121</v>
      </c>
      <c r="L4234" s="206" t="str">
        <v/>
      </c>
      <c r="M4234" s="206" t="str">
        <v/>
      </c>
    </row>
    <row r="4235" spans="1:13" ht="14.4">
      <c r="A4235" s="201"/>
      <c r="B4235" s="209"/>
      <c r="C4235" s="201"/>
      <c r="D4235" s="201"/>
      <c r="E4235" s="202"/>
      <c r="F4235" s="210"/>
      <c r="G4235" s="210"/>
      <c r="H4235" s="206" t="s">
        <v>121</v>
      </c>
      <c r="I4235" s="206" t="s">
        <v>121</v>
      </c>
      <c r="J4235" s="206" t="s">
        <v>121</v>
      </c>
      <c r="K4235" s="206" t="s">
        <v>121</v>
      </c>
      <c r="L4235" s="206" t="str">
        <v/>
      </c>
      <c r="M4235" s="206" t="str">
        <v/>
      </c>
    </row>
    <row r="4236" spans="1:13" ht="14.4">
      <c r="A4236" s="201"/>
      <c r="B4236" s="209"/>
      <c r="C4236" s="201"/>
      <c r="D4236" s="201"/>
      <c r="E4236" s="202"/>
      <c r="F4236" s="210"/>
      <c r="G4236" s="210"/>
      <c r="H4236" s="206" t="s">
        <v>121</v>
      </c>
      <c r="I4236" s="206" t="s">
        <v>121</v>
      </c>
      <c r="J4236" s="206" t="s">
        <v>121</v>
      </c>
      <c r="K4236" s="206" t="s">
        <v>121</v>
      </c>
      <c r="L4236" s="206" t="str">
        <v/>
      </c>
      <c r="M4236" s="206" t="str">
        <v/>
      </c>
    </row>
    <row r="4237" spans="1:13" ht="14.4">
      <c r="A4237" s="201"/>
      <c r="B4237" s="209"/>
      <c r="C4237" s="201"/>
      <c r="D4237" s="201"/>
      <c r="E4237" s="202"/>
      <c r="F4237" s="210"/>
      <c r="G4237" s="210"/>
      <c r="H4237" s="206" t="s">
        <v>121</v>
      </c>
      <c r="I4237" s="206" t="s">
        <v>121</v>
      </c>
      <c r="J4237" s="206" t="s">
        <v>121</v>
      </c>
      <c r="K4237" s="206" t="s">
        <v>121</v>
      </c>
      <c r="L4237" s="206" t="str">
        <v/>
      </c>
      <c r="M4237" s="206" t="str">
        <v/>
      </c>
    </row>
    <row r="4238" spans="1:13" ht="14.4">
      <c r="A4238" s="201"/>
      <c r="B4238" s="209"/>
      <c r="C4238" s="201"/>
      <c r="D4238" s="201"/>
      <c r="E4238" s="202"/>
      <c r="F4238" s="210"/>
      <c r="G4238" s="210"/>
      <c r="H4238" s="206" t="s">
        <v>121</v>
      </c>
      <c r="I4238" s="206" t="s">
        <v>121</v>
      </c>
      <c r="J4238" s="206" t="s">
        <v>121</v>
      </c>
      <c r="K4238" s="206" t="s">
        <v>121</v>
      </c>
      <c r="L4238" s="206" t="str">
        <v/>
      </c>
      <c r="M4238" s="206" t="str">
        <v/>
      </c>
    </row>
    <row r="4239" spans="1:13" ht="14.4">
      <c r="A4239" s="201"/>
      <c r="B4239" s="209"/>
      <c r="C4239" s="201"/>
      <c r="D4239" s="201"/>
      <c r="E4239" s="202"/>
      <c r="F4239" s="210"/>
      <c r="G4239" s="210"/>
      <c r="H4239" s="206" t="s">
        <v>121</v>
      </c>
      <c r="I4239" s="206" t="s">
        <v>121</v>
      </c>
      <c r="J4239" s="206" t="s">
        <v>121</v>
      </c>
      <c r="K4239" s="206" t="s">
        <v>121</v>
      </c>
      <c r="L4239" s="206" t="str">
        <v/>
      </c>
      <c r="M4239" s="206" t="str">
        <v/>
      </c>
    </row>
    <row r="4240" spans="1:13" ht="14.4">
      <c r="A4240" s="201"/>
      <c r="B4240" s="209"/>
      <c r="C4240" s="201"/>
      <c r="D4240" s="201"/>
      <c r="E4240" s="202"/>
      <c r="F4240" s="210"/>
      <c r="G4240" s="210"/>
      <c r="H4240" s="206" t="s">
        <v>121</v>
      </c>
      <c r="I4240" s="206" t="s">
        <v>121</v>
      </c>
      <c r="J4240" s="206" t="s">
        <v>121</v>
      </c>
      <c r="K4240" s="206" t="s">
        <v>121</v>
      </c>
      <c r="L4240" s="206" t="str">
        <v/>
      </c>
      <c r="M4240" s="206" t="str">
        <v/>
      </c>
    </row>
    <row r="4241" spans="1:13" ht="14.4">
      <c r="A4241" s="201"/>
      <c r="B4241" s="209"/>
      <c r="C4241" s="201"/>
      <c r="D4241" s="201"/>
      <c r="E4241" s="202"/>
      <c r="F4241" s="210"/>
      <c r="G4241" s="210"/>
      <c r="H4241" s="206" t="s">
        <v>121</v>
      </c>
      <c r="I4241" s="206" t="s">
        <v>121</v>
      </c>
      <c r="J4241" s="206" t="s">
        <v>121</v>
      </c>
      <c r="K4241" s="206" t="s">
        <v>121</v>
      </c>
      <c r="L4241" s="206" t="str">
        <v/>
      </c>
      <c r="M4241" s="206" t="str">
        <v/>
      </c>
    </row>
    <row r="4242" spans="1:13" ht="14.4">
      <c r="A4242" s="201"/>
      <c r="B4242" s="209"/>
      <c r="C4242" s="201"/>
      <c r="D4242" s="201"/>
      <c r="E4242" s="202"/>
      <c r="F4242" s="210"/>
      <c r="G4242" s="210"/>
      <c r="H4242" s="206" t="s">
        <v>121</v>
      </c>
      <c r="I4242" s="206" t="s">
        <v>121</v>
      </c>
      <c r="J4242" s="206" t="s">
        <v>121</v>
      </c>
      <c r="K4242" s="206" t="s">
        <v>121</v>
      </c>
      <c r="L4242" s="206" t="str">
        <v/>
      </c>
      <c r="M4242" s="206" t="str">
        <v/>
      </c>
    </row>
    <row r="4243" spans="1:13" ht="14.4">
      <c r="A4243" s="201"/>
      <c r="B4243" s="209"/>
      <c r="C4243" s="201"/>
      <c r="D4243" s="201"/>
      <c r="E4243" s="202"/>
      <c r="F4243" s="210"/>
      <c r="G4243" s="210"/>
      <c r="H4243" s="206" t="s">
        <v>121</v>
      </c>
      <c r="I4243" s="206" t="s">
        <v>121</v>
      </c>
      <c r="J4243" s="206" t="s">
        <v>121</v>
      </c>
      <c r="K4243" s="206" t="s">
        <v>121</v>
      </c>
      <c r="L4243" s="206" t="str">
        <v/>
      </c>
      <c r="M4243" s="206" t="str">
        <v/>
      </c>
    </row>
    <row r="4244" spans="1:13" ht="14.4">
      <c r="A4244" s="201"/>
      <c r="B4244" s="209"/>
      <c r="C4244" s="201"/>
      <c r="D4244" s="201"/>
      <c r="E4244" s="202"/>
      <c r="F4244" s="210"/>
      <c r="G4244" s="210"/>
      <c r="H4244" s="206" t="s">
        <v>121</v>
      </c>
      <c r="I4244" s="206" t="s">
        <v>121</v>
      </c>
      <c r="J4244" s="206" t="s">
        <v>121</v>
      </c>
      <c r="K4244" s="206" t="s">
        <v>121</v>
      </c>
      <c r="L4244" s="206" t="str">
        <v/>
      </c>
      <c r="M4244" s="206" t="str">
        <v/>
      </c>
    </row>
    <row r="4245" spans="1:13" ht="14.4">
      <c r="A4245" s="201"/>
      <c r="B4245" s="209"/>
      <c r="C4245" s="201"/>
      <c r="D4245" s="201"/>
      <c r="E4245" s="202"/>
      <c r="F4245" s="210"/>
      <c r="G4245" s="210"/>
      <c r="H4245" s="206" t="s">
        <v>121</v>
      </c>
      <c r="I4245" s="206" t="s">
        <v>121</v>
      </c>
      <c r="J4245" s="206" t="s">
        <v>121</v>
      </c>
      <c r="K4245" s="206" t="s">
        <v>121</v>
      </c>
      <c r="L4245" s="206" t="str">
        <v/>
      </c>
      <c r="M4245" s="206" t="str">
        <v/>
      </c>
    </row>
    <row r="4246" spans="1:13" ht="14.4">
      <c r="A4246" s="201"/>
      <c r="B4246" s="209"/>
      <c r="C4246" s="201"/>
      <c r="D4246" s="201"/>
      <c r="E4246" s="202"/>
      <c r="F4246" s="210"/>
      <c r="G4246" s="210"/>
      <c r="H4246" s="206" t="s">
        <v>121</v>
      </c>
      <c r="I4246" s="206" t="s">
        <v>121</v>
      </c>
      <c r="J4246" s="206" t="s">
        <v>121</v>
      </c>
      <c r="K4246" s="206" t="s">
        <v>121</v>
      </c>
      <c r="L4246" s="206" t="str">
        <v/>
      </c>
      <c r="M4246" s="206" t="str">
        <v/>
      </c>
    </row>
    <row r="4247" spans="1:13" ht="14.4">
      <c r="A4247" s="201"/>
      <c r="B4247" s="209"/>
      <c r="C4247" s="201"/>
      <c r="D4247" s="201"/>
      <c r="E4247" s="202"/>
      <c r="F4247" s="210"/>
      <c r="G4247" s="210"/>
      <c r="H4247" s="206" t="s">
        <v>121</v>
      </c>
      <c r="I4247" s="206" t="s">
        <v>121</v>
      </c>
      <c r="J4247" s="206" t="s">
        <v>121</v>
      </c>
      <c r="K4247" s="206" t="s">
        <v>121</v>
      </c>
      <c r="L4247" s="206" t="str">
        <v/>
      </c>
      <c r="M4247" s="206" t="str">
        <v/>
      </c>
    </row>
    <row r="4248" spans="1:13" ht="14.4">
      <c r="A4248" s="201"/>
      <c r="B4248" s="209"/>
      <c r="C4248" s="201"/>
      <c r="D4248" s="201"/>
      <c r="E4248" s="202"/>
      <c r="F4248" s="210"/>
      <c r="G4248" s="210"/>
      <c r="H4248" s="206" t="s">
        <v>121</v>
      </c>
      <c r="I4248" s="206" t="s">
        <v>121</v>
      </c>
      <c r="J4248" s="206" t="s">
        <v>121</v>
      </c>
      <c r="K4248" s="206" t="s">
        <v>121</v>
      </c>
      <c r="L4248" s="206" t="str">
        <v/>
      </c>
      <c r="M4248" s="206" t="str">
        <v/>
      </c>
    </row>
    <row r="4249" spans="1:13" ht="14.4">
      <c r="A4249" s="201"/>
      <c r="B4249" s="209"/>
      <c r="C4249" s="201"/>
      <c r="D4249" s="201"/>
      <c r="E4249" s="202"/>
      <c r="F4249" s="210"/>
      <c r="G4249" s="210"/>
      <c r="H4249" s="206" t="s">
        <v>121</v>
      </c>
      <c r="I4249" s="206" t="s">
        <v>121</v>
      </c>
      <c r="J4249" s="206" t="s">
        <v>121</v>
      </c>
      <c r="K4249" s="206" t="s">
        <v>121</v>
      </c>
      <c r="L4249" s="206" t="str">
        <v/>
      </c>
      <c r="M4249" s="206" t="str">
        <v/>
      </c>
    </row>
    <row r="4250" spans="1:13" ht="14.4">
      <c r="A4250" s="201"/>
      <c r="B4250" s="209"/>
      <c r="C4250" s="201"/>
      <c r="D4250" s="201"/>
      <c r="E4250" s="202"/>
      <c r="F4250" s="210"/>
      <c r="G4250" s="210"/>
      <c r="H4250" s="206" t="s">
        <v>121</v>
      </c>
      <c r="I4250" s="206" t="s">
        <v>121</v>
      </c>
      <c r="J4250" s="206" t="s">
        <v>121</v>
      </c>
      <c r="K4250" s="206" t="s">
        <v>121</v>
      </c>
      <c r="L4250" s="206" t="str">
        <v/>
      </c>
      <c r="M4250" s="206" t="str">
        <v/>
      </c>
    </row>
    <row r="4251" spans="1:13" ht="14.4">
      <c r="A4251" s="201"/>
      <c r="B4251" s="209"/>
      <c r="C4251" s="201"/>
      <c r="D4251" s="201"/>
      <c r="E4251" s="202"/>
      <c r="F4251" s="210"/>
      <c r="G4251" s="210"/>
      <c r="H4251" s="206" t="s">
        <v>121</v>
      </c>
      <c r="I4251" s="206" t="s">
        <v>121</v>
      </c>
      <c r="J4251" s="206" t="s">
        <v>121</v>
      </c>
      <c r="K4251" s="206" t="s">
        <v>121</v>
      </c>
      <c r="L4251" s="206" t="str">
        <v/>
      </c>
      <c r="M4251" s="206" t="str">
        <v/>
      </c>
    </row>
    <row r="4252" spans="1:13" ht="14.4">
      <c r="A4252" s="201"/>
      <c r="B4252" s="209"/>
      <c r="C4252" s="201"/>
      <c r="D4252" s="201"/>
      <c r="E4252" s="202"/>
      <c r="F4252" s="210"/>
      <c r="G4252" s="210"/>
      <c r="H4252" s="206" t="s">
        <v>121</v>
      </c>
      <c r="I4252" s="206" t="s">
        <v>121</v>
      </c>
      <c r="J4252" s="206" t="s">
        <v>121</v>
      </c>
      <c r="K4252" s="206" t="s">
        <v>121</v>
      </c>
      <c r="L4252" s="206" t="str">
        <v/>
      </c>
      <c r="M4252" s="206" t="str">
        <v/>
      </c>
    </row>
    <row r="4253" spans="1:13" ht="14.4">
      <c r="A4253" s="201"/>
      <c r="B4253" s="209"/>
      <c r="C4253" s="201"/>
      <c r="D4253" s="201"/>
      <c r="E4253" s="202"/>
      <c r="F4253" s="210"/>
      <c r="G4253" s="210"/>
      <c r="H4253" s="206" t="s">
        <v>121</v>
      </c>
      <c r="I4253" s="206" t="s">
        <v>121</v>
      </c>
      <c r="J4253" s="206" t="s">
        <v>121</v>
      </c>
      <c r="K4253" s="206" t="s">
        <v>121</v>
      </c>
      <c r="L4253" s="206" t="str">
        <v/>
      </c>
      <c r="M4253" s="206" t="str">
        <v/>
      </c>
    </row>
    <row r="4254" spans="1:13" ht="14.4">
      <c r="A4254" s="201"/>
      <c r="B4254" s="209"/>
      <c r="C4254" s="201"/>
      <c r="D4254" s="201"/>
      <c r="E4254" s="202"/>
      <c r="F4254" s="210"/>
      <c r="G4254" s="210"/>
      <c r="H4254" s="206" t="s">
        <v>121</v>
      </c>
      <c r="I4254" s="206" t="s">
        <v>121</v>
      </c>
      <c r="J4254" s="206" t="s">
        <v>121</v>
      </c>
      <c r="K4254" s="206" t="s">
        <v>121</v>
      </c>
      <c r="L4254" s="206" t="str">
        <v/>
      </c>
      <c r="M4254" s="206" t="str">
        <v/>
      </c>
    </row>
    <row r="4255" spans="1:13" ht="14.4">
      <c r="A4255" s="201"/>
      <c r="B4255" s="209"/>
      <c r="C4255" s="201"/>
      <c r="D4255" s="201"/>
      <c r="E4255" s="202"/>
      <c r="F4255" s="210"/>
      <c r="G4255" s="210"/>
      <c r="H4255" s="206" t="s">
        <v>121</v>
      </c>
      <c r="I4255" s="206" t="s">
        <v>121</v>
      </c>
      <c r="J4255" s="206" t="s">
        <v>121</v>
      </c>
      <c r="K4255" s="206" t="s">
        <v>121</v>
      </c>
      <c r="L4255" s="206" t="str">
        <v/>
      </c>
      <c r="M4255" s="206" t="str">
        <v/>
      </c>
    </row>
    <row r="4256" spans="1:13" ht="14.4">
      <c r="A4256" s="201"/>
      <c r="B4256" s="209"/>
      <c r="C4256" s="201"/>
      <c r="D4256" s="201"/>
      <c r="E4256" s="202"/>
      <c r="F4256" s="210"/>
      <c r="G4256" s="210"/>
      <c r="H4256" s="206" t="s">
        <v>121</v>
      </c>
      <c r="I4256" s="206" t="s">
        <v>121</v>
      </c>
      <c r="J4256" s="206" t="s">
        <v>121</v>
      </c>
      <c r="K4256" s="206" t="s">
        <v>121</v>
      </c>
      <c r="L4256" s="206" t="str">
        <v/>
      </c>
      <c r="M4256" s="206" t="str">
        <v/>
      </c>
    </row>
    <row r="4257" spans="1:13" ht="14.4">
      <c r="A4257" s="201"/>
      <c r="B4257" s="209"/>
      <c r="C4257" s="201"/>
      <c r="D4257" s="201"/>
      <c r="E4257" s="202"/>
      <c r="F4257" s="210"/>
      <c r="G4257" s="210"/>
      <c r="H4257" s="206" t="s">
        <v>121</v>
      </c>
      <c r="I4257" s="206" t="s">
        <v>121</v>
      </c>
      <c r="J4257" s="206" t="s">
        <v>121</v>
      </c>
      <c r="K4257" s="206" t="s">
        <v>121</v>
      </c>
      <c r="L4257" s="206" t="str">
        <v/>
      </c>
      <c r="M4257" s="206" t="str">
        <v/>
      </c>
    </row>
    <row r="4258" spans="1:13" ht="14.4">
      <c r="A4258" s="201"/>
      <c r="B4258" s="209"/>
      <c r="C4258" s="201"/>
      <c r="D4258" s="201"/>
      <c r="E4258" s="202"/>
      <c r="F4258" s="210"/>
      <c r="G4258" s="210"/>
      <c r="H4258" s="206" t="s">
        <v>121</v>
      </c>
      <c r="I4258" s="206" t="s">
        <v>121</v>
      </c>
      <c r="J4258" s="206" t="s">
        <v>121</v>
      </c>
      <c r="K4258" s="206" t="s">
        <v>121</v>
      </c>
      <c r="L4258" s="206" t="str">
        <v/>
      </c>
      <c r="M4258" s="206" t="str">
        <v/>
      </c>
    </row>
    <row r="4259" spans="1:13" ht="14.4">
      <c r="A4259" s="201"/>
      <c r="B4259" s="209"/>
      <c r="C4259" s="201"/>
      <c r="D4259" s="201"/>
      <c r="E4259" s="202"/>
      <c r="F4259" s="210"/>
      <c r="G4259" s="210"/>
      <c r="H4259" s="206" t="s">
        <v>121</v>
      </c>
      <c r="I4259" s="206" t="s">
        <v>121</v>
      </c>
      <c r="J4259" s="206" t="s">
        <v>121</v>
      </c>
      <c r="K4259" s="206" t="s">
        <v>121</v>
      </c>
      <c r="L4259" s="206" t="str">
        <v/>
      </c>
      <c r="M4259" s="206" t="str">
        <v/>
      </c>
    </row>
    <row r="4260" spans="1:13" ht="14.4">
      <c r="A4260" s="201"/>
      <c r="B4260" s="209"/>
      <c r="C4260" s="201"/>
      <c r="D4260" s="201"/>
      <c r="E4260" s="202"/>
      <c r="F4260" s="210"/>
      <c r="G4260" s="210"/>
      <c r="H4260" s="206" t="s">
        <v>121</v>
      </c>
      <c r="I4260" s="206" t="s">
        <v>121</v>
      </c>
      <c r="J4260" s="206" t="s">
        <v>121</v>
      </c>
      <c r="K4260" s="206" t="s">
        <v>121</v>
      </c>
      <c r="L4260" s="206" t="str">
        <v/>
      </c>
      <c r="M4260" s="206" t="str">
        <v/>
      </c>
    </row>
    <row r="4261" spans="1:13" ht="14.4">
      <c r="A4261" s="201"/>
      <c r="B4261" s="209"/>
      <c r="C4261" s="201"/>
      <c r="D4261" s="201"/>
      <c r="E4261" s="202"/>
      <c r="F4261" s="210"/>
      <c r="G4261" s="210"/>
      <c r="H4261" s="206" t="s">
        <v>121</v>
      </c>
      <c r="I4261" s="206" t="s">
        <v>121</v>
      </c>
      <c r="J4261" s="206" t="s">
        <v>121</v>
      </c>
      <c r="K4261" s="206" t="s">
        <v>121</v>
      </c>
      <c r="L4261" s="206" t="str">
        <v/>
      </c>
      <c r="M4261" s="206" t="str">
        <v/>
      </c>
    </row>
    <row r="4262" spans="1:13" ht="14.4">
      <c r="A4262" s="201"/>
      <c r="B4262" s="209"/>
      <c r="C4262" s="201"/>
      <c r="D4262" s="201"/>
      <c r="E4262" s="202"/>
      <c r="F4262" s="210"/>
      <c r="G4262" s="210"/>
      <c r="H4262" s="206" t="s">
        <v>121</v>
      </c>
      <c r="I4262" s="206" t="s">
        <v>121</v>
      </c>
      <c r="J4262" s="206" t="s">
        <v>121</v>
      </c>
      <c r="K4262" s="206" t="s">
        <v>121</v>
      </c>
      <c r="L4262" s="206" t="str">
        <v/>
      </c>
      <c r="M4262" s="206" t="str">
        <v/>
      </c>
    </row>
    <row r="4263" spans="1:13" ht="14.4">
      <c r="A4263" s="201"/>
      <c r="B4263" s="209"/>
      <c r="C4263" s="201"/>
      <c r="D4263" s="201"/>
      <c r="E4263" s="202"/>
      <c r="F4263" s="210"/>
      <c r="G4263" s="210"/>
      <c r="H4263" s="206" t="s">
        <v>121</v>
      </c>
      <c r="I4263" s="206" t="s">
        <v>121</v>
      </c>
      <c r="J4263" s="206" t="s">
        <v>121</v>
      </c>
      <c r="K4263" s="206" t="s">
        <v>121</v>
      </c>
      <c r="L4263" s="206" t="str">
        <v/>
      </c>
      <c r="M4263" s="206" t="str">
        <v/>
      </c>
    </row>
    <row r="4264" spans="1:13" ht="14.4">
      <c r="A4264" s="201"/>
      <c r="B4264" s="209"/>
      <c r="C4264" s="201"/>
      <c r="D4264" s="201"/>
      <c r="E4264" s="202"/>
      <c r="F4264" s="210"/>
      <c r="G4264" s="210"/>
      <c r="H4264" s="206" t="s">
        <v>121</v>
      </c>
      <c r="I4264" s="206" t="s">
        <v>121</v>
      </c>
      <c r="J4264" s="206" t="s">
        <v>121</v>
      </c>
      <c r="K4264" s="206" t="s">
        <v>121</v>
      </c>
      <c r="L4264" s="206" t="str">
        <v/>
      </c>
      <c r="M4264" s="206" t="str">
        <v/>
      </c>
    </row>
    <row r="4265" spans="1:13" ht="14.4">
      <c r="A4265" s="201"/>
      <c r="B4265" s="209"/>
      <c r="C4265" s="201"/>
      <c r="D4265" s="201"/>
      <c r="E4265" s="202"/>
      <c r="F4265" s="210"/>
      <c r="G4265" s="210"/>
      <c r="H4265" s="206" t="s">
        <v>121</v>
      </c>
      <c r="I4265" s="206" t="s">
        <v>121</v>
      </c>
      <c r="J4265" s="206" t="s">
        <v>121</v>
      </c>
      <c r="K4265" s="206" t="s">
        <v>121</v>
      </c>
      <c r="L4265" s="206" t="str">
        <v/>
      </c>
      <c r="M4265" s="206" t="str">
        <v/>
      </c>
    </row>
    <row r="4266" spans="1:13" ht="14.4">
      <c r="A4266" s="201"/>
      <c r="B4266" s="209"/>
      <c r="C4266" s="201"/>
      <c r="D4266" s="201"/>
      <c r="E4266" s="202"/>
      <c r="F4266" s="210"/>
      <c r="G4266" s="210"/>
      <c r="H4266" s="206" t="s">
        <v>121</v>
      </c>
      <c r="I4266" s="206" t="s">
        <v>121</v>
      </c>
      <c r="J4266" s="206" t="s">
        <v>121</v>
      </c>
      <c r="K4266" s="206" t="s">
        <v>121</v>
      </c>
      <c r="L4266" s="206" t="str">
        <v/>
      </c>
      <c r="M4266" s="206" t="str">
        <v/>
      </c>
    </row>
    <row r="4267" spans="1:13" ht="14.4">
      <c r="A4267" s="201"/>
      <c r="B4267" s="209"/>
      <c r="C4267" s="201"/>
      <c r="D4267" s="201"/>
      <c r="E4267" s="202"/>
      <c r="F4267" s="210"/>
      <c r="G4267" s="210"/>
      <c r="H4267" s="206" t="s">
        <v>121</v>
      </c>
      <c r="I4267" s="206" t="s">
        <v>121</v>
      </c>
      <c r="J4267" s="206" t="s">
        <v>121</v>
      </c>
      <c r="K4267" s="206" t="s">
        <v>121</v>
      </c>
      <c r="L4267" s="206" t="str">
        <v/>
      </c>
      <c r="M4267" s="206" t="str">
        <v/>
      </c>
    </row>
    <row r="4268" spans="1:13" ht="14.4">
      <c r="A4268" s="201"/>
      <c r="B4268" s="209"/>
      <c r="C4268" s="201"/>
      <c r="D4268" s="201"/>
      <c r="E4268" s="202"/>
      <c r="F4268" s="210"/>
      <c r="G4268" s="210"/>
      <c r="H4268" s="206" t="s">
        <v>121</v>
      </c>
      <c r="I4268" s="206" t="s">
        <v>121</v>
      </c>
      <c r="J4268" s="206" t="s">
        <v>121</v>
      </c>
      <c r="K4268" s="206" t="s">
        <v>121</v>
      </c>
      <c r="L4268" s="206" t="str">
        <v/>
      </c>
      <c r="M4268" s="206" t="str">
        <v/>
      </c>
    </row>
    <row r="4269" spans="1:13" ht="14.4">
      <c r="A4269" s="201"/>
      <c r="B4269" s="209"/>
      <c r="C4269" s="201"/>
      <c r="D4269" s="201"/>
      <c r="E4269" s="202"/>
      <c r="F4269" s="210"/>
      <c r="G4269" s="210"/>
      <c r="H4269" s="206" t="s">
        <v>121</v>
      </c>
      <c r="I4269" s="206" t="s">
        <v>121</v>
      </c>
      <c r="J4269" s="206" t="s">
        <v>121</v>
      </c>
      <c r="K4269" s="206" t="s">
        <v>121</v>
      </c>
      <c r="L4269" s="206" t="str">
        <v/>
      </c>
      <c r="M4269" s="206" t="str">
        <v/>
      </c>
    </row>
    <row r="4270" spans="1:13" ht="14.4">
      <c r="A4270" s="201"/>
      <c r="B4270" s="209"/>
      <c r="C4270" s="201"/>
      <c r="D4270" s="201"/>
      <c r="E4270" s="202"/>
      <c r="F4270" s="210"/>
      <c r="G4270" s="210"/>
      <c r="H4270" s="206" t="s">
        <v>121</v>
      </c>
      <c r="I4270" s="206" t="s">
        <v>121</v>
      </c>
      <c r="J4270" s="206" t="s">
        <v>121</v>
      </c>
      <c r="K4270" s="206" t="s">
        <v>121</v>
      </c>
      <c r="L4270" s="206" t="str">
        <v/>
      </c>
      <c r="M4270" s="206" t="str">
        <v/>
      </c>
    </row>
    <row r="4271" spans="1:13" ht="14.4">
      <c r="A4271" s="201"/>
      <c r="B4271" s="209"/>
      <c r="C4271" s="201"/>
      <c r="D4271" s="201"/>
      <c r="E4271" s="202"/>
      <c r="F4271" s="210"/>
      <c r="G4271" s="210"/>
      <c r="H4271" s="206" t="s">
        <v>121</v>
      </c>
      <c r="I4271" s="206" t="s">
        <v>121</v>
      </c>
      <c r="J4271" s="206" t="s">
        <v>121</v>
      </c>
      <c r="K4271" s="206" t="s">
        <v>121</v>
      </c>
      <c r="L4271" s="206" t="str">
        <v/>
      </c>
      <c r="M4271" s="206" t="str">
        <v/>
      </c>
    </row>
    <row r="4272" spans="1:13" ht="14.4">
      <c r="A4272" s="201"/>
      <c r="B4272" s="209"/>
      <c r="C4272" s="201"/>
      <c r="D4272" s="201"/>
      <c r="E4272" s="202"/>
      <c r="F4272" s="210"/>
      <c r="G4272" s="210"/>
      <c r="H4272" s="206" t="s">
        <v>121</v>
      </c>
      <c r="I4272" s="206" t="s">
        <v>121</v>
      </c>
      <c r="J4272" s="206" t="s">
        <v>121</v>
      </c>
      <c r="K4272" s="206" t="s">
        <v>121</v>
      </c>
      <c r="L4272" s="206" t="str">
        <v/>
      </c>
      <c r="M4272" s="206" t="str">
        <v/>
      </c>
    </row>
    <row r="4273" spans="1:13" ht="14.4">
      <c r="A4273" s="201"/>
      <c r="B4273" s="209"/>
      <c r="C4273" s="201"/>
      <c r="D4273" s="201"/>
      <c r="E4273" s="202"/>
      <c r="F4273" s="210"/>
      <c r="G4273" s="210"/>
      <c r="H4273" s="206" t="s">
        <v>121</v>
      </c>
      <c r="I4273" s="206" t="s">
        <v>121</v>
      </c>
      <c r="J4273" s="206" t="s">
        <v>121</v>
      </c>
      <c r="K4273" s="206" t="s">
        <v>121</v>
      </c>
      <c r="L4273" s="206" t="str">
        <v/>
      </c>
      <c r="M4273" s="206" t="str">
        <v/>
      </c>
    </row>
    <row r="4274" spans="1:13" ht="14.4">
      <c r="A4274" s="201"/>
      <c r="B4274" s="209"/>
      <c r="C4274" s="201"/>
      <c r="D4274" s="201"/>
      <c r="E4274" s="202"/>
      <c r="F4274" s="210"/>
      <c r="G4274" s="210"/>
      <c r="H4274" s="206" t="s">
        <v>121</v>
      </c>
      <c r="I4274" s="206" t="s">
        <v>121</v>
      </c>
      <c r="J4274" s="206" t="s">
        <v>121</v>
      </c>
      <c r="K4274" s="206" t="s">
        <v>121</v>
      </c>
      <c r="L4274" s="206" t="str">
        <v/>
      </c>
      <c r="M4274" s="206" t="str">
        <v/>
      </c>
    </row>
    <row r="4275" spans="1:13" ht="14.4">
      <c r="A4275" s="201"/>
      <c r="B4275" s="209"/>
      <c r="C4275" s="201"/>
      <c r="D4275" s="201"/>
      <c r="E4275" s="202"/>
      <c r="F4275" s="210"/>
      <c r="G4275" s="210"/>
      <c r="H4275" s="206" t="s">
        <v>121</v>
      </c>
      <c r="I4275" s="206" t="s">
        <v>121</v>
      </c>
      <c r="J4275" s="206" t="s">
        <v>121</v>
      </c>
      <c r="K4275" s="206" t="s">
        <v>121</v>
      </c>
      <c r="L4275" s="206" t="str">
        <v/>
      </c>
      <c r="M4275" s="206" t="str">
        <v/>
      </c>
    </row>
    <row r="4276" spans="1:13" ht="14.4">
      <c r="A4276" s="201"/>
      <c r="B4276" s="209"/>
      <c r="C4276" s="201"/>
      <c r="D4276" s="201"/>
      <c r="E4276" s="202"/>
      <c r="F4276" s="210"/>
      <c r="G4276" s="210"/>
      <c r="H4276" s="206" t="s">
        <v>121</v>
      </c>
      <c r="I4276" s="206" t="s">
        <v>121</v>
      </c>
      <c r="J4276" s="206" t="s">
        <v>121</v>
      </c>
      <c r="K4276" s="206" t="s">
        <v>121</v>
      </c>
      <c r="L4276" s="206" t="str">
        <v/>
      </c>
      <c r="M4276" s="206" t="str">
        <v/>
      </c>
    </row>
    <row r="4277" spans="1:13" ht="14.4">
      <c r="A4277" s="201"/>
      <c r="B4277" s="209"/>
      <c r="C4277" s="201"/>
      <c r="D4277" s="201"/>
      <c r="E4277" s="202"/>
      <c r="F4277" s="210"/>
      <c r="G4277" s="210"/>
      <c r="H4277" s="206" t="s">
        <v>121</v>
      </c>
      <c r="I4277" s="206" t="s">
        <v>121</v>
      </c>
      <c r="J4277" s="206" t="s">
        <v>121</v>
      </c>
      <c r="K4277" s="206" t="s">
        <v>121</v>
      </c>
      <c r="L4277" s="206" t="str">
        <v/>
      </c>
      <c r="M4277" s="206" t="str">
        <v/>
      </c>
    </row>
    <row r="4278" spans="1:13" ht="14.4">
      <c r="A4278" s="201"/>
      <c r="B4278" s="209"/>
      <c r="C4278" s="201"/>
      <c r="D4278" s="201"/>
      <c r="E4278" s="202"/>
      <c r="F4278" s="210"/>
      <c r="G4278" s="210"/>
      <c r="H4278" s="206" t="s">
        <v>121</v>
      </c>
      <c r="I4278" s="206" t="s">
        <v>121</v>
      </c>
      <c r="J4278" s="206" t="s">
        <v>121</v>
      </c>
      <c r="K4278" s="206" t="s">
        <v>121</v>
      </c>
      <c r="L4278" s="206" t="str">
        <v/>
      </c>
      <c r="M4278" s="206" t="str">
        <v/>
      </c>
    </row>
    <row r="4279" spans="1:13" ht="14.4">
      <c r="A4279" s="201"/>
      <c r="B4279" s="209"/>
      <c r="C4279" s="201"/>
      <c r="D4279" s="201"/>
      <c r="E4279" s="202"/>
      <c r="F4279" s="210"/>
      <c r="G4279" s="210"/>
      <c r="H4279" s="206" t="s">
        <v>121</v>
      </c>
      <c r="I4279" s="206" t="s">
        <v>121</v>
      </c>
      <c r="J4279" s="206" t="s">
        <v>121</v>
      </c>
      <c r="K4279" s="206" t="s">
        <v>121</v>
      </c>
      <c r="L4279" s="206" t="str">
        <v/>
      </c>
      <c r="M4279" s="206" t="str">
        <v/>
      </c>
    </row>
    <row r="4280" spans="1:13" ht="14.4">
      <c r="A4280" s="201"/>
      <c r="B4280" s="209"/>
      <c r="C4280" s="201"/>
      <c r="D4280" s="201"/>
      <c r="E4280" s="202"/>
      <c r="F4280" s="210"/>
      <c r="G4280" s="210"/>
      <c r="H4280" s="206" t="s">
        <v>121</v>
      </c>
      <c r="I4280" s="206" t="s">
        <v>121</v>
      </c>
      <c r="J4280" s="206" t="s">
        <v>121</v>
      </c>
      <c r="K4280" s="206" t="s">
        <v>121</v>
      </c>
      <c r="L4280" s="206" t="str">
        <v/>
      </c>
      <c r="M4280" s="206" t="str">
        <v/>
      </c>
    </row>
    <row r="4281" spans="1:13" ht="14.4">
      <c r="A4281" s="201"/>
      <c r="B4281" s="209"/>
      <c r="C4281" s="201"/>
      <c r="D4281" s="201"/>
      <c r="E4281" s="202"/>
      <c r="F4281" s="210"/>
      <c r="G4281" s="210"/>
      <c r="H4281" s="206" t="s">
        <v>121</v>
      </c>
      <c r="I4281" s="206" t="s">
        <v>121</v>
      </c>
      <c r="J4281" s="206" t="s">
        <v>121</v>
      </c>
      <c r="K4281" s="206" t="s">
        <v>121</v>
      </c>
      <c r="L4281" s="206" t="str">
        <v/>
      </c>
      <c r="M4281" s="206" t="str">
        <v/>
      </c>
    </row>
    <row r="4282" spans="1:13" ht="14.4">
      <c r="A4282" s="201"/>
      <c r="B4282" s="209"/>
      <c r="C4282" s="201"/>
      <c r="D4282" s="201"/>
      <c r="E4282" s="202"/>
      <c r="F4282" s="210"/>
      <c r="G4282" s="210"/>
      <c r="H4282" s="206" t="s">
        <v>121</v>
      </c>
      <c r="I4282" s="206" t="s">
        <v>121</v>
      </c>
      <c r="J4282" s="206" t="s">
        <v>121</v>
      </c>
      <c r="K4282" s="206" t="s">
        <v>121</v>
      </c>
      <c r="L4282" s="206" t="str">
        <v/>
      </c>
      <c r="M4282" s="206" t="str">
        <v/>
      </c>
    </row>
    <row r="4283" spans="1:13" ht="14.4">
      <c r="A4283" s="201"/>
      <c r="B4283" s="209"/>
      <c r="C4283" s="201"/>
      <c r="D4283" s="201"/>
      <c r="E4283" s="202"/>
      <c r="F4283" s="210"/>
      <c r="G4283" s="210"/>
      <c r="H4283" s="206" t="s">
        <v>121</v>
      </c>
      <c r="I4283" s="206" t="s">
        <v>121</v>
      </c>
      <c r="J4283" s="206" t="s">
        <v>121</v>
      </c>
      <c r="K4283" s="206" t="s">
        <v>121</v>
      </c>
      <c r="L4283" s="206" t="str">
        <v/>
      </c>
      <c r="M4283" s="206" t="str">
        <v/>
      </c>
    </row>
    <row r="4284" spans="1:13" ht="14.4">
      <c r="A4284" s="201"/>
      <c r="B4284" s="209"/>
      <c r="C4284" s="201"/>
      <c r="D4284" s="201"/>
      <c r="E4284" s="202"/>
      <c r="F4284" s="210"/>
      <c r="G4284" s="210"/>
      <c r="H4284" s="206" t="s">
        <v>121</v>
      </c>
      <c r="I4284" s="206" t="s">
        <v>121</v>
      </c>
      <c r="J4284" s="206" t="s">
        <v>121</v>
      </c>
      <c r="K4284" s="206" t="s">
        <v>121</v>
      </c>
      <c r="L4284" s="206" t="str">
        <v/>
      </c>
      <c r="M4284" s="206" t="str">
        <v/>
      </c>
    </row>
    <row r="4285" spans="1:13" ht="14.4">
      <c r="A4285" s="201"/>
      <c r="B4285" s="209"/>
      <c r="C4285" s="201"/>
      <c r="D4285" s="201"/>
      <c r="E4285" s="202"/>
      <c r="F4285" s="210"/>
      <c r="G4285" s="210"/>
      <c r="H4285" s="206" t="s">
        <v>121</v>
      </c>
      <c r="I4285" s="206" t="s">
        <v>121</v>
      </c>
      <c r="J4285" s="206" t="s">
        <v>121</v>
      </c>
      <c r="K4285" s="206" t="s">
        <v>121</v>
      </c>
      <c r="L4285" s="206" t="str">
        <v/>
      </c>
      <c r="M4285" s="206" t="str">
        <v/>
      </c>
    </row>
    <row r="4286" spans="1:13" ht="14.4">
      <c r="A4286" s="201"/>
      <c r="B4286" s="209"/>
      <c r="C4286" s="201"/>
      <c r="D4286" s="201"/>
      <c r="E4286" s="202"/>
      <c r="F4286" s="210"/>
      <c r="G4286" s="210"/>
      <c r="H4286" s="206" t="s">
        <v>121</v>
      </c>
      <c r="I4286" s="206" t="s">
        <v>121</v>
      </c>
      <c r="J4286" s="206" t="s">
        <v>121</v>
      </c>
      <c r="K4286" s="206" t="s">
        <v>121</v>
      </c>
      <c r="L4286" s="206" t="str">
        <v/>
      </c>
      <c r="M4286" s="206" t="str">
        <v/>
      </c>
    </row>
    <row r="4287" spans="1:13" ht="14.4">
      <c r="A4287" s="201"/>
      <c r="B4287" s="209"/>
      <c r="C4287" s="201"/>
      <c r="D4287" s="201"/>
      <c r="E4287" s="202"/>
      <c r="F4287" s="210"/>
      <c r="G4287" s="210"/>
      <c r="H4287" s="206" t="s">
        <v>121</v>
      </c>
      <c r="I4287" s="206" t="s">
        <v>121</v>
      </c>
      <c r="J4287" s="206" t="s">
        <v>121</v>
      </c>
      <c r="K4287" s="206" t="s">
        <v>121</v>
      </c>
      <c r="L4287" s="206" t="str">
        <v/>
      </c>
      <c r="M4287" s="206" t="str">
        <v/>
      </c>
    </row>
    <row r="4288" spans="1:13" ht="14.4">
      <c r="A4288" s="201"/>
      <c r="B4288" s="209"/>
      <c r="C4288" s="201"/>
      <c r="D4288" s="201"/>
      <c r="E4288" s="202"/>
      <c r="F4288" s="210"/>
      <c r="G4288" s="210"/>
      <c r="H4288" s="206" t="s">
        <v>121</v>
      </c>
      <c r="I4288" s="206" t="s">
        <v>121</v>
      </c>
      <c r="J4288" s="206" t="s">
        <v>121</v>
      </c>
      <c r="K4288" s="206" t="s">
        <v>121</v>
      </c>
      <c r="L4288" s="206" t="str">
        <v/>
      </c>
      <c r="M4288" s="206" t="str">
        <v/>
      </c>
    </row>
    <row r="4289" spans="1:13" ht="14.4">
      <c r="A4289" s="201"/>
      <c r="B4289" s="209"/>
      <c r="C4289" s="201"/>
      <c r="D4289" s="201"/>
      <c r="E4289" s="202"/>
      <c r="F4289" s="210"/>
      <c r="G4289" s="210"/>
      <c r="H4289" s="206" t="s">
        <v>121</v>
      </c>
      <c r="I4289" s="206" t="s">
        <v>121</v>
      </c>
      <c r="J4289" s="206" t="s">
        <v>121</v>
      </c>
      <c r="K4289" s="206" t="s">
        <v>121</v>
      </c>
      <c r="L4289" s="206" t="str">
        <v/>
      </c>
      <c r="M4289" s="206" t="str">
        <v/>
      </c>
    </row>
    <row r="4290" spans="1:13" ht="14.4">
      <c r="A4290" s="201"/>
      <c r="B4290" s="209"/>
      <c r="C4290" s="201"/>
      <c r="D4290" s="201"/>
      <c r="E4290" s="202"/>
      <c r="F4290" s="210"/>
      <c r="G4290" s="210"/>
      <c r="H4290" s="206" t="s">
        <v>121</v>
      </c>
      <c r="I4290" s="206" t="s">
        <v>121</v>
      </c>
      <c r="J4290" s="206" t="s">
        <v>121</v>
      </c>
      <c r="K4290" s="206" t="s">
        <v>121</v>
      </c>
      <c r="L4290" s="206" t="str">
        <v/>
      </c>
      <c r="M4290" s="206" t="str">
        <v/>
      </c>
    </row>
    <row r="4291" spans="1:13" ht="14.4">
      <c r="A4291" s="201"/>
      <c r="B4291" s="209"/>
      <c r="C4291" s="201"/>
      <c r="D4291" s="201"/>
      <c r="E4291" s="202"/>
      <c r="F4291" s="210"/>
      <c r="G4291" s="210"/>
      <c r="H4291" s="206" t="s">
        <v>121</v>
      </c>
      <c r="I4291" s="206" t="s">
        <v>121</v>
      </c>
      <c r="J4291" s="206" t="s">
        <v>121</v>
      </c>
      <c r="K4291" s="206" t="s">
        <v>121</v>
      </c>
      <c r="L4291" s="206" t="str">
        <v/>
      </c>
      <c r="M4291" s="206" t="str">
        <v/>
      </c>
    </row>
    <row r="4292" spans="1:13" ht="14.4">
      <c r="A4292" s="201"/>
      <c r="B4292" s="209"/>
      <c r="C4292" s="201"/>
      <c r="D4292" s="201"/>
      <c r="E4292" s="202"/>
      <c r="F4292" s="210"/>
      <c r="G4292" s="210"/>
      <c r="H4292" s="206" t="s">
        <v>121</v>
      </c>
      <c r="I4292" s="206" t="s">
        <v>121</v>
      </c>
      <c r="J4292" s="206" t="s">
        <v>121</v>
      </c>
      <c r="K4292" s="206" t="s">
        <v>121</v>
      </c>
      <c r="L4292" s="206" t="str">
        <v/>
      </c>
      <c r="M4292" s="206" t="str">
        <v/>
      </c>
    </row>
    <row r="4293" spans="1:13" ht="14.4">
      <c r="A4293" s="201"/>
      <c r="B4293" s="209"/>
      <c r="C4293" s="201"/>
      <c r="D4293" s="201"/>
      <c r="E4293" s="202"/>
      <c r="F4293" s="210"/>
      <c r="G4293" s="210"/>
      <c r="H4293" s="206" t="s">
        <v>121</v>
      </c>
      <c r="I4293" s="206" t="s">
        <v>121</v>
      </c>
      <c r="J4293" s="206" t="s">
        <v>121</v>
      </c>
      <c r="K4293" s="206" t="s">
        <v>121</v>
      </c>
      <c r="L4293" s="206" t="str">
        <v/>
      </c>
      <c r="M4293" s="206" t="str">
        <v/>
      </c>
    </row>
    <row r="4294" spans="1:13" ht="14.4">
      <c r="A4294" s="201"/>
      <c r="B4294" s="209"/>
      <c r="C4294" s="201"/>
      <c r="D4294" s="201"/>
      <c r="E4294" s="202"/>
      <c r="F4294" s="210"/>
      <c r="G4294" s="210"/>
      <c r="H4294" s="206" t="s">
        <v>121</v>
      </c>
      <c r="I4294" s="206" t="s">
        <v>121</v>
      </c>
      <c r="J4294" s="206" t="s">
        <v>121</v>
      </c>
      <c r="K4294" s="206" t="s">
        <v>121</v>
      </c>
      <c r="L4294" s="206" t="str">
        <v/>
      </c>
      <c r="M4294" s="206" t="str">
        <v/>
      </c>
    </row>
    <row r="4295" spans="1:13" ht="14.4">
      <c r="A4295" s="201"/>
      <c r="B4295" s="209"/>
      <c r="C4295" s="201"/>
      <c r="D4295" s="201"/>
      <c r="E4295" s="202"/>
      <c r="F4295" s="210"/>
      <c r="G4295" s="210"/>
      <c r="H4295" s="206" t="s">
        <v>121</v>
      </c>
      <c r="I4295" s="206" t="s">
        <v>121</v>
      </c>
      <c r="J4295" s="206" t="s">
        <v>121</v>
      </c>
      <c r="K4295" s="206" t="s">
        <v>121</v>
      </c>
      <c r="L4295" s="206" t="str">
        <v/>
      </c>
      <c r="M4295" s="206" t="str">
        <v/>
      </c>
    </row>
    <row r="4296" spans="1:13" ht="14.4">
      <c r="A4296" s="201"/>
      <c r="B4296" s="209"/>
      <c r="C4296" s="201"/>
      <c r="D4296" s="201"/>
      <c r="E4296" s="202"/>
      <c r="F4296" s="210"/>
      <c r="G4296" s="210"/>
      <c r="H4296" s="206" t="s">
        <v>121</v>
      </c>
      <c r="I4296" s="206" t="s">
        <v>121</v>
      </c>
      <c r="J4296" s="206" t="s">
        <v>121</v>
      </c>
      <c r="K4296" s="206" t="s">
        <v>121</v>
      </c>
      <c r="L4296" s="206" t="str">
        <v/>
      </c>
      <c r="M4296" s="206" t="str">
        <v/>
      </c>
    </row>
    <row r="4297" spans="1:13" ht="14.4">
      <c r="A4297" s="201"/>
      <c r="B4297" s="209"/>
      <c r="C4297" s="201"/>
      <c r="D4297" s="201"/>
      <c r="E4297" s="202"/>
      <c r="F4297" s="210"/>
      <c r="G4297" s="210"/>
      <c r="H4297" s="206" t="s">
        <v>121</v>
      </c>
      <c r="I4297" s="206" t="s">
        <v>121</v>
      </c>
      <c r="J4297" s="206" t="s">
        <v>121</v>
      </c>
      <c r="K4297" s="206" t="s">
        <v>121</v>
      </c>
      <c r="L4297" s="206" t="str">
        <v/>
      </c>
      <c r="M4297" s="206" t="str">
        <v/>
      </c>
    </row>
    <row r="4298" spans="1:13" ht="14.4">
      <c r="A4298" s="201"/>
      <c r="B4298" s="209"/>
      <c r="C4298" s="201"/>
      <c r="D4298" s="201"/>
      <c r="E4298" s="202"/>
      <c r="F4298" s="210"/>
      <c r="G4298" s="210"/>
      <c r="H4298" s="206" t="s">
        <v>121</v>
      </c>
      <c r="I4298" s="206" t="s">
        <v>121</v>
      </c>
      <c r="J4298" s="206" t="s">
        <v>121</v>
      </c>
      <c r="K4298" s="206" t="s">
        <v>121</v>
      </c>
      <c r="L4298" s="206" t="str">
        <v/>
      </c>
      <c r="M4298" s="206" t="str">
        <v/>
      </c>
    </row>
    <row r="4299" spans="1:13" ht="14.4">
      <c r="A4299" s="201"/>
      <c r="B4299" s="209"/>
      <c r="C4299" s="201"/>
      <c r="D4299" s="201"/>
      <c r="E4299" s="202"/>
      <c r="F4299" s="210"/>
      <c r="G4299" s="210"/>
      <c r="H4299" s="206" t="s">
        <v>121</v>
      </c>
      <c r="I4299" s="206" t="s">
        <v>121</v>
      </c>
      <c r="J4299" s="206" t="s">
        <v>121</v>
      </c>
      <c r="K4299" s="206" t="s">
        <v>121</v>
      </c>
      <c r="L4299" s="206" t="str">
        <v/>
      </c>
      <c r="M4299" s="206" t="str">
        <v/>
      </c>
    </row>
    <row r="4300" spans="1:13" ht="14.4">
      <c r="A4300" s="201"/>
      <c r="B4300" s="209"/>
      <c r="C4300" s="201"/>
      <c r="D4300" s="201"/>
      <c r="E4300" s="202"/>
      <c r="F4300" s="210"/>
      <c r="G4300" s="210"/>
      <c r="H4300" s="206" t="s">
        <v>121</v>
      </c>
      <c r="I4300" s="206" t="s">
        <v>121</v>
      </c>
      <c r="J4300" s="206" t="s">
        <v>121</v>
      </c>
      <c r="K4300" s="206" t="s">
        <v>121</v>
      </c>
      <c r="L4300" s="206" t="str">
        <v/>
      </c>
      <c r="M4300" s="206" t="str">
        <v/>
      </c>
    </row>
    <row r="4301" spans="1:13" ht="14.4">
      <c r="A4301" s="201"/>
      <c r="B4301" s="209"/>
      <c r="C4301" s="201"/>
      <c r="D4301" s="201"/>
      <c r="E4301" s="202"/>
      <c r="F4301" s="210"/>
      <c r="G4301" s="210"/>
      <c r="H4301" s="206" t="s">
        <v>121</v>
      </c>
      <c r="I4301" s="206" t="s">
        <v>121</v>
      </c>
      <c r="J4301" s="206" t="s">
        <v>121</v>
      </c>
      <c r="K4301" s="206" t="s">
        <v>121</v>
      </c>
      <c r="L4301" s="206" t="str">
        <v/>
      </c>
      <c r="M4301" s="206" t="str">
        <v/>
      </c>
    </row>
    <row r="4302" spans="1:13" ht="14.4">
      <c r="A4302" s="201"/>
      <c r="B4302" s="209"/>
      <c r="C4302" s="201"/>
      <c r="D4302" s="201"/>
      <c r="E4302" s="202"/>
      <c r="F4302" s="210"/>
      <c r="G4302" s="210"/>
      <c r="H4302" s="206" t="s">
        <v>121</v>
      </c>
      <c r="I4302" s="206" t="s">
        <v>121</v>
      </c>
      <c r="J4302" s="206" t="s">
        <v>121</v>
      </c>
      <c r="K4302" s="206" t="s">
        <v>121</v>
      </c>
      <c r="L4302" s="206" t="str">
        <v/>
      </c>
      <c r="M4302" s="206" t="str">
        <v/>
      </c>
    </row>
    <row r="4303" spans="1:13" ht="14.4">
      <c r="A4303" s="201"/>
      <c r="B4303" s="209"/>
      <c r="C4303" s="201"/>
      <c r="D4303" s="201"/>
      <c r="E4303" s="202"/>
      <c r="F4303" s="210"/>
      <c r="G4303" s="210"/>
      <c r="H4303" s="206" t="s">
        <v>121</v>
      </c>
      <c r="I4303" s="206" t="s">
        <v>121</v>
      </c>
      <c r="J4303" s="206" t="s">
        <v>121</v>
      </c>
      <c r="K4303" s="206" t="s">
        <v>121</v>
      </c>
      <c r="L4303" s="206" t="str">
        <v/>
      </c>
      <c r="M4303" s="206" t="str">
        <v/>
      </c>
    </row>
    <row r="4304" spans="1:13" ht="14.4">
      <c r="A4304" s="201"/>
      <c r="B4304" s="209"/>
      <c r="C4304" s="201"/>
      <c r="D4304" s="201"/>
      <c r="E4304" s="202"/>
      <c r="F4304" s="210"/>
      <c r="G4304" s="210"/>
      <c r="H4304" s="206" t="s">
        <v>121</v>
      </c>
      <c r="I4304" s="206" t="s">
        <v>121</v>
      </c>
      <c r="J4304" s="206" t="s">
        <v>121</v>
      </c>
      <c r="K4304" s="206" t="s">
        <v>121</v>
      </c>
      <c r="L4304" s="206" t="str">
        <v/>
      </c>
      <c r="M4304" s="206" t="str">
        <v/>
      </c>
    </row>
    <row r="4305" spans="1:13" ht="14.4">
      <c r="A4305" s="201"/>
      <c r="B4305" s="209"/>
      <c r="C4305" s="201"/>
      <c r="D4305" s="201"/>
      <c r="E4305" s="202"/>
      <c r="F4305" s="210"/>
      <c r="G4305" s="210"/>
      <c r="H4305" s="206" t="s">
        <v>121</v>
      </c>
      <c r="I4305" s="206" t="s">
        <v>121</v>
      </c>
      <c r="J4305" s="206" t="s">
        <v>121</v>
      </c>
      <c r="K4305" s="206" t="s">
        <v>121</v>
      </c>
      <c r="L4305" s="206" t="str">
        <v/>
      </c>
      <c r="M4305" s="206" t="str">
        <v/>
      </c>
    </row>
    <row r="4306" spans="1:13" ht="14.4">
      <c r="A4306" s="201"/>
      <c r="B4306" s="209"/>
      <c r="C4306" s="201"/>
      <c r="D4306" s="201"/>
      <c r="E4306" s="202"/>
      <c r="F4306" s="210"/>
      <c r="G4306" s="210"/>
      <c r="H4306" s="206" t="s">
        <v>121</v>
      </c>
      <c r="I4306" s="206" t="s">
        <v>121</v>
      </c>
      <c r="J4306" s="206" t="s">
        <v>121</v>
      </c>
      <c r="K4306" s="206" t="s">
        <v>121</v>
      </c>
      <c r="L4306" s="206" t="str">
        <v/>
      </c>
      <c r="M4306" s="206" t="str">
        <v/>
      </c>
    </row>
    <row r="4307" spans="1:13" ht="14.4">
      <c r="A4307" s="201"/>
      <c r="B4307" s="209"/>
      <c r="C4307" s="201"/>
      <c r="D4307" s="201"/>
      <c r="E4307" s="202"/>
      <c r="F4307" s="210"/>
      <c r="G4307" s="210"/>
      <c r="H4307" s="206" t="s">
        <v>121</v>
      </c>
      <c r="I4307" s="206" t="s">
        <v>121</v>
      </c>
      <c r="J4307" s="206" t="s">
        <v>121</v>
      </c>
      <c r="K4307" s="206" t="s">
        <v>121</v>
      </c>
      <c r="L4307" s="206" t="str">
        <v/>
      </c>
      <c r="M4307" s="206" t="str">
        <v/>
      </c>
    </row>
    <row r="4308" spans="1:13" ht="14.4">
      <c r="A4308" s="201"/>
      <c r="B4308" s="209"/>
      <c r="C4308" s="201"/>
      <c r="D4308" s="201"/>
      <c r="E4308" s="202"/>
      <c r="F4308" s="210"/>
      <c r="G4308" s="210"/>
      <c r="H4308" s="206" t="s">
        <v>121</v>
      </c>
      <c r="I4308" s="206" t="s">
        <v>121</v>
      </c>
      <c r="J4308" s="206" t="s">
        <v>121</v>
      </c>
      <c r="K4308" s="206" t="s">
        <v>121</v>
      </c>
      <c r="L4308" s="206" t="str">
        <v/>
      </c>
      <c r="M4308" s="206" t="str">
        <v/>
      </c>
    </row>
    <row r="4309" spans="1:13" ht="14.4">
      <c r="A4309" s="201"/>
      <c r="B4309" s="209"/>
      <c r="C4309" s="201"/>
      <c r="D4309" s="201"/>
      <c r="E4309" s="202"/>
      <c r="F4309" s="210"/>
      <c r="G4309" s="210"/>
      <c r="H4309" s="206" t="s">
        <v>121</v>
      </c>
      <c r="I4309" s="206" t="s">
        <v>121</v>
      </c>
      <c r="J4309" s="206" t="s">
        <v>121</v>
      </c>
      <c r="K4309" s="206" t="s">
        <v>121</v>
      </c>
      <c r="L4309" s="206" t="str">
        <v/>
      </c>
      <c r="M4309" s="206" t="str">
        <v/>
      </c>
    </row>
    <row r="4310" spans="1:13" ht="14.4">
      <c r="A4310" s="201"/>
      <c r="B4310" s="209"/>
      <c r="C4310" s="201"/>
      <c r="D4310" s="201"/>
      <c r="E4310" s="202"/>
      <c r="F4310" s="210"/>
      <c r="G4310" s="210"/>
      <c r="H4310" s="206" t="s">
        <v>121</v>
      </c>
      <c r="I4310" s="206" t="s">
        <v>121</v>
      </c>
      <c r="J4310" s="206" t="s">
        <v>121</v>
      </c>
      <c r="K4310" s="206" t="s">
        <v>121</v>
      </c>
      <c r="L4310" s="206" t="str">
        <v/>
      </c>
      <c r="M4310" s="206" t="str">
        <v/>
      </c>
    </row>
    <row r="4311" spans="1:13" ht="14.4">
      <c r="A4311" s="201"/>
      <c r="B4311" s="209"/>
      <c r="C4311" s="201"/>
      <c r="D4311" s="201"/>
      <c r="E4311" s="202"/>
      <c r="F4311" s="210"/>
      <c r="G4311" s="210"/>
      <c r="H4311" s="206" t="s">
        <v>121</v>
      </c>
      <c r="I4311" s="206" t="s">
        <v>121</v>
      </c>
      <c r="J4311" s="206" t="s">
        <v>121</v>
      </c>
      <c r="K4311" s="206" t="s">
        <v>121</v>
      </c>
      <c r="L4311" s="206" t="str">
        <v/>
      </c>
      <c r="M4311" s="206" t="str">
        <v/>
      </c>
    </row>
    <row r="4312" spans="1:13" ht="14.4">
      <c r="A4312" s="201"/>
      <c r="B4312" s="209"/>
      <c r="C4312" s="201"/>
      <c r="D4312" s="201"/>
      <c r="E4312" s="202"/>
      <c r="F4312" s="210"/>
      <c r="G4312" s="210"/>
      <c r="H4312" s="206" t="s">
        <v>121</v>
      </c>
      <c r="I4312" s="206" t="s">
        <v>121</v>
      </c>
      <c r="J4312" s="206" t="s">
        <v>121</v>
      </c>
      <c r="K4312" s="206" t="s">
        <v>121</v>
      </c>
      <c r="L4312" s="206" t="str">
        <v/>
      </c>
      <c r="M4312" s="206" t="str">
        <v/>
      </c>
    </row>
    <row r="4313" spans="1:13" ht="14.4">
      <c r="A4313" s="201"/>
      <c r="B4313" s="209"/>
      <c r="C4313" s="201"/>
      <c r="D4313" s="201"/>
      <c r="E4313" s="202"/>
      <c r="F4313" s="210"/>
      <c r="G4313" s="210"/>
      <c r="H4313" s="206" t="s">
        <v>121</v>
      </c>
      <c r="I4313" s="206" t="s">
        <v>121</v>
      </c>
      <c r="J4313" s="206" t="s">
        <v>121</v>
      </c>
      <c r="K4313" s="206" t="s">
        <v>121</v>
      </c>
      <c r="L4313" s="206" t="str">
        <v/>
      </c>
      <c r="M4313" s="206" t="str">
        <v/>
      </c>
    </row>
    <row r="4314" spans="1:13" ht="14.4">
      <c r="A4314" s="201"/>
      <c r="B4314" s="209"/>
      <c r="C4314" s="201"/>
      <c r="D4314" s="201"/>
      <c r="E4314" s="202"/>
      <c r="F4314" s="210"/>
      <c r="G4314" s="210"/>
      <c r="H4314" s="206" t="s">
        <v>121</v>
      </c>
      <c r="I4314" s="206" t="s">
        <v>121</v>
      </c>
      <c r="J4314" s="206" t="s">
        <v>121</v>
      </c>
      <c r="K4314" s="206" t="s">
        <v>121</v>
      </c>
      <c r="L4314" s="206" t="str">
        <v/>
      </c>
      <c r="M4314" s="206" t="str">
        <v/>
      </c>
    </row>
    <row r="4315" spans="1:13" ht="14.4">
      <c r="A4315" s="201"/>
      <c r="B4315" s="209"/>
      <c r="C4315" s="201"/>
      <c r="D4315" s="201"/>
      <c r="E4315" s="202"/>
      <c r="F4315" s="210"/>
      <c r="G4315" s="210"/>
      <c r="H4315" s="206" t="s">
        <v>121</v>
      </c>
      <c r="I4315" s="206" t="s">
        <v>121</v>
      </c>
      <c r="J4315" s="206" t="s">
        <v>121</v>
      </c>
      <c r="K4315" s="206" t="s">
        <v>121</v>
      </c>
      <c r="L4315" s="206" t="str">
        <v/>
      </c>
      <c r="M4315" s="206" t="str">
        <v/>
      </c>
    </row>
    <row r="4316" spans="1:13" ht="14.4">
      <c r="A4316" s="201"/>
      <c r="B4316" s="209"/>
      <c r="C4316" s="201"/>
      <c r="D4316" s="201"/>
      <c r="E4316" s="202"/>
      <c r="F4316" s="210"/>
      <c r="G4316" s="210"/>
      <c r="H4316" s="206" t="s">
        <v>121</v>
      </c>
      <c r="I4316" s="206" t="s">
        <v>121</v>
      </c>
      <c r="J4316" s="206" t="s">
        <v>121</v>
      </c>
      <c r="K4316" s="206" t="s">
        <v>121</v>
      </c>
      <c r="L4316" s="206" t="str">
        <v/>
      </c>
      <c r="M4316" s="206" t="str">
        <v/>
      </c>
    </row>
    <row r="4317" spans="1:13" ht="14.4">
      <c r="A4317" s="201"/>
      <c r="B4317" s="209"/>
      <c r="C4317" s="201"/>
      <c r="D4317" s="201"/>
      <c r="E4317" s="202"/>
      <c r="F4317" s="210"/>
      <c r="G4317" s="210"/>
      <c r="H4317" s="206" t="s">
        <v>121</v>
      </c>
      <c r="I4317" s="206" t="s">
        <v>121</v>
      </c>
      <c r="J4317" s="206" t="s">
        <v>121</v>
      </c>
      <c r="K4317" s="206" t="s">
        <v>121</v>
      </c>
      <c r="L4317" s="206" t="str">
        <v/>
      </c>
      <c r="M4317" s="206" t="str">
        <v/>
      </c>
    </row>
    <row r="4318" spans="1:13" ht="14.4">
      <c r="A4318" s="201"/>
      <c r="B4318" s="209"/>
      <c r="C4318" s="201"/>
      <c r="D4318" s="201"/>
      <c r="E4318" s="202"/>
      <c r="F4318" s="210"/>
      <c r="G4318" s="210"/>
      <c r="H4318" s="206" t="s">
        <v>121</v>
      </c>
      <c r="I4318" s="206" t="s">
        <v>121</v>
      </c>
      <c r="J4318" s="206" t="s">
        <v>121</v>
      </c>
      <c r="K4318" s="206" t="s">
        <v>121</v>
      </c>
      <c r="L4318" s="206" t="str">
        <v/>
      </c>
      <c r="M4318" s="206" t="str">
        <v/>
      </c>
    </row>
    <row r="4319" spans="1:13" ht="14.4">
      <c r="A4319" s="201"/>
      <c r="B4319" s="209"/>
      <c r="C4319" s="201"/>
      <c r="D4319" s="201"/>
      <c r="E4319" s="202"/>
      <c r="F4319" s="210"/>
      <c r="G4319" s="210"/>
      <c r="H4319" s="206" t="s">
        <v>121</v>
      </c>
      <c r="I4319" s="206" t="s">
        <v>121</v>
      </c>
      <c r="J4319" s="206" t="s">
        <v>121</v>
      </c>
      <c r="K4319" s="206" t="s">
        <v>121</v>
      </c>
      <c r="L4319" s="206" t="str">
        <v/>
      </c>
      <c r="M4319" s="206" t="str">
        <v/>
      </c>
    </row>
    <row r="4320" spans="1:13" ht="14.4">
      <c r="A4320" s="201"/>
      <c r="B4320" s="209"/>
      <c r="C4320" s="201"/>
      <c r="D4320" s="201"/>
      <c r="E4320" s="202"/>
      <c r="F4320" s="210"/>
      <c r="G4320" s="210"/>
      <c r="H4320" s="206" t="s">
        <v>121</v>
      </c>
      <c r="I4320" s="206" t="s">
        <v>121</v>
      </c>
      <c r="J4320" s="206" t="s">
        <v>121</v>
      </c>
      <c r="K4320" s="206" t="s">
        <v>121</v>
      </c>
      <c r="L4320" s="206" t="str">
        <v/>
      </c>
      <c r="M4320" s="206" t="str">
        <v/>
      </c>
    </row>
    <row r="4321" spans="1:13" ht="14.4">
      <c r="A4321" s="201"/>
      <c r="B4321" s="209"/>
      <c r="C4321" s="201"/>
      <c r="D4321" s="201"/>
      <c r="E4321" s="202"/>
      <c r="F4321" s="210"/>
      <c r="G4321" s="210"/>
      <c r="H4321" s="206" t="s">
        <v>121</v>
      </c>
      <c r="I4321" s="206" t="s">
        <v>121</v>
      </c>
      <c r="J4321" s="206" t="s">
        <v>121</v>
      </c>
      <c r="K4321" s="206" t="s">
        <v>121</v>
      </c>
      <c r="L4321" s="206" t="str">
        <v/>
      </c>
      <c r="M4321" s="206" t="str">
        <v/>
      </c>
    </row>
    <row r="4322" spans="1:13" ht="14.4">
      <c r="A4322" s="201"/>
      <c r="B4322" s="209"/>
      <c r="C4322" s="201"/>
      <c r="D4322" s="201"/>
      <c r="E4322" s="202"/>
      <c r="F4322" s="210"/>
      <c r="G4322" s="210"/>
      <c r="H4322" s="206" t="s">
        <v>121</v>
      </c>
      <c r="I4322" s="206" t="s">
        <v>121</v>
      </c>
      <c r="J4322" s="206" t="s">
        <v>121</v>
      </c>
      <c r="K4322" s="206" t="s">
        <v>121</v>
      </c>
      <c r="L4322" s="206" t="str">
        <v/>
      </c>
      <c r="M4322" s="206" t="str">
        <v/>
      </c>
    </row>
    <row r="4323" spans="1:13" ht="14.4">
      <c r="A4323" s="201"/>
      <c r="B4323" s="209"/>
      <c r="C4323" s="201"/>
      <c r="D4323" s="201"/>
      <c r="E4323" s="202"/>
      <c r="F4323" s="210"/>
      <c r="G4323" s="210"/>
      <c r="H4323" s="206" t="s">
        <v>121</v>
      </c>
      <c r="I4323" s="206" t="s">
        <v>121</v>
      </c>
      <c r="J4323" s="206" t="s">
        <v>121</v>
      </c>
      <c r="K4323" s="206" t="s">
        <v>121</v>
      </c>
      <c r="L4323" s="206" t="str">
        <v/>
      </c>
      <c r="M4323" s="206" t="str">
        <v/>
      </c>
    </row>
    <row r="4324" spans="1:13" ht="14.4">
      <c r="A4324" s="201"/>
      <c r="B4324" s="209"/>
      <c r="C4324" s="201"/>
      <c r="D4324" s="201"/>
      <c r="E4324" s="202"/>
      <c r="F4324" s="210"/>
      <c r="G4324" s="210"/>
      <c r="H4324" s="206" t="s">
        <v>121</v>
      </c>
      <c r="I4324" s="206" t="s">
        <v>121</v>
      </c>
      <c r="J4324" s="206" t="s">
        <v>121</v>
      </c>
      <c r="K4324" s="206" t="s">
        <v>121</v>
      </c>
      <c r="L4324" s="206" t="str">
        <v/>
      </c>
      <c r="M4324" s="206" t="str">
        <v/>
      </c>
    </row>
    <row r="4325" spans="1:13" ht="14.4">
      <c r="A4325" s="201"/>
      <c r="B4325" s="209"/>
      <c r="C4325" s="201"/>
      <c r="D4325" s="201"/>
      <c r="E4325" s="202"/>
      <c r="F4325" s="210"/>
      <c r="G4325" s="210"/>
      <c r="H4325" s="206" t="s">
        <v>121</v>
      </c>
      <c r="I4325" s="206" t="s">
        <v>121</v>
      </c>
      <c r="J4325" s="206" t="s">
        <v>121</v>
      </c>
      <c r="K4325" s="206" t="s">
        <v>121</v>
      </c>
      <c r="L4325" s="206" t="str">
        <v/>
      </c>
      <c r="M4325" s="206" t="str">
        <v/>
      </c>
    </row>
    <row r="4326" spans="1:13" ht="14.4">
      <c r="A4326" s="201"/>
      <c r="B4326" s="209"/>
      <c r="C4326" s="201"/>
      <c r="D4326" s="201"/>
      <c r="E4326" s="202"/>
      <c r="F4326" s="210"/>
      <c r="G4326" s="210"/>
      <c r="H4326" s="206" t="s">
        <v>121</v>
      </c>
      <c r="I4326" s="206" t="s">
        <v>121</v>
      </c>
      <c r="J4326" s="206" t="s">
        <v>121</v>
      </c>
      <c r="K4326" s="206" t="s">
        <v>121</v>
      </c>
      <c r="L4326" s="206" t="str">
        <v/>
      </c>
      <c r="M4326" s="206" t="str">
        <v/>
      </c>
    </row>
    <row r="4327" spans="1:13" ht="14.4">
      <c r="A4327" s="201"/>
      <c r="B4327" s="209"/>
      <c r="C4327" s="201"/>
      <c r="D4327" s="201"/>
      <c r="E4327" s="202"/>
      <c r="F4327" s="210"/>
      <c r="G4327" s="210"/>
      <c r="H4327" s="206" t="s">
        <v>121</v>
      </c>
      <c r="I4327" s="206" t="s">
        <v>121</v>
      </c>
      <c r="J4327" s="206" t="s">
        <v>121</v>
      </c>
      <c r="K4327" s="206" t="s">
        <v>121</v>
      </c>
      <c r="L4327" s="206" t="str">
        <v/>
      </c>
      <c r="M4327" s="206" t="str">
        <v/>
      </c>
    </row>
    <row r="4328" spans="1:13" ht="14.4">
      <c r="A4328" s="201"/>
      <c r="B4328" s="209"/>
      <c r="C4328" s="201"/>
      <c r="D4328" s="201"/>
      <c r="E4328" s="202"/>
      <c r="F4328" s="210"/>
      <c r="G4328" s="210"/>
      <c r="H4328" s="206" t="s">
        <v>121</v>
      </c>
      <c r="I4328" s="206" t="s">
        <v>121</v>
      </c>
      <c r="J4328" s="206" t="s">
        <v>121</v>
      </c>
      <c r="K4328" s="206" t="s">
        <v>121</v>
      </c>
      <c r="L4328" s="206" t="str">
        <v/>
      </c>
      <c r="M4328" s="206" t="str">
        <v/>
      </c>
    </row>
    <row r="4329" spans="1:13" ht="14.4">
      <c r="A4329" s="201"/>
      <c r="B4329" s="209"/>
      <c r="C4329" s="201"/>
      <c r="D4329" s="201"/>
      <c r="E4329" s="202"/>
      <c r="F4329" s="210"/>
      <c r="G4329" s="210"/>
      <c r="H4329" s="206" t="s">
        <v>121</v>
      </c>
      <c r="I4329" s="206" t="s">
        <v>121</v>
      </c>
      <c r="J4329" s="206" t="s">
        <v>121</v>
      </c>
      <c r="K4329" s="206" t="s">
        <v>121</v>
      </c>
      <c r="L4329" s="206" t="str">
        <v/>
      </c>
      <c r="M4329" s="206" t="str">
        <v/>
      </c>
    </row>
    <row r="4330" spans="1:13" ht="14.4">
      <c r="A4330" s="201"/>
      <c r="B4330" s="209"/>
      <c r="C4330" s="201"/>
      <c r="D4330" s="201"/>
      <c r="E4330" s="202"/>
      <c r="F4330" s="210"/>
      <c r="G4330" s="210"/>
      <c r="H4330" s="206" t="s">
        <v>121</v>
      </c>
      <c r="I4330" s="206" t="s">
        <v>121</v>
      </c>
      <c r="J4330" s="206" t="s">
        <v>121</v>
      </c>
      <c r="K4330" s="206" t="s">
        <v>121</v>
      </c>
      <c r="L4330" s="206" t="str">
        <v/>
      </c>
      <c r="M4330" s="206" t="str">
        <v/>
      </c>
    </row>
    <row r="4331" spans="1:13" ht="14.4">
      <c r="A4331" s="201"/>
      <c r="B4331" s="209"/>
      <c r="C4331" s="201"/>
      <c r="D4331" s="201"/>
      <c r="E4331" s="202"/>
      <c r="F4331" s="210"/>
      <c r="G4331" s="210"/>
      <c r="H4331" s="206" t="s">
        <v>121</v>
      </c>
      <c r="I4331" s="206" t="s">
        <v>121</v>
      </c>
      <c r="J4331" s="206" t="s">
        <v>121</v>
      </c>
      <c r="K4331" s="206" t="s">
        <v>121</v>
      </c>
      <c r="L4331" s="206" t="str">
        <v/>
      </c>
      <c r="M4331" s="206" t="str">
        <v/>
      </c>
    </row>
    <row r="4332" spans="1:13" ht="14.4">
      <c r="A4332" s="201"/>
      <c r="B4332" s="209"/>
      <c r="C4332" s="201"/>
      <c r="D4332" s="201"/>
      <c r="E4332" s="202"/>
      <c r="F4332" s="210"/>
      <c r="G4332" s="210"/>
      <c r="H4332" s="206" t="s">
        <v>121</v>
      </c>
      <c r="I4332" s="206" t="s">
        <v>121</v>
      </c>
      <c r="J4332" s="206" t="s">
        <v>121</v>
      </c>
      <c r="K4332" s="206" t="s">
        <v>121</v>
      </c>
      <c r="L4332" s="206" t="str">
        <v/>
      </c>
      <c r="M4332" s="206" t="str">
        <v/>
      </c>
    </row>
    <row r="4333" spans="1:13" ht="14.4">
      <c r="A4333" s="201"/>
      <c r="B4333" s="209"/>
      <c r="C4333" s="201"/>
      <c r="D4333" s="201"/>
      <c r="E4333" s="202"/>
      <c r="F4333" s="210"/>
      <c r="G4333" s="210"/>
      <c r="H4333" s="206" t="s">
        <v>121</v>
      </c>
      <c r="I4333" s="206" t="s">
        <v>121</v>
      </c>
      <c r="J4333" s="206" t="s">
        <v>121</v>
      </c>
      <c r="K4333" s="206" t="s">
        <v>121</v>
      </c>
      <c r="L4333" s="206" t="str">
        <v/>
      </c>
      <c r="M4333" s="206" t="str">
        <v/>
      </c>
    </row>
    <row r="4334" spans="1:13" ht="14.4">
      <c r="A4334" s="201"/>
      <c r="B4334" s="209"/>
      <c r="C4334" s="201"/>
      <c r="D4334" s="201"/>
      <c r="E4334" s="202"/>
      <c r="F4334" s="210"/>
      <c r="G4334" s="210"/>
      <c r="H4334" s="206" t="s">
        <v>121</v>
      </c>
      <c r="I4334" s="206" t="s">
        <v>121</v>
      </c>
      <c r="J4334" s="206" t="s">
        <v>121</v>
      </c>
      <c r="K4334" s="206" t="s">
        <v>121</v>
      </c>
      <c r="L4334" s="206" t="str">
        <v/>
      </c>
      <c r="M4334" s="206" t="str">
        <v/>
      </c>
    </row>
    <row r="4335" spans="1:13" ht="14.4">
      <c r="A4335" s="201"/>
      <c r="B4335" s="209"/>
      <c r="C4335" s="201"/>
      <c r="D4335" s="201"/>
      <c r="E4335" s="202"/>
      <c r="F4335" s="210"/>
      <c r="G4335" s="210"/>
      <c r="H4335" s="206" t="s">
        <v>121</v>
      </c>
      <c r="I4335" s="206" t="s">
        <v>121</v>
      </c>
      <c r="J4335" s="206" t="s">
        <v>121</v>
      </c>
      <c r="K4335" s="206" t="s">
        <v>121</v>
      </c>
      <c r="L4335" s="206" t="str">
        <v/>
      </c>
      <c r="M4335" s="206" t="str">
        <v/>
      </c>
    </row>
    <row r="4336" spans="1:13" ht="14.4">
      <c r="A4336" s="201"/>
      <c r="B4336" s="209"/>
      <c r="C4336" s="201"/>
      <c r="D4336" s="201"/>
      <c r="E4336" s="202"/>
      <c r="F4336" s="210"/>
      <c r="G4336" s="210"/>
      <c r="H4336" s="206" t="s">
        <v>121</v>
      </c>
      <c r="I4336" s="206" t="s">
        <v>121</v>
      </c>
      <c r="J4336" s="206" t="s">
        <v>121</v>
      </c>
      <c r="K4336" s="206" t="s">
        <v>121</v>
      </c>
      <c r="L4336" s="206" t="str">
        <v/>
      </c>
      <c r="M4336" s="206" t="str">
        <v/>
      </c>
    </row>
    <row r="4337" spans="1:13" ht="14.4">
      <c r="A4337" s="201"/>
      <c r="B4337" s="209"/>
      <c r="C4337" s="201"/>
      <c r="D4337" s="201"/>
      <c r="E4337" s="202"/>
      <c r="F4337" s="210"/>
      <c r="G4337" s="210"/>
      <c r="H4337" s="206" t="s">
        <v>121</v>
      </c>
      <c r="I4337" s="206" t="s">
        <v>121</v>
      </c>
      <c r="J4337" s="206" t="s">
        <v>121</v>
      </c>
      <c r="K4337" s="206" t="s">
        <v>121</v>
      </c>
      <c r="L4337" s="206" t="str">
        <v/>
      </c>
      <c r="M4337" s="206" t="str">
        <v/>
      </c>
    </row>
    <row r="4338" spans="1:13" ht="14.4">
      <c r="A4338" s="201"/>
      <c r="B4338" s="209"/>
      <c r="C4338" s="201"/>
      <c r="D4338" s="201"/>
      <c r="E4338" s="202"/>
      <c r="F4338" s="210"/>
      <c r="G4338" s="210"/>
      <c r="H4338" s="206" t="s">
        <v>121</v>
      </c>
      <c r="I4338" s="206" t="s">
        <v>121</v>
      </c>
      <c r="J4338" s="206" t="s">
        <v>121</v>
      </c>
      <c r="K4338" s="206" t="s">
        <v>121</v>
      </c>
      <c r="L4338" s="206" t="str">
        <v/>
      </c>
      <c r="M4338" s="206" t="str">
        <v/>
      </c>
    </row>
    <row r="4339" spans="1:13" ht="14.4">
      <c r="A4339" s="201"/>
      <c r="B4339" s="209"/>
      <c r="C4339" s="201"/>
      <c r="D4339" s="201"/>
      <c r="E4339" s="202"/>
      <c r="F4339" s="210"/>
      <c r="G4339" s="210"/>
      <c r="H4339" s="206" t="s">
        <v>121</v>
      </c>
      <c r="I4339" s="206" t="s">
        <v>121</v>
      </c>
      <c r="J4339" s="206" t="s">
        <v>121</v>
      </c>
      <c r="K4339" s="206" t="s">
        <v>121</v>
      </c>
      <c r="L4339" s="206" t="str">
        <v/>
      </c>
      <c r="M4339" s="206" t="str">
        <v/>
      </c>
    </row>
    <row r="4340" spans="1:13" ht="14.4">
      <c r="A4340" s="201"/>
      <c r="B4340" s="209"/>
      <c r="C4340" s="201"/>
      <c r="D4340" s="201"/>
      <c r="E4340" s="202"/>
      <c r="F4340" s="210"/>
      <c r="G4340" s="210"/>
      <c r="H4340" s="206" t="s">
        <v>121</v>
      </c>
      <c r="I4340" s="206" t="s">
        <v>121</v>
      </c>
      <c r="J4340" s="206" t="s">
        <v>121</v>
      </c>
      <c r="K4340" s="206" t="s">
        <v>121</v>
      </c>
      <c r="L4340" s="206" t="str">
        <v/>
      </c>
      <c r="M4340" s="206" t="str">
        <v/>
      </c>
    </row>
    <row r="4341" spans="1:13" ht="14.4">
      <c r="A4341" s="201"/>
      <c r="B4341" s="209"/>
      <c r="C4341" s="201"/>
      <c r="D4341" s="201"/>
      <c r="E4341" s="202"/>
      <c r="F4341" s="210"/>
      <c r="G4341" s="210"/>
      <c r="H4341" s="206" t="s">
        <v>121</v>
      </c>
      <c r="I4341" s="206" t="s">
        <v>121</v>
      </c>
      <c r="J4341" s="206" t="s">
        <v>121</v>
      </c>
      <c r="K4341" s="206" t="s">
        <v>121</v>
      </c>
      <c r="L4341" s="206" t="str">
        <v/>
      </c>
      <c r="M4341" s="206" t="str">
        <v/>
      </c>
    </row>
    <row r="4342" spans="1:13" ht="14.4">
      <c r="A4342" s="201"/>
      <c r="B4342" s="209"/>
      <c r="C4342" s="201"/>
      <c r="D4342" s="201"/>
      <c r="E4342" s="202"/>
      <c r="F4342" s="210"/>
      <c r="G4342" s="210"/>
      <c r="H4342" s="206" t="s">
        <v>121</v>
      </c>
      <c r="I4342" s="206" t="s">
        <v>121</v>
      </c>
      <c r="J4342" s="206" t="s">
        <v>121</v>
      </c>
      <c r="K4342" s="206" t="s">
        <v>121</v>
      </c>
      <c r="L4342" s="206" t="str">
        <v/>
      </c>
      <c r="M4342" s="206" t="str">
        <v/>
      </c>
    </row>
    <row r="4343" spans="1:13" ht="14.4">
      <c r="A4343" s="201"/>
      <c r="B4343" s="209"/>
      <c r="C4343" s="201"/>
      <c r="D4343" s="201"/>
      <c r="E4343" s="202"/>
      <c r="F4343" s="210"/>
      <c r="G4343" s="210"/>
      <c r="H4343" s="206" t="s">
        <v>121</v>
      </c>
      <c r="I4343" s="206" t="s">
        <v>121</v>
      </c>
      <c r="J4343" s="206" t="s">
        <v>121</v>
      </c>
      <c r="K4343" s="206" t="s">
        <v>121</v>
      </c>
      <c r="L4343" s="206" t="str">
        <v/>
      </c>
      <c r="M4343" s="206" t="str">
        <v/>
      </c>
    </row>
    <row r="4344" spans="1:13" ht="14.4">
      <c r="A4344" s="201"/>
      <c r="B4344" s="209"/>
      <c r="C4344" s="201"/>
      <c r="D4344" s="201"/>
      <c r="E4344" s="202"/>
      <c r="F4344" s="210"/>
      <c r="G4344" s="210"/>
      <c r="H4344" s="206" t="s">
        <v>121</v>
      </c>
      <c r="I4344" s="206" t="s">
        <v>121</v>
      </c>
      <c r="J4344" s="206" t="s">
        <v>121</v>
      </c>
      <c r="K4344" s="206" t="s">
        <v>121</v>
      </c>
      <c r="L4344" s="206" t="str">
        <v/>
      </c>
      <c r="M4344" s="206" t="str">
        <v/>
      </c>
    </row>
    <row r="4345" spans="1:13" ht="14.4">
      <c r="A4345" s="201"/>
      <c r="B4345" s="209"/>
      <c r="C4345" s="201"/>
      <c r="D4345" s="201"/>
      <c r="E4345" s="202"/>
      <c r="F4345" s="210"/>
      <c r="G4345" s="210"/>
      <c r="H4345" s="206" t="s">
        <v>121</v>
      </c>
      <c r="I4345" s="206" t="s">
        <v>121</v>
      </c>
      <c r="J4345" s="206" t="s">
        <v>121</v>
      </c>
      <c r="K4345" s="206" t="s">
        <v>121</v>
      </c>
      <c r="L4345" s="206" t="str">
        <v/>
      </c>
      <c r="M4345" s="206" t="str">
        <v/>
      </c>
    </row>
    <row r="4346" spans="1:13" ht="14.4">
      <c r="A4346" s="201"/>
      <c r="B4346" s="209"/>
      <c r="C4346" s="201"/>
      <c r="D4346" s="201"/>
      <c r="E4346" s="202"/>
      <c r="F4346" s="210"/>
      <c r="G4346" s="210"/>
      <c r="H4346" s="206" t="s">
        <v>121</v>
      </c>
      <c r="I4346" s="206" t="s">
        <v>121</v>
      </c>
      <c r="J4346" s="206" t="s">
        <v>121</v>
      </c>
      <c r="K4346" s="206" t="s">
        <v>121</v>
      </c>
      <c r="L4346" s="206" t="str">
        <v/>
      </c>
      <c r="M4346" s="206" t="str">
        <v/>
      </c>
    </row>
    <row r="4347" spans="1:13" ht="14.4">
      <c r="A4347" s="201"/>
      <c r="B4347" s="209"/>
      <c r="C4347" s="201"/>
      <c r="D4347" s="201"/>
      <c r="E4347" s="202"/>
      <c r="F4347" s="210"/>
      <c r="G4347" s="210"/>
      <c r="H4347" s="206" t="s">
        <v>121</v>
      </c>
      <c r="I4347" s="206" t="s">
        <v>121</v>
      </c>
      <c r="J4347" s="206" t="s">
        <v>121</v>
      </c>
      <c r="K4347" s="206" t="s">
        <v>121</v>
      </c>
      <c r="L4347" s="206" t="str">
        <v/>
      </c>
      <c r="M4347" s="206" t="str">
        <v/>
      </c>
    </row>
    <row r="4348" spans="1:13" ht="14.4">
      <c r="A4348" s="201"/>
      <c r="B4348" s="209"/>
      <c r="C4348" s="201"/>
      <c r="D4348" s="201"/>
      <c r="E4348" s="202"/>
      <c r="F4348" s="210"/>
      <c r="G4348" s="210"/>
      <c r="H4348" s="206" t="s">
        <v>121</v>
      </c>
      <c r="I4348" s="206" t="s">
        <v>121</v>
      </c>
      <c r="J4348" s="206" t="s">
        <v>121</v>
      </c>
      <c r="K4348" s="206" t="s">
        <v>121</v>
      </c>
      <c r="L4348" s="206" t="str">
        <v/>
      </c>
      <c r="M4348" s="206" t="str">
        <v/>
      </c>
    </row>
    <row r="4349" spans="1:13" ht="14.4">
      <c r="A4349" s="201"/>
      <c r="B4349" s="209"/>
      <c r="C4349" s="201"/>
      <c r="D4349" s="201"/>
      <c r="E4349" s="202"/>
      <c r="F4349" s="210"/>
      <c r="G4349" s="210"/>
      <c r="H4349" s="206" t="s">
        <v>121</v>
      </c>
      <c r="I4349" s="206" t="s">
        <v>121</v>
      </c>
      <c r="J4349" s="206" t="s">
        <v>121</v>
      </c>
      <c r="K4349" s="206" t="s">
        <v>121</v>
      </c>
      <c r="L4349" s="206" t="str">
        <v/>
      </c>
      <c r="M4349" s="206" t="str">
        <v/>
      </c>
    </row>
    <row r="4350" spans="1:13" ht="14.4">
      <c r="A4350" s="201"/>
      <c r="B4350" s="209"/>
      <c r="C4350" s="201"/>
      <c r="D4350" s="201"/>
      <c r="E4350" s="202"/>
      <c r="F4350" s="210"/>
      <c r="G4350" s="210"/>
      <c r="H4350" s="206" t="s">
        <v>121</v>
      </c>
      <c r="I4350" s="206" t="s">
        <v>121</v>
      </c>
      <c r="J4350" s="206" t="s">
        <v>121</v>
      </c>
      <c r="K4350" s="206" t="s">
        <v>121</v>
      </c>
      <c r="L4350" s="206" t="str">
        <v/>
      </c>
      <c r="M4350" s="206" t="str">
        <v/>
      </c>
    </row>
    <row r="4351" spans="1:13" ht="14.4">
      <c r="A4351" s="201"/>
      <c r="B4351" s="209"/>
      <c r="C4351" s="201"/>
      <c r="D4351" s="201"/>
      <c r="E4351" s="202"/>
      <c r="F4351" s="210"/>
      <c r="G4351" s="210"/>
      <c r="H4351" s="206" t="s">
        <v>121</v>
      </c>
      <c r="I4351" s="206" t="s">
        <v>121</v>
      </c>
      <c r="J4351" s="206" t="s">
        <v>121</v>
      </c>
      <c r="K4351" s="206" t="s">
        <v>121</v>
      </c>
      <c r="L4351" s="206" t="str">
        <v/>
      </c>
      <c r="M4351" s="206" t="str">
        <v/>
      </c>
    </row>
    <row r="4352" spans="1:13" ht="14.4">
      <c r="A4352" s="201"/>
      <c r="B4352" s="209"/>
      <c r="C4352" s="201"/>
      <c r="D4352" s="201"/>
      <c r="E4352" s="202"/>
      <c r="F4352" s="210"/>
      <c r="G4352" s="210"/>
      <c r="H4352" s="206" t="s">
        <v>121</v>
      </c>
      <c r="I4352" s="206" t="s">
        <v>121</v>
      </c>
      <c r="J4352" s="206" t="s">
        <v>121</v>
      </c>
      <c r="K4352" s="206" t="s">
        <v>121</v>
      </c>
      <c r="L4352" s="206" t="str">
        <v/>
      </c>
      <c r="M4352" s="206" t="str">
        <v/>
      </c>
    </row>
    <row r="4353" spans="1:13" ht="14.4">
      <c r="A4353" s="201"/>
      <c r="B4353" s="209"/>
      <c r="C4353" s="201"/>
      <c r="D4353" s="201"/>
      <c r="E4353" s="202"/>
      <c r="F4353" s="210"/>
      <c r="G4353" s="210"/>
      <c r="H4353" s="206" t="s">
        <v>121</v>
      </c>
      <c r="I4353" s="206" t="s">
        <v>121</v>
      </c>
      <c r="J4353" s="206" t="s">
        <v>121</v>
      </c>
      <c r="K4353" s="206" t="s">
        <v>121</v>
      </c>
      <c r="L4353" s="206" t="str">
        <v/>
      </c>
      <c r="M4353" s="206" t="str">
        <v/>
      </c>
    </row>
    <row r="4354" spans="1:13" ht="14.4">
      <c r="A4354" s="201"/>
      <c r="B4354" s="209"/>
      <c r="C4354" s="201"/>
      <c r="D4354" s="201"/>
      <c r="E4354" s="202"/>
      <c r="F4354" s="210"/>
      <c r="G4354" s="210"/>
      <c r="H4354" s="206" t="s">
        <v>121</v>
      </c>
      <c r="I4354" s="206" t="s">
        <v>121</v>
      </c>
      <c r="J4354" s="206" t="s">
        <v>121</v>
      </c>
      <c r="K4354" s="206" t="s">
        <v>121</v>
      </c>
      <c r="L4354" s="206" t="str">
        <v/>
      </c>
      <c r="M4354" s="206" t="str">
        <v/>
      </c>
    </row>
    <row r="4355" spans="1:13" ht="14.4">
      <c r="A4355" s="201"/>
      <c r="B4355" s="209"/>
      <c r="C4355" s="201"/>
      <c r="D4355" s="201"/>
      <c r="E4355" s="202"/>
      <c r="F4355" s="210"/>
      <c r="G4355" s="210"/>
      <c r="H4355" s="206" t="s">
        <v>121</v>
      </c>
      <c r="I4355" s="206" t="s">
        <v>121</v>
      </c>
      <c r="J4355" s="206" t="s">
        <v>121</v>
      </c>
      <c r="K4355" s="206" t="s">
        <v>121</v>
      </c>
      <c r="L4355" s="206" t="str">
        <v/>
      </c>
      <c r="M4355" s="206" t="str">
        <v/>
      </c>
    </row>
    <row r="4356" spans="1:13" ht="14.4">
      <c r="A4356" s="201"/>
      <c r="B4356" s="209"/>
      <c r="C4356" s="201"/>
      <c r="D4356" s="201"/>
      <c r="E4356" s="202"/>
      <c r="F4356" s="210"/>
      <c r="G4356" s="210"/>
      <c r="H4356" s="206" t="s">
        <v>121</v>
      </c>
      <c r="I4356" s="206" t="s">
        <v>121</v>
      </c>
      <c r="J4356" s="206" t="s">
        <v>121</v>
      </c>
      <c r="K4356" s="206" t="s">
        <v>121</v>
      </c>
      <c r="L4356" s="206" t="str">
        <v/>
      </c>
      <c r="M4356" s="206" t="str">
        <v/>
      </c>
    </row>
    <row r="4357" spans="1:13" ht="14.4">
      <c r="A4357" s="201"/>
      <c r="B4357" s="209"/>
      <c r="C4357" s="201"/>
      <c r="D4357" s="201"/>
      <c r="E4357" s="202"/>
      <c r="F4357" s="210"/>
      <c r="G4357" s="210"/>
      <c r="H4357" s="206" t="s">
        <v>121</v>
      </c>
      <c r="I4357" s="206" t="s">
        <v>121</v>
      </c>
      <c r="J4357" s="206" t="s">
        <v>121</v>
      </c>
      <c r="K4357" s="206" t="s">
        <v>121</v>
      </c>
      <c r="L4357" s="206" t="str">
        <v/>
      </c>
      <c r="M4357" s="206" t="str">
        <v/>
      </c>
    </row>
    <row r="4358" spans="1:13" ht="14.4">
      <c r="A4358" s="201"/>
      <c r="B4358" s="209"/>
      <c r="C4358" s="201"/>
      <c r="D4358" s="201"/>
      <c r="E4358" s="202"/>
      <c r="F4358" s="210"/>
      <c r="G4358" s="210"/>
      <c r="H4358" s="206" t="s">
        <v>121</v>
      </c>
      <c r="I4358" s="206" t="s">
        <v>121</v>
      </c>
      <c r="J4358" s="206" t="s">
        <v>121</v>
      </c>
      <c r="K4358" s="206" t="s">
        <v>121</v>
      </c>
      <c r="L4358" s="206" t="str">
        <v/>
      </c>
      <c r="M4358" s="206" t="str">
        <v/>
      </c>
    </row>
    <row r="4359" spans="1:13" ht="14.4">
      <c r="A4359" s="201"/>
      <c r="B4359" s="209"/>
      <c r="C4359" s="201"/>
      <c r="D4359" s="201"/>
      <c r="E4359" s="202"/>
      <c r="F4359" s="210"/>
      <c r="G4359" s="210"/>
      <c r="H4359" s="206" t="s">
        <v>121</v>
      </c>
      <c r="I4359" s="206" t="s">
        <v>121</v>
      </c>
      <c r="J4359" s="206" t="s">
        <v>121</v>
      </c>
      <c r="K4359" s="206" t="s">
        <v>121</v>
      </c>
      <c r="L4359" s="206" t="str">
        <v/>
      </c>
      <c r="M4359" s="206" t="str">
        <v/>
      </c>
    </row>
    <row r="4360" spans="1:13" ht="14.4">
      <c r="A4360" s="201"/>
      <c r="B4360" s="209"/>
      <c r="C4360" s="201"/>
      <c r="D4360" s="201"/>
      <c r="E4360" s="202"/>
      <c r="F4360" s="210"/>
      <c r="G4360" s="210"/>
      <c r="H4360" s="206" t="s">
        <v>121</v>
      </c>
      <c r="I4360" s="206" t="s">
        <v>121</v>
      </c>
      <c r="J4360" s="206" t="s">
        <v>121</v>
      </c>
      <c r="K4360" s="206" t="s">
        <v>121</v>
      </c>
      <c r="L4360" s="206" t="str">
        <v/>
      </c>
      <c r="M4360" s="206" t="str">
        <v/>
      </c>
    </row>
    <row r="4361" spans="1:13" ht="14.4">
      <c r="A4361" s="201"/>
      <c r="B4361" s="209"/>
      <c r="C4361" s="201"/>
      <c r="D4361" s="201"/>
      <c r="E4361" s="202"/>
      <c r="F4361" s="210"/>
      <c r="G4361" s="210"/>
      <c r="H4361" s="206" t="s">
        <v>121</v>
      </c>
      <c r="I4361" s="206" t="s">
        <v>121</v>
      </c>
      <c r="J4361" s="206" t="s">
        <v>121</v>
      </c>
      <c r="K4361" s="206" t="s">
        <v>121</v>
      </c>
      <c r="L4361" s="206" t="str">
        <v/>
      </c>
      <c r="M4361" s="206" t="str">
        <v/>
      </c>
    </row>
    <row r="4362" spans="1:13" ht="14.4">
      <c r="A4362" s="201"/>
      <c r="B4362" s="209"/>
      <c r="C4362" s="201"/>
      <c r="D4362" s="201"/>
      <c r="E4362" s="202"/>
      <c r="F4362" s="210"/>
      <c r="G4362" s="210"/>
      <c r="H4362" s="206" t="s">
        <v>121</v>
      </c>
      <c r="I4362" s="206" t="s">
        <v>121</v>
      </c>
      <c r="J4362" s="206" t="s">
        <v>121</v>
      </c>
      <c r="K4362" s="206" t="s">
        <v>121</v>
      </c>
      <c r="L4362" s="206" t="str">
        <v/>
      </c>
      <c r="M4362" s="206" t="str">
        <v/>
      </c>
    </row>
    <row r="4363" spans="1:13" ht="14.4">
      <c r="A4363" s="201"/>
      <c r="B4363" s="209"/>
      <c r="C4363" s="201"/>
      <c r="D4363" s="201"/>
      <c r="E4363" s="202"/>
      <c r="F4363" s="210"/>
      <c r="G4363" s="210"/>
      <c r="H4363" s="206" t="s">
        <v>121</v>
      </c>
      <c r="I4363" s="206" t="s">
        <v>121</v>
      </c>
      <c r="J4363" s="206" t="s">
        <v>121</v>
      </c>
      <c r="K4363" s="206" t="s">
        <v>121</v>
      </c>
      <c r="L4363" s="206" t="str">
        <v/>
      </c>
      <c r="M4363" s="206" t="str">
        <v/>
      </c>
    </row>
    <row r="4364" spans="1:13" ht="14.4">
      <c r="A4364" s="201"/>
      <c r="B4364" s="209"/>
      <c r="C4364" s="201"/>
      <c r="D4364" s="201"/>
      <c r="E4364" s="202"/>
      <c r="F4364" s="210"/>
      <c r="G4364" s="210"/>
      <c r="H4364" s="206" t="s">
        <v>121</v>
      </c>
      <c r="I4364" s="206" t="s">
        <v>121</v>
      </c>
      <c r="J4364" s="206" t="s">
        <v>121</v>
      </c>
      <c r="K4364" s="206" t="s">
        <v>121</v>
      </c>
      <c r="L4364" s="206" t="str">
        <v/>
      </c>
      <c r="M4364" s="206" t="str">
        <v/>
      </c>
    </row>
    <row r="4365" spans="1:13" ht="14.4">
      <c r="A4365" s="201"/>
      <c r="B4365" s="209"/>
      <c r="C4365" s="201"/>
      <c r="D4365" s="201"/>
      <c r="E4365" s="202"/>
      <c r="F4365" s="210"/>
      <c r="G4365" s="210"/>
      <c r="H4365" s="206" t="s">
        <v>121</v>
      </c>
      <c r="I4365" s="206" t="s">
        <v>121</v>
      </c>
      <c r="J4365" s="206" t="s">
        <v>121</v>
      </c>
      <c r="K4365" s="206" t="s">
        <v>121</v>
      </c>
      <c r="L4365" s="206" t="str">
        <v/>
      </c>
      <c r="M4365" s="206" t="str">
        <v/>
      </c>
    </row>
    <row r="4366" spans="1:13" ht="14.4">
      <c r="A4366" s="201"/>
      <c r="B4366" s="209"/>
      <c r="C4366" s="201"/>
      <c r="D4366" s="201"/>
      <c r="E4366" s="202"/>
      <c r="F4366" s="210"/>
      <c r="G4366" s="210"/>
      <c r="H4366" s="206" t="s">
        <v>121</v>
      </c>
      <c r="I4366" s="206" t="s">
        <v>121</v>
      </c>
      <c r="J4366" s="206" t="s">
        <v>121</v>
      </c>
      <c r="K4366" s="206" t="s">
        <v>121</v>
      </c>
      <c r="L4366" s="206" t="str">
        <v/>
      </c>
      <c r="M4366" s="206" t="str">
        <v/>
      </c>
    </row>
    <row r="4367" spans="1:13" ht="14.4">
      <c r="A4367" s="201"/>
      <c r="B4367" s="209"/>
      <c r="C4367" s="201"/>
      <c r="D4367" s="201"/>
      <c r="E4367" s="202"/>
      <c r="F4367" s="210"/>
      <c r="G4367" s="210"/>
      <c r="H4367" s="206" t="s">
        <v>121</v>
      </c>
      <c r="I4367" s="206" t="s">
        <v>121</v>
      </c>
      <c r="J4367" s="206" t="s">
        <v>121</v>
      </c>
      <c r="K4367" s="206" t="s">
        <v>121</v>
      </c>
      <c r="L4367" s="206" t="str">
        <v/>
      </c>
      <c r="M4367" s="206" t="str">
        <v/>
      </c>
    </row>
    <row r="4368" spans="1:13" ht="14.4">
      <c r="A4368" s="201"/>
      <c r="B4368" s="209"/>
      <c r="C4368" s="201"/>
      <c r="D4368" s="201"/>
      <c r="E4368" s="202"/>
      <c r="F4368" s="210"/>
      <c r="G4368" s="210"/>
      <c r="H4368" s="206" t="s">
        <v>121</v>
      </c>
      <c r="I4368" s="206" t="s">
        <v>121</v>
      </c>
      <c r="J4368" s="206" t="s">
        <v>121</v>
      </c>
      <c r="K4368" s="206" t="s">
        <v>121</v>
      </c>
      <c r="L4368" s="206" t="str">
        <v/>
      </c>
      <c r="M4368" s="206" t="str">
        <v/>
      </c>
    </row>
    <row r="4369" spans="1:13" ht="14.4">
      <c r="A4369" s="201"/>
      <c r="B4369" s="209"/>
      <c r="C4369" s="201"/>
      <c r="D4369" s="201"/>
      <c r="E4369" s="202"/>
      <c r="F4369" s="210"/>
      <c r="G4369" s="210"/>
      <c r="H4369" s="206" t="s">
        <v>121</v>
      </c>
      <c r="I4369" s="206" t="s">
        <v>121</v>
      </c>
      <c r="J4369" s="206" t="s">
        <v>121</v>
      </c>
      <c r="K4369" s="206" t="s">
        <v>121</v>
      </c>
      <c r="L4369" s="206" t="str">
        <v/>
      </c>
      <c r="M4369" s="206" t="str">
        <v/>
      </c>
    </row>
    <row r="4370" spans="1:13" ht="14.4">
      <c r="A4370" s="201"/>
      <c r="B4370" s="209"/>
      <c r="C4370" s="201"/>
      <c r="D4370" s="201"/>
      <c r="E4370" s="202"/>
      <c r="F4370" s="210"/>
      <c r="G4370" s="210"/>
      <c r="H4370" s="206" t="s">
        <v>121</v>
      </c>
      <c r="I4370" s="206" t="s">
        <v>121</v>
      </c>
      <c r="J4370" s="206" t="s">
        <v>121</v>
      </c>
      <c r="K4370" s="206" t="s">
        <v>121</v>
      </c>
      <c r="L4370" s="206" t="str">
        <v/>
      </c>
      <c r="M4370" s="206" t="str">
        <v/>
      </c>
    </row>
    <row r="4371" spans="1:13" ht="14.4">
      <c r="A4371" s="201"/>
      <c r="B4371" s="209"/>
      <c r="C4371" s="201"/>
      <c r="D4371" s="201"/>
      <c r="E4371" s="202"/>
      <c r="F4371" s="210"/>
      <c r="G4371" s="210"/>
      <c r="H4371" s="206" t="s">
        <v>121</v>
      </c>
      <c r="I4371" s="206" t="s">
        <v>121</v>
      </c>
      <c r="J4371" s="206" t="s">
        <v>121</v>
      </c>
      <c r="K4371" s="206" t="s">
        <v>121</v>
      </c>
      <c r="L4371" s="206" t="str">
        <v/>
      </c>
      <c r="M4371" s="206" t="str">
        <v/>
      </c>
    </row>
    <row r="4372" spans="1:13" ht="14.4">
      <c r="A4372" s="201"/>
      <c r="B4372" s="209"/>
      <c r="C4372" s="201"/>
      <c r="D4372" s="201"/>
      <c r="E4372" s="202"/>
      <c r="F4372" s="210"/>
      <c r="G4372" s="210"/>
      <c r="H4372" s="206" t="s">
        <v>121</v>
      </c>
      <c r="I4372" s="206" t="s">
        <v>121</v>
      </c>
      <c r="J4372" s="206" t="s">
        <v>121</v>
      </c>
      <c r="K4372" s="206" t="s">
        <v>121</v>
      </c>
      <c r="L4372" s="206" t="str">
        <v/>
      </c>
      <c r="M4372" s="206" t="str">
        <v/>
      </c>
    </row>
    <row r="4373" spans="1:13" ht="14.4">
      <c r="A4373" s="201"/>
      <c r="B4373" s="209"/>
      <c r="C4373" s="201"/>
      <c r="D4373" s="201"/>
      <c r="E4373" s="202"/>
      <c r="F4373" s="210"/>
      <c r="G4373" s="210"/>
      <c r="H4373" s="206" t="s">
        <v>121</v>
      </c>
      <c r="I4373" s="206" t="s">
        <v>121</v>
      </c>
      <c r="J4373" s="206" t="s">
        <v>121</v>
      </c>
      <c r="K4373" s="206" t="s">
        <v>121</v>
      </c>
      <c r="L4373" s="206" t="str">
        <v/>
      </c>
      <c r="M4373" s="206" t="str">
        <v/>
      </c>
    </row>
    <row r="4374" spans="1:13" ht="14.4">
      <c r="A4374" s="201"/>
      <c r="B4374" s="209"/>
      <c r="C4374" s="201"/>
      <c r="D4374" s="201"/>
      <c r="E4374" s="202"/>
      <c r="F4374" s="210"/>
      <c r="G4374" s="210"/>
      <c r="H4374" s="206" t="s">
        <v>121</v>
      </c>
      <c r="I4374" s="206" t="s">
        <v>121</v>
      </c>
      <c r="J4374" s="206" t="s">
        <v>121</v>
      </c>
      <c r="K4374" s="206" t="s">
        <v>121</v>
      </c>
      <c r="L4374" s="206" t="str">
        <v/>
      </c>
      <c r="M4374" s="206" t="str">
        <v/>
      </c>
    </row>
    <row r="4375" spans="1:13" ht="14.4">
      <c r="A4375" s="201"/>
      <c r="B4375" s="209"/>
      <c r="C4375" s="201"/>
      <c r="D4375" s="201"/>
      <c r="E4375" s="202"/>
      <c r="F4375" s="210"/>
      <c r="G4375" s="210"/>
      <c r="H4375" s="206" t="s">
        <v>121</v>
      </c>
      <c r="I4375" s="206" t="s">
        <v>121</v>
      </c>
      <c r="J4375" s="206" t="s">
        <v>121</v>
      </c>
      <c r="K4375" s="206" t="s">
        <v>121</v>
      </c>
      <c r="L4375" s="206" t="str">
        <v/>
      </c>
      <c r="M4375" s="206" t="str">
        <v/>
      </c>
    </row>
    <row r="4376" spans="1:13" ht="14.4">
      <c r="A4376" s="201"/>
      <c r="B4376" s="209"/>
      <c r="C4376" s="201"/>
      <c r="D4376" s="201"/>
      <c r="E4376" s="202"/>
      <c r="F4376" s="210"/>
      <c r="G4376" s="210"/>
      <c r="H4376" s="206" t="s">
        <v>121</v>
      </c>
      <c r="I4376" s="206" t="s">
        <v>121</v>
      </c>
      <c r="J4376" s="206" t="s">
        <v>121</v>
      </c>
      <c r="K4376" s="206" t="s">
        <v>121</v>
      </c>
      <c r="L4376" s="206" t="str">
        <v/>
      </c>
      <c r="M4376" s="206" t="str">
        <v/>
      </c>
    </row>
    <row r="4377" spans="1:13" ht="14.4">
      <c r="A4377" s="201"/>
      <c r="B4377" s="209"/>
      <c r="C4377" s="201"/>
      <c r="D4377" s="201"/>
      <c r="E4377" s="202"/>
      <c r="F4377" s="210"/>
      <c r="G4377" s="210"/>
      <c r="H4377" s="206" t="s">
        <v>121</v>
      </c>
      <c r="I4377" s="206" t="s">
        <v>121</v>
      </c>
      <c r="J4377" s="206" t="s">
        <v>121</v>
      </c>
      <c r="K4377" s="206" t="s">
        <v>121</v>
      </c>
      <c r="L4377" s="206" t="str">
        <v/>
      </c>
      <c r="M4377" s="206" t="str">
        <v/>
      </c>
    </row>
    <row r="4378" spans="1:13" ht="14.4">
      <c r="A4378" s="201"/>
      <c r="B4378" s="209"/>
      <c r="C4378" s="201"/>
      <c r="D4378" s="201"/>
      <c r="E4378" s="202"/>
      <c r="F4378" s="210"/>
      <c r="G4378" s="210"/>
      <c r="H4378" s="206" t="s">
        <v>121</v>
      </c>
      <c r="I4378" s="206" t="s">
        <v>121</v>
      </c>
      <c r="J4378" s="206" t="s">
        <v>121</v>
      </c>
      <c r="K4378" s="206" t="s">
        <v>121</v>
      </c>
      <c r="L4378" s="206" t="str">
        <v/>
      </c>
      <c r="M4378" s="206" t="str">
        <v/>
      </c>
    </row>
    <row r="4379" spans="1:13" ht="14.4">
      <c r="A4379" s="201"/>
      <c r="B4379" s="209"/>
      <c r="C4379" s="201"/>
      <c r="D4379" s="201"/>
      <c r="E4379" s="202"/>
      <c r="F4379" s="210"/>
      <c r="G4379" s="210"/>
      <c r="H4379" s="206" t="s">
        <v>121</v>
      </c>
      <c r="I4379" s="206" t="s">
        <v>121</v>
      </c>
      <c r="J4379" s="206" t="s">
        <v>121</v>
      </c>
      <c r="K4379" s="206" t="s">
        <v>121</v>
      </c>
      <c r="L4379" s="206" t="str">
        <v/>
      </c>
      <c r="M4379" s="206" t="str">
        <v/>
      </c>
    </row>
    <row r="4380" spans="1:13" ht="14.4">
      <c r="A4380" s="201"/>
      <c r="B4380" s="209"/>
      <c r="C4380" s="201"/>
      <c r="D4380" s="201"/>
      <c r="E4380" s="202"/>
      <c r="F4380" s="210"/>
      <c r="G4380" s="210"/>
      <c r="H4380" s="206" t="s">
        <v>121</v>
      </c>
      <c r="I4380" s="206" t="s">
        <v>121</v>
      </c>
      <c r="J4380" s="206" t="s">
        <v>121</v>
      </c>
      <c r="K4380" s="206" t="s">
        <v>121</v>
      </c>
      <c r="L4380" s="206" t="str">
        <v/>
      </c>
      <c r="M4380" s="206" t="str">
        <v/>
      </c>
    </row>
    <row r="4381" spans="1:13" ht="14.4">
      <c r="A4381" s="201"/>
      <c r="B4381" s="209"/>
      <c r="C4381" s="201"/>
      <c r="D4381" s="201"/>
      <c r="E4381" s="202"/>
      <c r="F4381" s="210"/>
      <c r="G4381" s="210"/>
      <c r="H4381" s="206" t="s">
        <v>121</v>
      </c>
      <c r="I4381" s="206" t="s">
        <v>121</v>
      </c>
      <c r="J4381" s="206" t="s">
        <v>121</v>
      </c>
      <c r="K4381" s="206" t="s">
        <v>121</v>
      </c>
      <c r="L4381" s="206" t="str">
        <v/>
      </c>
      <c r="M4381" s="206" t="str">
        <v/>
      </c>
    </row>
    <row r="4382" spans="1:13" ht="14.4">
      <c r="A4382" s="201"/>
      <c r="B4382" s="209"/>
      <c r="C4382" s="201"/>
      <c r="D4382" s="201"/>
      <c r="E4382" s="202"/>
      <c r="F4382" s="210"/>
      <c r="G4382" s="210"/>
      <c r="H4382" s="206" t="s">
        <v>121</v>
      </c>
      <c r="I4382" s="206" t="s">
        <v>121</v>
      </c>
      <c r="J4382" s="206" t="s">
        <v>121</v>
      </c>
      <c r="K4382" s="206" t="s">
        <v>121</v>
      </c>
      <c r="L4382" s="206" t="str">
        <v/>
      </c>
      <c r="M4382" s="206" t="str">
        <v/>
      </c>
    </row>
    <row r="4383" spans="1:13" ht="14.4">
      <c r="A4383" s="201"/>
      <c r="B4383" s="209"/>
      <c r="C4383" s="201"/>
      <c r="D4383" s="201"/>
      <c r="E4383" s="202"/>
      <c r="F4383" s="210"/>
      <c r="G4383" s="210"/>
      <c r="H4383" s="206" t="s">
        <v>121</v>
      </c>
      <c r="I4383" s="206" t="s">
        <v>121</v>
      </c>
      <c r="J4383" s="206" t="s">
        <v>121</v>
      </c>
      <c r="K4383" s="206" t="s">
        <v>121</v>
      </c>
      <c r="L4383" s="206" t="str">
        <v/>
      </c>
      <c r="M4383" s="206" t="str">
        <v/>
      </c>
    </row>
    <row r="4384" spans="1:13" ht="14.4">
      <c r="A4384" s="201"/>
      <c r="B4384" s="209"/>
      <c r="C4384" s="201"/>
      <c r="D4384" s="201"/>
      <c r="E4384" s="202"/>
      <c r="F4384" s="210"/>
      <c r="G4384" s="210"/>
      <c r="H4384" s="206" t="s">
        <v>121</v>
      </c>
      <c r="I4384" s="206" t="s">
        <v>121</v>
      </c>
      <c r="J4384" s="206" t="s">
        <v>121</v>
      </c>
      <c r="K4384" s="206" t="s">
        <v>121</v>
      </c>
      <c r="L4384" s="206" t="str">
        <v/>
      </c>
      <c r="M4384" s="206" t="str">
        <v/>
      </c>
    </row>
    <row r="4385" spans="1:13" ht="14.4">
      <c r="A4385" s="201"/>
      <c r="B4385" s="209"/>
      <c r="C4385" s="201"/>
      <c r="D4385" s="201"/>
      <c r="E4385" s="202"/>
      <c r="F4385" s="210"/>
      <c r="G4385" s="210"/>
      <c r="H4385" s="206" t="s">
        <v>121</v>
      </c>
      <c r="I4385" s="206" t="s">
        <v>121</v>
      </c>
      <c r="J4385" s="206" t="s">
        <v>121</v>
      </c>
      <c r="K4385" s="206" t="s">
        <v>121</v>
      </c>
      <c r="L4385" s="206" t="str">
        <v/>
      </c>
      <c r="M4385" s="206" t="str">
        <v/>
      </c>
    </row>
    <row r="4386" spans="1:13" ht="14.4">
      <c r="A4386" s="201"/>
      <c r="B4386" s="209"/>
      <c r="C4386" s="201"/>
      <c r="D4386" s="201"/>
      <c r="E4386" s="202"/>
      <c r="F4386" s="210"/>
      <c r="G4386" s="210"/>
      <c r="H4386" s="206" t="s">
        <v>121</v>
      </c>
      <c r="I4386" s="206" t="s">
        <v>121</v>
      </c>
      <c r="J4386" s="206" t="s">
        <v>121</v>
      </c>
      <c r="K4386" s="206" t="s">
        <v>121</v>
      </c>
      <c r="L4386" s="206" t="str">
        <v/>
      </c>
      <c r="M4386" s="206" t="str">
        <v/>
      </c>
    </row>
    <row r="4387" spans="1:13" ht="14.4">
      <c r="A4387" s="201"/>
      <c r="B4387" s="209"/>
      <c r="C4387" s="201"/>
      <c r="D4387" s="201"/>
      <c r="E4387" s="202"/>
      <c r="F4387" s="210"/>
      <c r="G4387" s="210"/>
      <c r="H4387" s="206" t="s">
        <v>121</v>
      </c>
      <c r="I4387" s="206" t="s">
        <v>121</v>
      </c>
      <c r="J4387" s="206" t="s">
        <v>121</v>
      </c>
      <c r="K4387" s="206" t="s">
        <v>121</v>
      </c>
      <c r="L4387" s="206" t="str">
        <v/>
      </c>
      <c r="M4387" s="206" t="str">
        <v/>
      </c>
    </row>
    <row r="4388" spans="1:13" ht="14.4">
      <c r="A4388" s="201"/>
      <c r="B4388" s="209"/>
      <c r="C4388" s="201"/>
      <c r="D4388" s="201"/>
      <c r="E4388" s="202"/>
      <c r="F4388" s="210"/>
      <c r="G4388" s="210"/>
      <c r="H4388" s="206" t="s">
        <v>121</v>
      </c>
      <c r="I4388" s="206" t="s">
        <v>121</v>
      </c>
      <c r="J4388" s="206" t="s">
        <v>121</v>
      </c>
      <c r="K4388" s="206" t="s">
        <v>121</v>
      </c>
      <c r="L4388" s="206" t="str">
        <v/>
      </c>
      <c r="M4388" s="206" t="str">
        <v/>
      </c>
    </row>
    <row r="4389" spans="1:13" ht="14.4">
      <c r="A4389" s="201"/>
      <c r="B4389" s="209"/>
      <c r="C4389" s="201"/>
      <c r="D4389" s="201"/>
      <c r="E4389" s="202"/>
      <c r="F4389" s="210"/>
      <c r="G4389" s="210"/>
      <c r="H4389" s="206" t="s">
        <v>121</v>
      </c>
      <c r="I4389" s="206" t="s">
        <v>121</v>
      </c>
      <c r="J4389" s="206" t="s">
        <v>121</v>
      </c>
      <c r="K4389" s="206" t="s">
        <v>121</v>
      </c>
      <c r="L4389" s="206" t="str">
        <v/>
      </c>
      <c r="M4389" s="206" t="str">
        <v/>
      </c>
    </row>
    <row r="4390" spans="1:13" ht="14.4">
      <c r="A4390" s="201"/>
      <c r="B4390" s="209"/>
      <c r="C4390" s="201"/>
      <c r="D4390" s="201"/>
      <c r="E4390" s="202"/>
      <c r="F4390" s="210"/>
      <c r="G4390" s="210"/>
      <c r="H4390" s="206" t="s">
        <v>121</v>
      </c>
      <c r="I4390" s="206" t="s">
        <v>121</v>
      </c>
      <c r="J4390" s="206" t="s">
        <v>121</v>
      </c>
      <c r="K4390" s="206" t="s">
        <v>121</v>
      </c>
      <c r="L4390" s="206" t="str">
        <v/>
      </c>
      <c r="M4390" s="206" t="str">
        <v/>
      </c>
    </row>
    <row r="4391" spans="1:13" ht="14.4">
      <c r="A4391" s="201"/>
      <c r="B4391" s="209"/>
      <c r="C4391" s="201"/>
      <c r="D4391" s="201"/>
      <c r="E4391" s="202"/>
      <c r="F4391" s="210"/>
      <c r="G4391" s="210"/>
      <c r="H4391" s="206" t="s">
        <v>121</v>
      </c>
      <c r="I4391" s="206" t="s">
        <v>121</v>
      </c>
      <c r="J4391" s="206" t="s">
        <v>121</v>
      </c>
      <c r="K4391" s="206" t="s">
        <v>121</v>
      </c>
      <c r="L4391" s="206" t="str">
        <v/>
      </c>
      <c r="M4391" s="206" t="str">
        <v/>
      </c>
    </row>
    <row r="4392" spans="1:13" ht="14.4">
      <c r="A4392" s="201"/>
      <c r="B4392" s="209"/>
      <c r="C4392" s="201"/>
      <c r="D4392" s="201"/>
      <c r="E4392" s="202"/>
      <c r="F4392" s="210"/>
      <c r="G4392" s="210"/>
      <c r="H4392" s="206" t="s">
        <v>121</v>
      </c>
      <c r="I4392" s="206" t="s">
        <v>121</v>
      </c>
      <c r="J4392" s="206" t="s">
        <v>121</v>
      </c>
      <c r="K4392" s="206" t="s">
        <v>121</v>
      </c>
      <c r="L4392" s="206" t="str">
        <v/>
      </c>
      <c r="M4392" s="206" t="str">
        <v/>
      </c>
    </row>
    <row r="4393" spans="1:13" ht="14.4">
      <c r="A4393" s="201"/>
      <c r="B4393" s="209"/>
      <c r="C4393" s="201"/>
      <c r="D4393" s="201"/>
      <c r="E4393" s="202"/>
      <c r="F4393" s="210"/>
      <c r="G4393" s="210"/>
      <c r="H4393" s="206" t="s">
        <v>121</v>
      </c>
      <c r="I4393" s="206" t="s">
        <v>121</v>
      </c>
      <c r="J4393" s="206" t="s">
        <v>121</v>
      </c>
      <c r="K4393" s="206" t="s">
        <v>121</v>
      </c>
      <c r="L4393" s="206" t="str">
        <v/>
      </c>
      <c r="M4393" s="206" t="str">
        <v/>
      </c>
    </row>
    <row r="4394" spans="1:13" ht="14.4">
      <c r="A4394" s="201"/>
      <c r="B4394" s="209"/>
      <c r="C4394" s="201"/>
      <c r="D4394" s="201"/>
      <c r="E4394" s="202"/>
      <c r="F4394" s="210"/>
      <c r="G4394" s="210"/>
      <c r="H4394" s="206" t="s">
        <v>121</v>
      </c>
      <c r="I4394" s="206" t="s">
        <v>121</v>
      </c>
      <c r="J4394" s="206" t="s">
        <v>121</v>
      </c>
      <c r="K4394" s="206" t="s">
        <v>121</v>
      </c>
      <c r="L4394" s="206" t="str">
        <v/>
      </c>
      <c r="M4394" s="206" t="str">
        <v/>
      </c>
    </row>
    <row r="4395" spans="1:13" ht="14.4">
      <c r="A4395" s="201"/>
      <c r="B4395" s="209"/>
      <c r="C4395" s="201"/>
      <c r="D4395" s="201"/>
      <c r="E4395" s="202"/>
      <c r="F4395" s="210"/>
      <c r="G4395" s="210"/>
      <c r="H4395" s="206" t="s">
        <v>121</v>
      </c>
      <c r="I4395" s="206" t="s">
        <v>121</v>
      </c>
      <c r="J4395" s="206" t="s">
        <v>121</v>
      </c>
      <c r="K4395" s="206" t="s">
        <v>121</v>
      </c>
      <c r="L4395" s="206" t="str">
        <v/>
      </c>
      <c r="M4395" s="206" t="str">
        <v/>
      </c>
    </row>
    <row r="4396" spans="1:13" ht="14.4">
      <c r="A4396" s="201"/>
      <c r="B4396" s="209"/>
      <c r="C4396" s="201"/>
      <c r="D4396" s="201"/>
      <c r="E4396" s="202"/>
      <c r="F4396" s="210"/>
      <c r="G4396" s="210"/>
      <c r="H4396" s="206" t="s">
        <v>121</v>
      </c>
      <c r="I4396" s="206" t="s">
        <v>121</v>
      </c>
      <c r="J4396" s="206" t="s">
        <v>121</v>
      </c>
      <c r="K4396" s="206" t="s">
        <v>121</v>
      </c>
      <c r="L4396" s="206" t="str">
        <v/>
      </c>
      <c r="M4396" s="206" t="str">
        <v/>
      </c>
    </row>
    <row r="4397" spans="1:13" ht="14.4">
      <c r="A4397" s="201"/>
      <c r="B4397" s="209"/>
      <c r="C4397" s="201"/>
      <c r="D4397" s="201"/>
      <c r="E4397" s="202"/>
      <c r="F4397" s="210"/>
      <c r="G4397" s="210"/>
      <c r="H4397" s="206" t="s">
        <v>121</v>
      </c>
      <c r="I4397" s="206" t="s">
        <v>121</v>
      </c>
      <c r="J4397" s="206" t="s">
        <v>121</v>
      </c>
      <c r="K4397" s="206" t="s">
        <v>121</v>
      </c>
      <c r="L4397" s="206" t="str">
        <v/>
      </c>
      <c r="M4397" s="206" t="str">
        <v/>
      </c>
    </row>
    <row r="4398" spans="1:13" ht="14.4">
      <c r="A4398" s="201"/>
      <c r="B4398" s="209"/>
      <c r="C4398" s="201"/>
      <c r="D4398" s="201"/>
      <c r="E4398" s="202"/>
      <c r="F4398" s="210"/>
      <c r="G4398" s="210"/>
      <c r="H4398" s="206" t="s">
        <v>121</v>
      </c>
      <c r="I4398" s="206" t="s">
        <v>121</v>
      </c>
      <c r="J4398" s="206" t="s">
        <v>121</v>
      </c>
      <c r="K4398" s="206" t="s">
        <v>121</v>
      </c>
      <c r="L4398" s="206" t="str">
        <v/>
      </c>
      <c r="M4398" s="206" t="str">
        <v/>
      </c>
    </row>
    <row r="4399" spans="1:13" ht="14.4">
      <c r="A4399" s="201"/>
      <c r="B4399" s="209"/>
      <c r="C4399" s="201"/>
      <c r="D4399" s="201"/>
      <c r="E4399" s="202"/>
      <c r="F4399" s="210"/>
      <c r="G4399" s="210"/>
      <c r="H4399" s="206" t="s">
        <v>121</v>
      </c>
      <c r="I4399" s="206" t="s">
        <v>121</v>
      </c>
      <c r="J4399" s="206" t="s">
        <v>121</v>
      </c>
      <c r="K4399" s="206" t="s">
        <v>121</v>
      </c>
      <c r="L4399" s="206" t="str">
        <v/>
      </c>
      <c r="M4399" s="206" t="str">
        <v/>
      </c>
    </row>
    <row r="4400" spans="1:13" ht="14.4">
      <c r="A4400" s="201"/>
      <c r="B4400" s="209"/>
      <c r="C4400" s="201"/>
      <c r="D4400" s="201"/>
      <c r="E4400" s="202"/>
      <c r="F4400" s="210"/>
      <c r="G4400" s="210"/>
      <c r="H4400" s="206" t="s">
        <v>121</v>
      </c>
      <c r="I4400" s="206" t="s">
        <v>121</v>
      </c>
      <c r="J4400" s="206" t="s">
        <v>121</v>
      </c>
      <c r="K4400" s="206" t="s">
        <v>121</v>
      </c>
      <c r="L4400" s="206" t="str">
        <v/>
      </c>
      <c r="M4400" s="206" t="str">
        <v/>
      </c>
    </row>
    <row r="4401" spans="1:13" ht="14.4">
      <c r="A4401" s="201"/>
      <c r="B4401" s="209"/>
      <c r="C4401" s="201"/>
      <c r="D4401" s="201"/>
      <c r="E4401" s="202"/>
      <c r="F4401" s="210"/>
      <c r="G4401" s="210"/>
      <c r="H4401" s="206" t="s">
        <v>121</v>
      </c>
      <c r="I4401" s="206" t="s">
        <v>121</v>
      </c>
      <c r="J4401" s="206" t="s">
        <v>121</v>
      </c>
      <c r="K4401" s="206" t="s">
        <v>121</v>
      </c>
      <c r="L4401" s="206" t="str">
        <v/>
      </c>
      <c r="M4401" s="206" t="str">
        <v/>
      </c>
    </row>
    <row r="4402" spans="1:13" ht="14.4">
      <c r="A4402" s="201"/>
      <c r="B4402" s="209"/>
      <c r="C4402" s="201"/>
      <c r="D4402" s="201"/>
      <c r="E4402" s="202"/>
      <c r="F4402" s="210"/>
      <c r="G4402" s="210"/>
      <c r="H4402" s="206" t="s">
        <v>121</v>
      </c>
      <c r="I4402" s="206" t="s">
        <v>121</v>
      </c>
      <c r="J4402" s="206" t="s">
        <v>121</v>
      </c>
      <c r="K4402" s="206" t="s">
        <v>121</v>
      </c>
      <c r="L4402" s="206" t="str">
        <v/>
      </c>
      <c r="M4402" s="206" t="str">
        <v/>
      </c>
    </row>
    <row r="4403" spans="1:13" ht="14.4">
      <c r="A4403" s="201"/>
      <c r="B4403" s="209"/>
      <c r="C4403" s="201"/>
      <c r="D4403" s="201"/>
      <c r="E4403" s="202"/>
      <c r="F4403" s="210"/>
      <c r="G4403" s="210"/>
      <c r="H4403" s="206" t="s">
        <v>121</v>
      </c>
      <c r="I4403" s="206" t="s">
        <v>121</v>
      </c>
      <c r="J4403" s="206" t="s">
        <v>121</v>
      </c>
      <c r="K4403" s="206" t="s">
        <v>121</v>
      </c>
      <c r="L4403" s="206" t="str">
        <v/>
      </c>
      <c r="M4403" s="206" t="str">
        <v/>
      </c>
    </row>
    <row r="4404" spans="1:13" ht="14.4">
      <c r="A4404" s="201"/>
      <c r="B4404" s="209"/>
      <c r="C4404" s="201"/>
      <c r="D4404" s="201"/>
      <c r="E4404" s="202"/>
      <c r="F4404" s="210"/>
      <c r="G4404" s="210"/>
      <c r="H4404" s="206" t="s">
        <v>121</v>
      </c>
      <c r="I4404" s="206" t="s">
        <v>121</v>
      </c>
      <c r="J4404" s="206" t="s">
        <v>121</v>
      </c>
      <c r="K4404" s="206" t="s">
        <v>121</v>
      </c>
      <c r="L4404" s="206" t="str">
        <v/>
      </c>
      <c r="M4404" s="206" t="str">
        <v/>
      </c>
    </row>
    <row r="4405" spans="1:13" ht="14.4">
      <c r="A4405" s="201"/>
      <c r="B4405" s="209"/>
      <c r="C4405" s="201"/>
      <c r="D4405" s="201"/>
      <c r="E4405" s="202"/>
      <c r="F4405" s="210"/>
      <c r="G4405" s="210"/>
      <c r="H4405" s="206" t="s">
        <v>121</v>
      </c>
      <c r="I4405" s="206" t="s">
        <v>121</v>
      </c>
      <c r="J4405" s="206" t="s">
        <v>121</v>
      </c>
      <c r="K4405" s="206" t="s">
        <v>121</v>
      </c>
      <c r="L4405" s="206" t="str">
        <v/>
      </c>
      <c r="M4405" s="206" t="str">
        <v/>
      </c>
    </row>
    <row r="4406" spans="1:13" ht="14.4">
      <c r="A4406" s="201"/>
      <c r="B4406" s="209"/>
      <c r="C4406" s="201"/>
      <c r="D4406" s="201"/>
      <c r="E4406" s="202"/>
      <c r="F4406" s="210"/>
      <c r="G4406" s="210"/>
      <c r="H4406" s="206" t="s">
        <v>121</v>
      </c>
      <c r="I4406" s="206" t="s">
        <v>121</v>
      </c>
      <c r="J4406" s="206" t="s">
        <v>121</v>
      </c>
      <c r="K4406" s="206" t="s">
        <v>121</v>
      </c>
      <c r="L4406" s="206" t="str">
        <v/>
      </c>
      <c r="M4406" s="206" t="str">
        <v/>
      </c>
    </row>
    <row r="4407" spans="1:13" ht="14.4">
      <c r="A4407" s="201"/>
      <c r="B4407" s="209"/>
      <c r="C4407" s="201"/>
      <c r="D4407" s="201"/>
      <c r="E4407" s="202"/>
      <c r="F4407" s="210"/>
      <c r="G4407" s="210"/>
      <c r="H4407" s="206" t="s">
        <v>121</v>
      </c>
      <c r="I4407" s="206" t="s">
        <v>121</v>
      </c>
      <c r="J4407" s="206" t="s">
        <v>121</v>
      </c>
      <c r="K4407" s="206" t="s">
        <v>121</v>
      </c>
      <c r="L4407" s="206" t="str">
        <v/>
      </c>
      <c r="M4407" s="206" t="str">
        <v/>
      </c>
    </row>
    <row r="4408" spans="1:13" ht="14.4">
      <c r="A4408" s="201"/>
      <c r="B4408" s="209"/>
      <c r="C4408" s="201"/>
      <c r="D4408" s="201"/>
      <c r="E4408" s="202"/>
      <c r="F4408" s="210"/>
      <c r="G4408" s="210"/>
      <c r="H4408" s="206" t="s">
        <v>121</v>
      </c>
      <c r="I4408" s="206" t="s">
        <v>121</v>
      </c>
      <c r="J4408" s="206" t="s">
        <v>121</v>
      </c>
      <c r="K4408" s="206" t="s">
        <v>121</v>
      </c>
      <c r="L4408" s="206" t="str">
        <v/>
      </c>
      <c r="M4408" s="206" t="str">
        <v/>
      </c>
    </row>
    <row r="4409" spans="1:13" ht="14.4">
      <c r="A4409" s="201"/>
      <c r="B4409" s="209"/>
      <c r="C4409" s="201"/>
      <c r="D4409" s="201"/>
      <c r="E4409" s="202"/>
      <c r="F4409" s="210"/>
      <c r="G4409" s="210"/>
      <c r="H4409" s="206" t="s">
        <v>121</v>
      </c>
      <c r="I4409" s="206" t="s">
        <v>121</v>
      </c>
      <c r="J4409" s="206" t="s">
        <v>121</v>
      </c>
      <c r="K4409" s="206" t="s">
        <v>121</v>
      </c>
      <c r="L4409" s="206" t="str">
        <v/>
      </c>
      <c r="M4409" s="206" t="str">
        <v/>
      </c>
    </row>
    <row r="4410" spans="1:13" ht="14.4">
      <c r="A4410" s="201"/>
      <c r="B4410" s="209"/>
      <c r="C4410" s="201"/>
      <c r="D4410" s="201"/>
      <c r="E4410" s="202"/>
      <c r="F4410" s="210"/>
      <c r="G4410" s="210"/>
      <c r="H4410" s="206" t="s">
        <v>121</v>
      </c>
      <c r="I4410" s="206" t="s">
        <v>121</v>
      </c>
      <c r="J4410" s="206" t="s">
        <v>121</v>
      </c>
      <c r="K4410" s="206" t="s">
        <v>121</v>
      </c>
      <c r="L4410" s="206" t="str">
        <v/>
      </c>
      <c r="M4410" s="206" t="str">
        <v/>
      </c>
    </row>
    <row r="4411" spans="1:13" ht="14.4">
      <c r="A4411" s="201"/>
      <c r="B4411" s="209"/>
      <c r="C4411" s="201"/>
      <c r="D4411" s="201"/>
      <c r="E4411" s="202"/>
      <c r="F4411" s="210"/>
      <c r="G4411" s="210"/>
      <c r="H4411" s="206" t="s">
        <v>121</v>
      </c>
      <c r="I4411" s="206" t="s">
        <v>121</v>
      </c>
      <c r="J4411" s="206" t="s">
        <v>121</v>
      </c>
      <c r="K4411" s="206" t="s">
        <v>121</v>
      </c>
      <c r="L4411" s="206" t="str">
        <v/>
      </c>
      <c r="M4411" s="206" t="str">
        <v/>
      </c>
    </row>
    <row r="4412" spans="1:13" ht="14.4">
      <c r="A4412" s="201"/>
      <c r="B4412" s="209"/>
      <c r="C4412" s="201"/>
      <c r="D4412" s="201"/>
      <c r="E4412" s="202"/>
      <c r="F4412" s="210"/>
      <c r="G4412" s="210"/>
      <c r="H4412" s="206" t="s">
        <v>121</v>
      </c>
      <c r="I4412" s="206" t="s">
        <v>121</v>
      </c>
      <c r="J4412" s="206" t="s">
        <v>121</v>
      </c>
      <c r="K4412" s="206" t="s">
        <v>121</v>
      </c>
      <c r="L4412" s="206" t="str">
        <v/>
      </c>
      <c r="M4412" s="206" t="str">
        <v/>
      </c>
    </row>
    <row r="4413" spans="1:13" ht="14.4">
      <c r="A4413" s="201"/>
      <c r="B4413" s="209"/>
      <c r="C4413" s="201"/>
      <c r="D4413" s="201"/>
      <c r="E4413" s="202"/>
      <c r="F4413" s="210"/>
      <c r="G4413" s="210"/>
      <c r="H4413" s="206" t="s">
        <v>121</v>
      </c>
      <c r="I4413" s="206" t="s">
        <v>121</v>
      </c>
      <c r="J4413" s="206" t="s">
        <v>121</v>
      </c>
      <c r="K4413" s="206" t="s">
        <v>121</v>
      </c>
      <c r="L4413" s="206" t="str">
        <v/>
      </c>
      <c r="M4413" s="206" t="str">
        <v/>
      </c>
    </row>
    <row r="4414" spans="1:13" ht="14.4">
      <c r="A4414" s="201"/>
      <c r="B4414" s="209"/>
      <c r="C4414" s="201"/>
      <c r="D4414" s="201"/>
      <c r="E4414" s="202"/>
      <c r="F4414" s="210"/>
      <c r="G4414" s="210"/>
      <c r="H4414" s="206" t="s">
        <v>121</v>
      </c>
      <c r="I4414" s="206" t="s">
        <v>121</v>
      </c>
      <c r="J4414" s="206" t="s">
        <v>121</v>
      </c>
      <c r="K4414" s="206" t="s">
        <v>121</v>
      </c>
      <c r="L4414" s="206" t="str">
        <v/>
      </c>
      <c r="M4414" s="206" t="str">
        <v/>
      </c>
    </row>
    <row r="4415" spans="1:13" ht="14.4">
      <c r="A4415" s="201"/>
      <c r="B4415" s="209"/>
      <c r="C4415" s="201"/>
      <c r="D4415" s="201"/>
      <c r="E4415" s="202"/>
      <c r="F4415" s="210"/>
      <c r="G4415" s="210"/>
      <c r="H4415" s="206" t="s">
        <v>121</v>
      </c>
      <c r="I4415" s="206" t="s">
        <v>121</v>
      </c>
      <c r="J4415" s="206" t="s">
        <v>121</v>
      </c>
      <c r="K4415" s="206" t="s">
        <v>121</v>
      </c>
      <c r="L4415" s="206" t="str">
        <v/>
      </c>
      <c r="M4415" s="206" t="str">
        <v/>
      </c>
    </row>
    <row r="4416" spans="1:13" ht="14.4">
      <c r="A4416" s="201"/>
      <c r="B4416" s="209"/>
      <c r="C4416" s="201"/>
      <c r="D4416" s="201"/>
      <c r="E4416" s="202"/>
      <c r="F4416" s="210"/>
      <c r="G4416" s="210"/>
      <c r="H4416" s="206" t="s">
        <v>121</v>
      </c>
      <c r="I4416" s="206" t="s">
        <v>121</v>
      </c>
      <c r="J4416" s="206" t="s">
        <v>121</v>
      </c>
      <c r="K4416" s="206" t="s">
        <v>121</v>
      </c>
      <c r="L4416" s="206" t="str">
        <v/>
      </c>
      <c r="M4416" s="206" t="str">
        <v/>
      </c>
    </row>
    <row r="4417" spans="1:13" ht="14.4">
      <c r="A4417" s="201"/>
      <c r="B4417" s="209"/>
      <c r="C4417" s="201"/>
      <c r="D4417" s="201"/>
      <c r="E4417" s="202"/>
      <c r="F4417" s="210"/>
      <c r="G4417" s="210"/>
      <c r="H4417" s="206" t="s">
        <v>121</v>
      </c>
      <c r="I4417" s="206" t="s">
        <v>121</v>
      </c>
      <c r="J4417" s="206" t="s">
        <v>121</v>
      </c>
      <c r="K4417" s="206" t="s">
        <v>121</v>
      </c>
      <c r="L4417" s="206" t="str">
        <v/>
      </c>
      <c r="M4417" s="206" t="str">
        <v/>
      </c>
    </row>
    <row r="4418" spans="1:13" ht="14.4">
      <c r="A4418" s="201"/>
      <c r="B4418" s="209"/>
      <c r="C4418" s="201"/>
      <c r="D4418" s="201"/>
      <c r="E4418" s="202"/>
      <c r="F4418" s="210"/>
      <c r="G4418" s="210"/>
      <c r="H4418" s="206" t="s">
        <v>121</v>
      </c>
      <c r="I4418" s="206" t="s">
        <v>121</v>
      </c>
      <c r="J4418" s="206" t="s">
        <v>121</v>
      </c>
      <c r="K4418" s="206" t="s">
        <v>121</v>
      </c>
      <c r="L4418" s="206" t="str">
        <v/>
      </c>
      <c r="M4418" s="206" t="str">
        <v/>
      </c>
    </row>
    <row r="4419" spans="1:13" ht="14.4">
      <c r="A4419" s="201"/>
      <c r="B4419" s="209"/>
      <c r="C4419" s="201"/>
      <c r="D4419" s="201"/>
      <c r="E4419" s="202"/>
      <c r="F4419" s="210"/>
      <c r="G4419" s="210"/>
      <c r="H4419" s="206" t="s">
        <v>121</v>
      </c>
      <c r="I4419" s="206" t="s">
        <v>121</v>
      </c>
      <c r="J4419" s="206" t="s">
        <v>121</v>
      </c>
      <c r="K4419" s="206" t="s">
        <v>121</v>
      </c>
      <c r="L4419" s="206" t="str">
        <v/>
      </c>
      <c r="M4419" s="206" t="str">
        <v/>
      </c>
    </row>
    <row r="4420" spans="1:13" ht="14.4">
      <c r="A4420" s="201"/>
      <c r="B4420" s="209"/>
      <c r="C4420" s="201"/>
      <c r="D4420" s="201"/>
      <c r="E4420" s="202"/>
      <c r="F4420" s="210"/>
      <c r="G4420" s="210"/>
      <c r="H4420" s="206" t="s">
        <v>121</v>
      </c>
      <c r="I4420" s="206" t="s">
        <v>121</v>
      </c>
      <c r="J4420" s="206" t="s">
        <v>121</v>
      </c>
      <c r="K4420" s="206" t="s">
        <v>121</v>
      </c>
      <c r="L4420" s="206" t="str">
        <v/>
      </c>
      <c r="M4420" s="206" t="str">
        <v/>
      </c>
    </row>
    <row r="4421" spans="1:13" ht="14.4">
      <c r="A4421" s="201"/>
      <c r="B4421" s="209"/>
      <c r="C4421" s="201"/>
      <c r="D4421" s="201"/>
      <c r="E4421" s="202"/>
      <c r="F4421" s="210"/>
      <c r="G4421" s="210"/>
      <c r="H4421" s="206" t="s">
        <v>121</v>
      </c>
      <c r="I4421" s="206" t="s">
        <v>121</v>
      </c>
      <c r="J4421" s="206" t="s">
        <v>121</v>
      </c>
      <c r="K4421" s="206" t="s">
        <v>121</v>
      </c>
      <c r="L4421" s="206" t="str">
        <v/>
      </c>
      <c r="M4421" s="206" t="str">
        <v/>
      </c>
    </row>
    <row r="4422" spans="1:13" ht="14.4">
      <c r="A4422" s="201"/>
      <c r="B4422" s="209"/>
      <c r="C4422" s="201"/>
      <c r="D4422" s="201"/>
      <c r="E4422" s="202"/>
      <c r="F4422" s="210"/>
      <c r="G4422" s="210"/>
      <c r="H4422" s="206" t="s">
        <v>121</v>
      </c>
      <c r="I4422" s="206" t="s">
        <v>121</v>
      </c>
      <c r="J4422" s="206" t="s">
        <v>121</v>
      </c>
      <c r="K4422" s="206" t="s">
        <v>121</v>
      </c>
      <c r="L4422" s="206" t="str">
        <v/>
      </c>
      <c r="M4422" s="206" t="str">
        <v/>
      </c>
    </row>
    <row r="4423" spans="1:13" ht="14.4">
      <c r="A4423" s="201"/>
      <c r="B4423" s="209"/>
      <c r="C4423" s="201"/>
      <c r="D4423" s="201"/>
      <c r="E4423" s="202"/>
      <c r="F4423" s="210"/>
      <c r="G4423" s="210"/>
      <c r="H4423" s="206" t="s">
        <v>121</v>
      </c>
      <c r="I4423" s="206" t="s">
        <v>121</v>
      </c>
      <c r="J4423" s="206" t="s">
        <v>121</v>
      </c>
      <c r="K4423" s="206" t="s">
        <v>121</v>
      </c>
      <c r="L4423" s="206" t="str">
        <v/>
      </c>
      <c r="M4423" s="206" t="str">
        <v/>
      </c>
    </row>
    <row r="4424" spans="1:13" ht="14.4">
      <c r="A4424" s="201"/>
      <c r="B4424" s="209"/>
      <c r="C4424" s="201"/>
      <c r="D4424" s="201"/>
      <c r="E4424" s="202"/>
      <c r="F4424" s="210"/>
      <c r="G4424" s="210"/>
      <c r="H4424" s="206" t="s">
        <v>121</v>
      </c>
      <c r="I4424" s="206" t="s">
        <v>121</v>
      </c>
      <c r="J4424" s="206" t="s">
        <v>121</v>
      </c>
      <c r="K4424" s="206" t="s">
        <v>121</v>
      </c>
      <c r="L4424" s="206" t="str">
        <v/>
      </c>
      <c r="M4424" s="206" t="str">
        <v/>
      </c>
    </row>
    <row r="4425" spans="1:13" ht="14.4">
      <c r="A4425" s="201"/>
      <c r="B4425" s="209"/>
      <c r="C4425" s="201"/>
      <c r="D4425" s="201"/>
      <c r="E4425" s="202"/>
      <c r="F4425" s="210"/>
      <c r="G4425" s="210"/>
      <c r="H4425" s="206" t="s">
        <v>121</v>
      </c>
      <c r="I4425" s="206" t="s">
        <v>121</v>
      </c>
      <c r="J4425" s="206" t="s">
        <v>121</v>
      </c>
      <c r="K4425" s="206" t="s">
        <v>121</v>
      </c>
      <c r="L4425" s="206" t="str">
        <v/>
      </c>
      <c r="M4425" s="206" t="str">
        <v/>
      </c>
    </row>
    <row r="4426" spans="1:13" ht="14.4">
      <c r="A4426" s="201"/>
      <c r="B4426" s="209"/>
      <c r="C4426" s="201"/>
      <c r="D4426" s="201"/>
      <c r="E4426" s="202"/>
      <c r="F4426" s="210"/>
      <c r="G4426" s="210"/>
      <c r="H4426" s="206" t="s">
        <v>121</v>
      </c>
      <c r="I4426" s="206" t="s">
        <v>121</v>
      </c>
      <c r="J4426" s="206" t="s">
        <v>121</v>
      </c>
      <c r="K4426" s="206" t="s">
        <v>121</v>
      </c>
      <c r="L4426" s="206" t="str">
        <v/>
      </c>
      <c r="M4426" s="206" t="str">
        <v/>
      </c>
    </row>
    <row r="4427" spans="1:13" ht="14.4">
      <c r="A4427" s="201"/>
      <c r="B4427" s="209"/>
      <c r="C4427" s="201"/>
      <c r="D4427" s="201"/>
      <c r="E4427" s="202"/>
      <c r="F4427" s="210"/>
      <c r="G4427" s="210"/>
      <c r="H4427" s="206" t="s">
        <v>121</v>
      </c>
      <c r="I4427" s="206" t="s">
        <v>121</v>
      </c>
      <c r="J4427" s="206" t="s">
        <v>121</v>
      </c>
      <c r="K4427" s="206" t="s">
        <v>121</v>
      </c>
      <c r="L4427" s="206" t="str">
        <v/>
      </c>
      <c r="M4427" s="206" t="str">
        <v/>
      </c>
    </row>
    <row r="4428" spans="1:13" ht="14.4">
      <c r="A4428" s="201"/>
      <c r="B4428" s="209"/>
      <c r="C4428" s="201"/>
      <c r="D4428" s="201"/>
      <c r="E4428" s="202"/>
      <c r="F4428" s="210"/>
      <c r="G4428" s="210"/>
      <c r="H4428" s="206" t="s">
        <v>121</v>
      </c>
      <c r="I4428" s="206" t="s">
        <v>121</v>
      </c>
      <c r="J4428" s="206" t="s">
        <v>121</v>
      </c>
      <c r="K4428" s="206" t="s">
        <v>121</v>
      </c>
      <c r="L4428" s="206" t="str">
        <v/>
      </c>
      <c r="M4428" s="206" t="str">
        <v/>
      </c>
    </row>
    <row r="4429" spans="1:13" ht="14.4">
      <c r="A4429" s="201"/>
      <c r="B4429" s="209"/>
      <c r="C4429" s="201"/>
      <c r="D4429" s="201"/>
      <c r="E4429" s="202"/>
      <c r="F4429" s="210"/>
      <c r="G4429" s="210"/>
      <c r="H4429" s="206" t="s">
        <v>121</v>
      </c>
      <c r="I4429" s="206" t="s">
        <v>121</v>
      </c>
      <c r="J4429" s="206" t="s">
        <v>121</v>
      </c>
      <c r="K4429" s="206" t="s">
        <v>121</v>
      </c>
      <c r="L4429" s="206" t="str">
        <v/>
      </c>
      <c r="M4429" s="206" t="str">
        <v/>
      </c>
    </row>
    <row r="4430" spans="1:13" ht="14.4">
      <c r="A4430" s="201"/>
      <c r="B4430" s="209"/>
      <c r="C4430" s="201"/>
      <c r="D4430" s="201"/>
      <c r="E4430" s="202"/>
      <c r="F4430" s="210"/>
      <c r="G4430" s="210"/>
      <c r="H4430" s="206" t="s">
        <v>121</v>
      </c>
      <c r="I4430" s="206" t="s">
        <v>121</v>
      </c>
      <c r="J4430" s="206" t="s">
        <v>121</v>
      </c>
      <c r="K4430" s="206" t="s">
        <v>121</v>
      </c>
      <c r="L4430" s="206" t="str">
        <v/>
      </c>
      <c r="M4430" s="206" t="str">
        <v/>
      </c>
    </row>
    <row r="4431" spans="1:13" ht="14.4">
      <c r="A4431" s="201"/>
      <c r="B4431" s="209"/>
      <c r="C4431" s="201"/>
      <c r="D4431" s="201"/>
      <c r="E4431" s="202"/>
      <c r="F4431" s="210"/>
      <c r="G4431" s="210"/>
      <c r="H4431" s="206" t="s">
        <v>121</v>
      </c>
      <c r="I4431" s="206" t="s">
        <v>121</v>
      </c>
      <c r="J4431" s="206" t="s">
        <v>121</v>
      </c>
      <c r="K4431" s="206" t="s">
        <v>121</v>
      </c>
      <c r="L4431" s="206" t="str">
        <v/>
      </c>
      <c r="M4431" s="206" t="str">
        <v/>
      </c>
    </row>
    <row r="4432" spans="1:13" ht="14.4">
      <c r="A4432" s="201"/>
      <c r="B4432" s="209"/>
      <c r="C4432" s="201"/>
      <c r="D4432" s="201"/>
      <c r="E4432" s="202"/>
      <c r="F4432" s="210"/>
      <c r="G4432" s="210"/>
      <c r="H4432" s="206" t="s">
        <v>121</v>
      </c>
      <c r="I4432" s="206" t="s">
        <v>121</v>
      </c>
      <c r="J4432" s="206" t="s">
        <v>121</v>
      </c>
      <c r="K4432" s="206" t="s">
        <v>121</v>
      </c>
      <c r="L4432" s="206" t="str">
        <v/>
      </c>
      <c r="M4432" s="206" t="str">
        <v/>
      </c>
    </row>
    <row r="4433" spans="1:13" ht="14.4">
      <c r="A4433" s="201"/>
      <c r="B4433" s="209"/>
      <c r="C4433" s="201"/>
      <c r="D4433" s="201"/>
      <c r="E4433" s="202"/>
      <c r="F4433" s="210"/>
      <c r="G4433" s="210"/>
      <c r="H4433" s="206" t="s">
        <v>121</v>
      </c>
      <c r="I4433" s="206" t="s">
        <v>121</v>
      </c>
      <c r="J4433" s="206" t="s">
        <v>121</v>
      </c>
      <c r="K4433" s="206" t="s">
        <v>121</v>
      </c>
      <c r="L4433" s="206" t="str">
        <v/>
      </c>
      <c r="M4433" s="206" t="str">
        <v/>
      </c>
    </row>
    <row r="4434" spans="1:13" ht="14.4">
      <c r="A4434" s="201"/>
      <c r="B4434" s="209"/>
      <c r="C4434" s="201"/>
      <c r="D4434" s="201"/>
      <c r="E4434" s="202"/>
      <c r="F4434" s="210"/>
      <c r="G4434" s="210"/>
      <c r="H4434" s="206" t="s">
        <v>121</v>
      </c>
      <c r="I4434" s="206" t="s">
        <v>121</v>
      </c>
      <c r="J4434" s="206" t="s">
        <v>121</v>
      </c>
      <c r="K4434" s="206" t="s">
        <v>121</v>
      </c>
      <c r="L4434" s="206" t="str">
        <v/>
      </c>
      <c r="M4434" s="206" t="str">
        <v/>
      </c>
    </row>
    <row r="4435" spans="1:13" ht="14.4">
      <c r="A4435" s="201"/>
      <c r="B4435" s="209"/>
      <c r="C4435" s="201"/>
      <c r="D4435" s="201"/>
      <c r="E4435" s="202"/>
      <c r="F4435" s="210"/>
      <c r="G4435" s="210"/>
      <c r="H4435" s="206" t="s">
        <v>121</v>
      </c>
      <c r="I4435" s="206" t="s">
        <v>121</v>
      </c>
      <c r="J4435" s="206" t="s">
        <v>121</v>
      </c>
      <c r="K4435" s="206" t="s">
        <v>121</v>
      </c>
      <c r="L4435" s="206" t="str">
        <v/>
      </c>
      <c r="M4435" s="206" t="str">
        <v/>
      </c>
    </row>
    <row r="4436" spans="1:13" ht="14.4">
      <c r="A4436" s="201"/>
      <c r="B4436" s="209"/>
      <c r="C4436" s="201"/>
      <c r="D4436" s="201"/>
      <c r="E4436" s="202"/>
      <c r="F4436" s="210"/>
      <c r="G4436" s="210"/>
      <c r="H4436" s="206" t="s">
        <v>121</v>
      </c>
      <c r="I4436" s="206" t="s">
        <v>121</v>
      </c>
      <c r="J4436" s="206" t="s">
        <v>121</v>
      </c>
      <c r="K4436" s="206" t="s">
        <v>121</v>
      </c>
      <c r="L4436" s="206" t="str">
        <v/>
      </c>
      <c r="M4436" s="206" t="str">
        <v/>
      </c>
    </row>
    <row r="4437" spans="1:13" ht="14.4">
      <c r="A4437" s="201"/>
      <c r="B4437" s="209"/>
      <c r="C4437" s="201"/>
      <c r="D4437" s="201"/>
      <c r="E4437" s="202"/>
      <c r="F4437" s="210"/>
      <c r="G4437" s="210"/>
      <c r="H4437" s="206" t="s">
        <v>121</v>
      </c>
      <c r="I4437" s="206" t="s">
        <v>121</v>
      </c>
      <c r="J4437" s="206" t="s">
        <v>121</v>
      </c>
      <c r="K4437" s="206" t="s">
        <v>121</v>
      </c>
      <c r="L4437" s="206" t="str">
        <v/>
      </c>
      <c r="M4437" s="206" t="str">
        <v/>
      </c>
    </row>
    <row r="4438" spans="1:13" ht="14.4">
      <c r="A4438" s="201"/>
      <c r="B4438" s="209"/>
      <c r="C4438" s="201"/>
      <c r="D4438" s="201"/>
      <c r="E4438" s="202"/>
      <c r="F4438" s="210"/>
      <c r="G4438" s="210"/>
      <c r="H4438" s="206" t="s">
        <v>121</v>
      </c>
      <c r="I4438" s="206" t="s">
        <v>121</v>
      </c>
      <c r="J4438" s="206" t="s">
        <v>121</v>
      </c>
      <c r="K4438" s="206" t="s">
        <v>121</v>
      </c>
      <c r="L4438" s="206" t="str">
        <v/>
      </c>
      <c r="M4438" s="206" t="str">
        <v/>
      </c>
    </row>
    <row r="4439" spans="1:13" ht="14.4">
      <c r="A4439" s="201"/>
      <c r="B4439" s="209"/>
      <c r="C4439" s="201"/>
      <c r="D4439" s="201"/>
      <c r="E4439" s="202"/>
      <c r="F4439" s="210"/>
      <c r="G4439" s="210"/>
      <c r="H4439" s="206" t="s">
        <v>121</v>
      </c>
      <c r="I4439" s="206" t="s">
        <v>121</v>
      </c>
      <c r="J4439" s="206" t="s">
        <v>121</v>
      </c>
      <c r="K4439" s="206" t="s">
        <v>121</v>
      </c>
      <c r="L4439" s="206" t="str">
        <v/>
      </c>
      <c r="M4439" s="206" t="str">
        <v/>
      </c>
    </row>
    <row r="4440" spans="1:13" ht="14.4">
      <c r="A4440" s="201"/>
      <c r="B4440" s="209"/>
      <c r="C4440" s="201"/>
      <c r="D4440" s="201"/>
      <c r="E4440" s="202"/>
      <c r="F4440" s="210"/>
      <c r="G4440" s="210"/>
      <c r="H4440" s="206" t="s">
        <v>121</v>
      </c>
      <c r="I4440" s="206" t="s">
        <v>121</v>
      </c>
      <c r="J4440" s="206" t="s">
        <v>121</v>
      </c>
      <c r="K4440" s="206" t="s">
        <v>121</v>
      </c>
      <c r="L4440" s="206" t="str">
        <v/>
      </c>
      <c r="M4440" s="206" t="str">
        <v/>
      </c>
    </row>
    <row r="4441" spans="1:13" ht="14.4">
      <c r="A4441" s="201"/>
      <c r="B4441" s="209"/>
      <c r="C4441" s="201"/>
      <c r="D4441" s="201"/>
      <c r="E4441" s="202"/>
      <c r="F4441" s="210"/>
      <c r="G4441" s="210"/>
      <c r="H4441" s="206" t="s">
        <v>121</v>
      </c>
      <c r="I4441" s="206" t="s">
        <v>121</v>
      </c>
      <c r="J4441" s="206" t="s">
        <v>121</v>
      </c>
      <c r="K4441" s="206" t="s">
        <v>121</v>
      </c>
      <c r="L4441" s="206" t="str">
        <v/>
      </c>
      <c r="M4441" s="206" t="str">
        <v/>
      </c>
    </row>
    <row r="4442" spans="1:13" ht="14.4">
      <c r="A4442" s="201"/>
      <c r="B4442" s="209"/>
      <c r="C4442" s="201"/>
      <c r="D4442" s="201"/>
      <c r="E4442" s="202"/>
      <c r="F4442" s="210"/>
      <c r="G4442" s="210"/>
      <c r="H4442" s="206" t="s">
        <v>121</v>
      </c>
      <c r="I4442" s="206" t="s">
        <v>121</v>
      </c>
      <c r="J4442" s="206" t="s">
        <v>121</v>
      </c>
      <c r="K4442" s="206" t="s">
        <v>121</v>
      </c>
      <c r="L4442" s="206" t="str">
        <v/>
      </c>
      <c r="M4442" s="206" t="str">
        <v/>
      </c>
    </row>
    <row r="4443" spans="1:13" ht="14.4">
      <c r="A4443" s="201"/>
      <c r="B4443" s="209"/>
      <c r="C4443" s="201"/>
      <c r="D4443" s="201"/>
      <c r="E4443" s="202"/>
      <c r="F4443" s="210"/>
      <c r="G4443" s="210"/>
      <c r="H4443" s="206" t="s">
        <v>121</v>
      </c>
      <c r="I4443" s="206" t="s">
        <v>121</v>
      </c>
      <c r="J4443" s="206" t="s">
        <v>121</v>
      </c>
      <c r="K4443" s="206" t="s">
        <v>121</v>
      </c>
      <c r="L4443" s="206" t="str">
        <v/>
      </c>
      <c r="M4443" s="206" t="str">
        <v/>
      </c>
    </row>
    <row r="4444" spans="1:13" ht="14.4">
      <c r="A4444" s="201"/>
      <c r="B4444" s="209"/>
      <c r="C4444" s="201"/>
      <c r="D4444" s="201"/>
      <c r="E4444" s="202"/>
      <c r="F4444" s="210"/>
      <c r="G4444" s="210"/>
      <c r="H4444" s="206" t="s">
        <v>121</v>
      </c>
      <c r="I4444" s="206" t="s">
        <v>121</v>
      </c>
      <c r="J4444" s="206" t="s">
        <v>121</v>
      </c>
      <c r="K4444" s="206" t="s">
        <v>121</v>
      </c>
      <c r="L4444" s="206" t="str">
        <v/>
      </c>
      <c r="M4444" s="206" t="str">
        <v/>
      </c>
    </row>
    <row r="4445" spans="1:13" ht="14.4">
      <c r="A4445" s="201"/>
      <c r="B4445" s="209"/>
      <c r="C4445" s="201"/>
      <c r="D4445" s="201"/>
      <c r="E4445" s="202"/>
      <c r="F4445" s="210"/>
      <c r="G4445" s="210"/>
      <c r="H4445" s="206" t="s">
        <v>121</v>
      </c>
      <c r="I4445" s="206" t="s">
        <v>121</v>
      </c>
      <c r="J4445" s="206" t="s">
        <v>121</v>
      </c>
      <c r="K4445" s="206" t="s">
        <v>121</v>
      </c>
      <c r="L4445" s="206" t="str">
        <v/>
      </c>
      <c r="M4445" s="206" t="str">
        <v/>
      </c>
    </row>
    <row r="4446" spans="1:13" ht="14.4">
      <c r="A4446" s="201"/>
      <c r="B4446" s="209"/>
      <c r="C4446" s="201"/>
      <c r="D4446" s="201"/>
      <c r="E4446" s="202"/>
      <c r="F4446" s="210"/>
      <c r="G4446" s="210"/>
      <c r="H4446" s="206" t="s">
        <v>121</v>
      </c>
      <c r="I4446" s="206" t="s">
        <v>121</v>
      </c>
      <c r="J4446" s="206" t="s">
        <v>121</v>
      </c>
      <c r="K4446" s="206" t="s">
        <v>121</v>
      </c>
      <c r="L4446" s="206" t="str">
        <v/>
      </c>
      <c r="M4446" s="206" t="str">
        <v/>
      </c>
    </row>
    <row r="4447" spans="1:13" ht="14.4">
      <c r="A4447" s="201"/>
      <c r="B4447" s="209"/>
      <c r="C4447" s="201"/>
      <c r="D4447" s="201"/>
      <c r="E4447" s="202"/>
      <c r="F4447" s="210"/>
      <c r="G4447" s="210"/>
      <c r="H4447" s="206" t="s">
        <v>121</v>
      </c>
      <c r="I4447" s="206" t="s">
        <v>121</v>
      </c>
      <c r="J4447" s="206" t="s">
        <v>121</v>
      </c>
      <c r="K4447" s="206" t="s">
        <v>121</v>
      </c>
      <c r="L4447" s="206" t="str">
        <v/>
      </c>
      <c r="M4447" s="206" t="str">
        <v/>
      </c>
    </row>
    <row r="4448" spans="1:13" ht="14.4">
      <c r="A4448" s="201"/>
      <c r="B4448" s="209"/>
      <c r="C4448" s="201"/>
      <c r="D4448" s="201"/>
      <c r="E4448" s="202"/>
      <c r="F4448" s="210"/>
      <c r="G4448" s="210"/>
      <c r="H4448" s="206" t="s">
        <v>121</v>
      </c>
      <c r="I4448" s="206" t="s">
        <v>121</v>
      </c>
      <c r="J4448" s="206" t="s">
        <v>121</v>
      </c>
      <c r="K4448" s="206" t="s">
        <v>121</v>
      </c>
      <c r="L4448" s="206" t="str">
        <v/>
      </c>
      <c r="M4448" s="206" t="str">
        <v/>
      </c>
    </row>
    <row r="4449" spans="1:13" ht="14.4">
      <c r="A4449" s="201"/>
      <c r="B4449" s="209"/>
      <c r="C4449" s="201"/>
      <c r="D4449" s="201"/>
      <c r="E4449" s="202"/>
      <c r="F4449" s="210"/>
      <c r="G4449" s="210"/>
      <c r="H4449" s="206" t="s">
        <v>121</v>
      </c>
      <c r="I4449" s="206" t="s">
        <v>121</v>
      </c>
      <c r="J4449" s="206" t="s">
        <v>121</v>
      </c>
      <c r="K4449" s="206" t="s">
        <v>121</v>
      </c>
      <c r="L4449" s="206" t="str">
        <v/>
      </c>
      <c r="M4449" s="206" t="str">
        <v/>
      </c>
    </row>
    <row r="4450" spans="1:13" ht="14.4">
      <c r="A4450" s="201"/>
      <c r="B4450" s="209"/>
      <c r="C4450" s="201"/>
      <c r="D4450" s="201"/>
      <c r="E4450" s="202"/>
      <c r="F4450" s="210"/>
      <c r="G4450" s="210"/>
      <c r="H4450" s="206" t="s">
        <v>121</v>
      </c>
      <c r="I4450" s="206" t="s">
        <v>121</v>
      </c>
      <c r="J4450" s="206" t="s">
        <v>121</v>
      </c>
      <c r="K4450" s="206" t="s">
        <v>121</v>
      </c>
      <c r="L4450" s="206" t="str">
        <v/>
      </c>
      <c r="M4450" s="206" t="str">
        <v/>
      </c>
    </row>
    <row r="4451" spans="1:13" ht="14.4">
      <c r="A4451" s="201"/>
      <c r="B4451" s="209"/>
      <c r="C4451" s="201"/>
      <c r="D4451" s="201"/>
      <c r="E4451" s="202"/>
      <c r="F4451" s="210"/>
      <c r="G4451" s="210"/>
      <c r="H4451" s="206" t="s">
        <v>121</v>
      </c>
      <c r="I4451" s="206" t="s">
        <v>121</v>
      </c>
      <c r="J4451" s="206" t="s">
        <v>121</v>
      </c>
      <c r="K4451" s="206" t="s">
        <v>121</v>
      </c>
      <c r="L4451" s="206" t="str">
        <v/>
      </c>
      <c r="M4451" s="206" t="str">
        <v/>
      </c>
    </row>
    <row r="4452" spans="1:13" ht="14.4">
      <c r="A4452" s="201"/>
      <c r="B4452" s="209"/>
      <c r="C4452" s="201"/>
      <c r="D4452" s="201"/>
      <c r="E4452" s="202"/>
      <c r="F4452" s="210"/>
      <c r="G4452" s="210"/>
      <c r="H4452" s="206" t="s">
        <v>121</v>
      </c>
      <c r="I4452" s="206" t="s">
        <v>121</v>
      </c>
      <c r="J4452" s="206" t="s">
        <v>121</v>
      </c>
      <c r="K4452" s="206" t="s">
        <v>121</v>
      </c>
      <c r="L4452" s="206" t="str">
        <v/>
      </c>
      <c r="M4452" s="206" t="str">
        <v/>
      </c>
    </row>
    <row r="4453" spans="1:13" ht="14.4">
      <c r="A4453" s="201"/>
      <c r="B4453" s="209"/>
      <c r="C4453" s="201"/>
      <c r="D4453" s="201"/>
      <c r="E4453" s="202"/>
      <c r="F4453" s="210"/>
      <c r="G4453" s="210"/>
      <c r="H4453" s="206" t="s">
        <v>121</v>
      </c>
      <c r="I4453" s="206" t="s">
        <v>121</v>
      </c>
      <c r="J4453" s="206" t="s">
        <v>121</v>
      </c>
      <c r="K4453" s="206" t="s">
        <v>121</v>
      </c>
      <c r="L4453" s="206" t="str">
        <v/>
      </c>
      <c r="M4453" s="206" t="str">
        <v/>
      </c>
    </row>
    <row r="4454" spans="1:13" ht="14.4">
      <c r="A4454" s="201"/>
      <c r="B4454" s="209"/>
      <c r="C4454" s="201"/>
      <c r="D4454" s="201"/>
      <c r="E4454" s="202"/>
      <c r="F4454" s="210"/>
      <c r="G4454" s="210"/>
      <c r="H4454" s="206" t="s">
        <v>121</v>
      </c>
      <c r="I4454" s="206" t="s">
        <v>121</v>
      </c>
      <c r="J4454" s="206" t="s">
        <v>121</v>
      </c>
      <c r="K4454" s="206" t="s">
        <v>121</v>
      </c>
      <c r="L4454" s="206" t="str">
        <v/>
      </c>
      <c r="M4454" s="206" t="str">
        <v/>
      </c>
    </row>
    <row r="4455" spans="1:13" ht="14.4">
      <c r="A4455" s="201"/>
      <c r="B4455" s="209"/>
      <c r="C4455" s="201"/>
      <c r="D4455" s="201"/>
      <c r="E4455" s="202"/>
      <c r="F4455" s="210"/>
      <c r="G4455" s="210"/>
      <c r="H4455" s="206" t="s">
        <v>121</v>
      </c>
      <c r="I4455" s="206" t="s">
        <v>121</v>
      </c>
      <c r="J4455" s="206" t="s">
        <v>121</v>
      </c>
      <c r="K4455" s="206" t="s">
        <v>121</v>
      </c>
      <c r="L4455" s="206" t="str">
        <v/>
      </c>
      <c r="M4455" s="206" t="str">
        <v/>
      </c>
    </row>
    <row r="4456" spans="1:13" ht="14.4">
      <c r="A4456" s="201"/>
      <c r="B4456" s="209"/>
      <c r="C4456" s="201"/>
      <c r="D4456" s="201"/>
      <c r="E4456" s="202"/>
      <c r="F4456" s="210"/>
      <c r="G4456" s="210"/>
      <c r="H4456" s="206" t="s">
        <v>121</v>
      </c>
      <c r="I4456" s="206" t="s">
        <v>121</v>
      </c>
      <c r="J4456" s="206" t="s">
        <v>121</v>
      </c>
      <c r="K4456" s="206" t="s">
        <v>121</v>
      </c>
      <c r="L4456" s="206" t="str">
        <v/>
      </c>
      <c r="M4456" s="206" t="str">
        <v/>
      </c>
    </row>
    <row r="4457" spans="1:13" ht="14.4">
      <c r="A4457" s="201"/>
      <c r="B4457" s="209"/>
      <c r="C4457" s="201"/>
      <c r="D4457" s="201"/>
      <c r="E4457" s="202"/>
      <c r="F4457" s="210"/>
      <c r="G4457" s="210"/>
      <c r="H4457" s="206" t="s">
        <v>121</v>
      </c>
      <c r="I4457" s="206" t="s">
        <v>121</v>
      </c>
      <c r="J4457" s="206" t="s">
        <v>121</v>
      </c>
      <c r="K4457" s="206" t="s">
        <v>121</v>
      </c>
      <c r="L4457" s="206" t="str">
        <v/>
      </c>
      <c r="M4457" s="206" t="str">
        <v/>
      </c>
    </row>
    <row r="4458" spans="1:13" ht="14.4">
      <c r="A4458" s="201"/>
      <c r="B4458" s="209"/>
      <c r="C4458" s="201"/>
      <c r="D4458" s="201"/>
      <c r="E4458" s="202"/>
      <c r="F4458" s="210"/>
      <c r="G4458" s="210"/>
      <c r="H4458" s="206" t="s">
        <v>121</v>
      </c>
      <c r="I4458" s="206" t="s">
        <v>121</v>
      </c>
      <c r="J4458" s="206" t="s">
        <v>121</v>
      </c>
      <c r="K4458" s="206" t="s">
        <v>121</v>
      </c>
      <c r="L4458" s="206" t="str">
        <v/>
      </c>
      <c r="M4458" s="206" t="str">
        <v/>
      </c>
    </row>
    <row r="4459" spans="1:13" ht="14.4">
      <c r="A4459" s="201"/>
      <c r="B4459" s="209"/>
      <c r="C4459" s="201"/>
      <c r="D4459" s="201"/>
      <c r="E4459" s="202"/>
      <c r="F4459" s="210"/>
      <c r="G4459" s="210"/>
      <c r="H4459" s="206" t="s">
        <v>121</v>
      </c>
      <c r="I4459" s="206" t="s">
        <v>121</v>
      </c>
      <c r="J4459" s="206" t="s">
        <v>121</v>
      </c>
      <c r="K4459" s="206" t="s">
        <v>121</v>
      </c>
      <c r="L4459" s="206" t="str">
        <v/>
      </c>
      <c r="M4459" s="206" t="str">
        <v/>
      </c>
    </row>
    <row r="4460" spans="1:13" ht="14.4">
      <c r="A4460" s="201"/>
      <c r="B4460" s="209"/>
      <c r="C4460" s="201"/>
      <c r="D4460" s="201"/>
      <c r="E4460" s="202"/>
      <c r="F4460" s="210"/>
      <c r="G4460" s="210"/>
      <c r="H4460" s="206" t="s">
        <v>121</v>
      </c>
      <c r="I4460" s="206" t="s">
        <v>121</v>
      </c>
      <c r="J4460" s="206" t="s">
        <v>121</v>
      </c>
      <c r="K4460" s="206" t="s">
        <v>121</v>
      </c>
      <c r="L4460" s="206" t="str">
        <v/>
      </c>
      <c r="M4460" s="206" t="str">
        <v/>
      </c>
    </row>
    <row r="4461" spans="1:13" ht="14.4">
      <c r="A4461" s="201"/>
      <c r="B4461" s="209"/>
      <c r="C4461" s="201"/>
      <c r="D4461" s="201"/>
      <c r="E4461" s="202"/>
      <c r="F4461" s="210"/>
      <c r="G4461" s="210"/>
      <c r="H4461" s="206" t="s">
        <v>121</v>
      </c>
      <c r="I4461" s="206" t="s">
        <v>121</v>
      </c>
      <c r="J4461" s="206" t="s">
        <v>121</v>
      </c>
      <c r="K4461" s="206" t="s">
        <v>121</v>
      </c>
      <c r="L4461" s="206" t="str">
        <v/>
      </c>
      <c r="M4461" s="206" t="str">
        <v/>
      </c>
    </row>
    <row r="4462" spans="1:13" ht="14.4">
      <c r="A4462" s="201"/>
      <c r="B4462" s="209"/>
      <c r="C4462" s="201"/>
      <c r="D4462" s="201"/>
      <c r="E4462" s="202"/>
      <c r="F4462" s="210"/>
      <c r="G4462" s="210"/>
      <c r="H4462" s="206" t="s">
        <v>121</v>
      </c>
      <c r="I4462" s="206" t="s">
        <v>121</v>
      </c>
      <c r="J4462" s="206" t="s">
        <v>121</v>
      </c>
      <c r="K4462" s="206" t="s">
        <v>121</v>
      </c>
      <c r="L4462" s="206" t="str">
        <v/>
      </c>
      <c r="M4462" s="206" t="str">
        <v/>
      </c>
    </row>
    <row r="4463" spans="1:13" ht="14.4">
      <c r="A4463" s="201"/>
      <c r="B4463" s="209"/>
      <c r="C4463" s="201"/>
      <c r="D4463" s="201"/>
      <c r="E4463" s="202"/>
      <c r="F4463" s="210"/>
      <c r="G4463" s="210"/>
      <c r="H4463" s="206" t="s">
        <v>121</v>
      </c>
      <c r="I4463" s="206" t="s">
        <v>121</v>
      </c>
      <c r="J4463" s="206" t="s">
        <v>121</v>
      </c>
      <c r="K4463" s="206" t="s">
        <v>121</v>
      </c>
      <c r="L4463" s="206" t="str">
        <v/>
      </c>
      <c r="M4463" s="206" t="str">
        <v/>
      </c>
    </row>
    <row r="4464" spans="1:13" ht="14.4">
      <c r="A4464" s="201"/>
      <c r="B4464" s="209"/>
      <c r="C4464" s="201"/>
      <c r="D4464" s="201"/>
      <c r="E4464" s="202"/>
      <c r="F4464" s="210"/>
      <c r="G4464" s="210"/>
      <c r="H4464" s="206" t="s">
        <v>121</v>
      </c>
      <c r="I4464" s="206" t="s">
        <v>121</v>
      </c>
      <c r="J4464" s="206" t="s">
        <v>121</v>
      </c>
      <c r="K4464" s="206" t="s">
        <v>121</v>
      </c>
      <c r="L4464" s="206" t="str">
        <v/>
      </c>
      <c r="M4464" s="206" t="str">
        <v/>
      </c>
    </row>
    <row r="4465" spans="1:13" ht="14.4">
      <c r="A4465" s="201"/>
      <c r="B4465" s="209"/>
      <c r="C4465" s="201"/>
      <c r="D4465" s="201"/>
      <c r="E4465" s="202"/>
      <c r="F4465" s="210"/>
      <c r="G4465" s="210"/>
      <c r="H4465" s="206" t="s">
        <v>121</v>
      </c>
      <c r="I4465" s="206" t="s">
        <v>121</v>
      </c>
      <c r="J4465" s="206" t="s">
        <v>121</v>
      </c>
      <c r="K4465" s="206" t="s">
        <v>121</v>
      </c>
      <c r="L4465" s="206" t="str">
        <v/>
      </c>
      <c r="M4465" s="206" t="str">
        <v/>
      </c>
    </row>
    <row r="4466" spans="1:13" ht="14.4">
      <c r="A4466" s="201"/>
      <c r="B4466" s="209"/>
      <c r="C4466" s="201"/>
      <c r="D4466" s="201"/>
      <c r="E4466" s="202"/>
      <c r="F4466" s="210"/>
      <c r="G4466" s="210"/>
      <c r="H4466" s="206" t="s">
        <v>121</v>
      </c>
      <c r="I4466" s="206" t="s">
        <v>121</v>
      </c>
      <c r="J4466" s="206" t="s">
        <v>121</v>
      </c>
      <c r="K4466" s="206" t="s">
        <v>121</v>
      </c>
      <c r="L4466" s="206" t="str">
        <v/>
      </c>
      <c r="M4466" s="206" t="str">
        <v/>
      </c>
    </row>
    <row r="4467" spans="1:13" ht="14.4">
      <c r="A4467" s="201"/>
      <c r="B4467" s="209"/>
      <c r="C4467" s="201"/>
      <c r="D4467" s="201"/>
      <c r="E4467" s="202"/>
      <c r="F4467" s="210"/>
      <c r="G4467" s="210"/>
      <c r="H4467" s="206" t="s">
        <v>121</v>
      </c>
      <c r="I4467" s="206" t="s">
        <v>121</v>
      </c>
      <c r="J4467" s="206" t="s">
        <v>121</v>
      </c>
      <c r="K4467" s="206" t="s">
        <v>121</v>
      </c>
      <c r="L4467" s="206" t="str">
        <v/>
      </c>
      <c r="M4467" s="206" t="str">
        <v/>
      </c>
    </row>
    <row r="4468" spans="1:13" ht="14.4">
      <c r="A4468" s="201"/>
      <c r="B4468" s="209"/>
      <c r="C4468" s="201"/>
      <c r="D4468" s="201"/>
      <c r="E4468" s="202"/>
      <c r="F4468" s="210"/>
      <c r="G4468" s="210"/>
      <c r="H4468" s="206" t="s">
        <v>121</v>
      </c>
      <c r="I4468" s="206" t="s">
        <v>121</v>
      </c>
      <c r="J4468" s="206" t="s">
        <v>121</v>
      </c>
      <c r="K4468" s="206" t="s">
        <v>121</v>
      </c>
      <c r="L4468" s="206" t="str">
        <v/>
      </c>
      <c r="M4468" s="206" t="str">
        <v/>
      </c>
    </row>
    <row r="4469" spans="1:13" ht="14.4">
      <c r="A4469" s="201"/>
      <c r="B4469" s="209"/>
      <c r="C4469" s="201"/>
      <c r="D4469" s="201"/>
      <c r="E4469" s="202"/>
      <c r="F4469" s="210"/>
      <c r="G4469" s="210"/>
      <c r="H4469" s="206" t="s">
        <v>121</v>
      </c>
      <c r="I4469" s="206" t="s">
        <v>121</v>
      </c>
      <c r="J4469" s="206" t="s">
        <v>121</v>
      </c>
      <c r="K4469" s="206" t="s">
        <v>121</v>
      </c>
      <c r="L4469" s="206" t="str">
        <v/>
      </c>
      <c r="M4469" s="206" t="str">
        <v/>
      </c>
    </row>
    <row r="4470" spans="1:13" ht="14.4">
      <c r="A4470" s="201"/>
      <c r="B4470" s="209"/>
      <c r="C4470" s="201"/>
      <c r="D4470" s="201"/>
      <c r="E4470" s="202"/>
      <c r="F4470" s="210"/>
      <c r="G4470" s="210"/>
      <c r="H4470" s="206" t="s">
        <v>121</v>
      </c>
      <c r="I4470" s="206" t="s">
        <v>121</v>
      </c>
      <c r="J4470" s="206" t="s">
        <v>121</v>
      </c>
      <c r="K4470" s="206" t="s">
        <v>121</v>
      </c>
      <c r="L4470" s="206" t="str">
        <v/>
      </c>
      <c r="M4470" s="206" t="str">
        <v/>
      </c>
    </row>
    <row r="4471" spans="1:13" ht="14.4">
      <c r="A4471" s="201"/>
      <c r="B4471" s="209"/>
      <c r="C4471" s="201"/>
      <c r="D4471" s="201"/>
      <c r="E4471" s="202"/>
      <c r="F4471" s="210"/>
      <c r="G4471" s="210"/>
      <c r="H4471" s="206" t="s">
        <v>121</v>
      </c>
      <c r="I4471" s="206" t="s">
        <v>121</v>
      </c>
      <c r="J4471" s="206" t="s">
        <v>121</v>
      </c>
      <c r="K4471" s="206" t="s">
        <v>121</v>
      </c>
      <c r="L4471" s="206" t="str">
        <v/>
      </c>
      <c r="M4471" s="206" t="str">
        <v/>
      </c>
    </row>
    <row r="4472" spans="1:13" ht="14.4">
      <c r="A4472" s="201"/>
      <c r="B4472" s="209"/>
      <c r="C4472" s="201"/>
      <c r="D4472" s="201"/>
      <c r="E4472" s="202"/>
      <c r="F4472" s="210"/>
      <c r="G4472" s="210"/>
      <c r="H4472" s="206" t="s">
        <v>121</v>
      </c>
      <c r="I4472" s="206" t="s">
        <v>121</v>
      </c>
      <c r="J4472" s="206" t="s">
        <v>121</v>
      </c>
      <c r="K4472" s="206" t="s">
        <v>121</v>
      </c>
      <c r="L4472" s="206" t="str">
        <v/>
      </c>
      <c r="M4472" s="206" t="str">
        <v/>
      </c>
    </row>
    <row r="4473" spans="1:13" ht="14.4">
      <c r="A4473" s="201"/>
      <c r="B4473" s="209"/>
      <c r="C4473" s="201"/>
      <c r="D4473" s="201"/>
      <c r="E4473" s="202"/>
      <c r="F4473" s="210"/>
      <c r="G4473" s="210"/>
      <c r="H4473" s="206" t="s">
        <v>121</v>
      </c>
      <c r="I4473" s="206" t="s">
        <v>121</v>
      </c>
      <c r="J4473" s="206" t="s">
        <v>121</v>
      </c>
      <c r="K4473" s="206" t="s">
        <v>121</v>
      </c>
      <c r="L4473" s="206" t="str">
        <v/>
      </c>
      <c r="M4473" s="206" t="str">
        <v/>
      </c>
    </row>
    <row r="4474" spans="1:13" ht="14.4">
      <c r="A4474" s="201"/>
      <c r="B4474" s="209"/>
      <c r="C4474" s="201"/>
      <c r="D4474" s="201"/>
      <c r="E4474" s="202"/>
      <c r="F4474" s="210"/>
      <c r="G4474" s="210"/>
      <c r="H4474" s="206" t="s">
        <v>121</v>
      </c>
      <c r="I4474" s="206" t="s">
        <v>121</v>
      </c>
      <c r="J4474" s="206" t="s">
        <v>121</v>
      </c>
      <c r="K4474" s="206" t="s">
        <v>121</v>
      </c>
      <c r="L4474" s="206" t="str">
        <v/>
      </c>
      <c r="M4474" s="206" t="str">
        <v/>
      </c>
    </row>
    <row r="4475" spans="1:13" ht="14.4">
      <c r="A4475" s="201"/>
      <c r="B4475" s="209"/>
      <c r="C4475" s="201"/>
      <c r="D4475" s="201"/>
      <c r="E4475" s="202"/>
      <c r="F4475" s="210"/>
      <c r="G4475" s="210"/>
      <c r="H4475" s="206" t="s">
        <v>121</v>
      </c>
      <c r="I4475" s="206" t="s">
        <v>121</v>
      </c>
      <c r="J4475" s="206" t="s">
        <v>121</v>
      </c>
      <c r="K4475" s="206" t="s">
        <v>121</v>
      </c>
      <c r="L4475" s="206" t="str">
        <v/>
      </c>
      <c r="M4475" s="206" t="str">
        <v/>
      </c>
    </row>
    <row r="4476" spans="1:13" ht="14.4">
      <c r="A4476" s="201"/>
      <c r="B4476" s="209"/>
      <c r="C4476" s="201"/>
      <c r="D4476" s="201"/>
      <c r="E4476" s="202"/>
      <c r="F4476" s="210"/>
      <c r="G4476" s="210"/>
      <c r="H4476" s="206" t="s">
        <v>121</v>
      </c>
      <c r="I4476" s="206" t="s">
        <v>121</v>
      </c>
      <c r="J4476" s="206" t="s">
        <v>121</v>
      </c>
      <c r="K4476" s="206" t="s">
        <v>121</v>
      </c>
      <c r="L4476" s="206" t="str">
        <v/>
      </c>
      <c r="M4476" s="206" t="str">
        <v/>
      </c>
    </row>
    <row r="4477" spans="1:13" ht="14.4">
      <c r="A4477" s="201"/>
      <c r="B4477" s="209"/>
      <c r="C4477" s="201"/>
      <c r="D4477" s="201"/>
      <c r="E4477" s="202"/>
      <c r="F4477" s="210"/>
      <c r="G4477" s="210"/>
      <c r="H4477" s="206" t="s">
        <v>121</v>
      </c>
      <c r="I4477" s="206" t="s">
        <v>121</v>
      </c>
      <c r="J4477" s="206" t="s">
        <v>121</v>
      </c>
      <c r="K4477" s="206" t="s">
        <v>121</v>
      </c>
      <c r="L4477" s="206" t="str">
        <v/>
      </c>
      <c r="M4477" s="206" t="str">
        <v/>
      </c>
    </row>
    <row r="4478" spans="1:13" ht="14.4">
      <c r="A4478" s="201"/>
      <c r="B4478" s="209"/>
      <c r="C4478" s="201"/>
      <c r="D4478" s="201"/>
      <c r="E4478" s="202"/>
      <c r="F4478" s="210"/>
      <c r="G4478" s="210"/>
      <c r="H4478" s="206" t="s">
        <v>121</v>
      </c>
      <c r="I4478" s="206" t="s">
        <v>121</v>
      </c>
      <c r="J4478" s="206" t="s">
        <v>121</v>
      </c>
      <c r="K4478" s="206" t="s">
        <v>121</v>
      </c>
      <c r="L4478" s="206" t="str">
        <v/>
      </c>
      <c r="M4478" s="206" t="str">
        <v/>
      </c>
    </row>
    <row r="4479" spans="1:13" ht="14.4">
      <c r="A4479" s="201"/>
      <c r="B4479" s="209"/>
      <c r="C4479" s="201"/>
      <c r="D4479" s="201"/>
      <c r="E4479" s="202"/>
      <c r="F4479" s="210"/>
      <c r="G4479" s="210"/>
      <c r="H4479" s="206" t="s">
        <v>121</v>
      </c>
      <c r="I4479" s="206" t="s">
        <v>121</v>
      </c>
      <c r="J4479" s="206" t="s">
        <v>121</v>
      </c>
      <c r="K4479" s="206" t="s">
        <v>121</v>
      </c>
      <c r="L4479" s="206" t="str">
        <v/>
      </c>
      <c r="M4479" s="206" t="str">
        <v/>
      </c>
    </row>
    <row r="4480" spans="1:13" ht="14.4">
      <c r="A4480" s="201"/>
      <c r="B4480" s="209"/>
      <c r="C4480" s="201"/>
      <c r="D4480" s="201"/>
      <c r="E4480" s="202"/>
      <c r="F4480" s="210"/>
      <c r="G4480" s="210"/>
      <c r="H4480" s="206" t="s">
        <v>121</v>
      </c>
      <c r="I4480" s="206" t="s">
        <v>121</v>
      </c>
      <c r="J4480" s="206" t="s">
        <v>121</v>
      </c>
      <c r="K4480" s="206" t="s">
        <v>121</v>
      </c>
      <c r="L4480" s="206" t="str">
        <v/>
      </c>
      <c r="M4480" s="206" t="str">
        <v/>
      </c>
    </row>
    <row r="4481" spans="1:13" ht="14.4">
      <c r="A4481" s="201"/>
      <c r="B4481" s="209"/>
      <c r="C4481" s="201"/>
      <c r="D4481" s="201"/>
      <c r="E4481" s="202"/>
      <c r="F4481" s="210"/>
      <c r="G4481" s="210"/>
      <c r="H4481" s="206" t="s">
        <v>121</v>
      </c>
      <c r="I4481" s="206" t="s">
        <v>121</v>
      </c>
      <c r="J4481" s="206" t="s">
        <v>121</v>
      </c>
      <c r="K4481" s="206" t="s">
        <v>121</v>
      </c>
      <c r="L4481" s="206" t="str">
        <v/>
      </c>
      <c r="M4481" s="206" t="str">
        <v/>
      </c>
    </row>
    <row r="4482" spans="1:13" ht="14.4">
      <c r="A4482" s="201"/>
      <c r="B4482" s="209"/>
      <c r="C4482" s="201"/>
      <c r="D4482" s="201"/>
      <c r="E4482" s="202"/>
      <c r="F4482" s="210"/>
      <c r="G4482" s="210"/>
      <c r="H4482" s="206" t="s">
        <v>121</v>
      </c>
      <c r="I4482" s="206" t="s">
        <v>121</v>
      </c>
      <c r="J4482" s="206" t="s">
        <v>121</v>
      </c>
      <c r="K4482" s="206" t="s">
        <v>121</v>
      </c>
      <c r="L4482" s="206" t="str">
        <v/>
      </c>
      <c r="M4482" s="206" t="str">
        <v/>
      </c>
    </row>
    <row r="4483" spans="1:13" ht="14.4">
      <c r="A4483" s="201"/>
      <c r="B4483" s="209"/>
      <c r="C4483" s="201"/>
      <c r="D4483" s="201"/>
      <c r="E4483" s="202"/>
      <c r="F4483" s="210"/>
      <c r="G4483" s="210"/>
      <c r="H4483" s="206" t="s">
        <v>121</v>
      </c>
      <c r="I4483" s="206" t="s">
        <v>121</v>
      </c>
      <c r="J4483" s="206" t="s">
        <v>121</v>
      </c>
      <c r="K4483" s="206" t="s">
        <v>121</v>
      </c>
      <c r="L4483" s="206" t="str">
        <v/>
      </c>
      <c r="M4483" s="206" t="str">
        <v/>
      </c>
    </row>
    <row r="4484" spans="1:13" ht="14.4">
      <c r="A4484" s="201"/>
      <c r="B4484" s="209"/>
      <c r="C4484" s="201"/>
      <c r="D4484" s="201"/>
      <c r="E4484" s="202"/>
      <c r="F4484" s="210"/>
      <c r="G4484" s="210"/>
      <c r="H4484" s="206" t="s">
        <v>121</v>
      </c>
      <c r="I4484" s="206" t="s">
        <v>121</v>
      </c>
      <c r="J4484" s="206" t="s">
        <v>121</v>
      </c>
      <c r="K4484" s="206" t="s">
        <v>121</v>
      </c>
      <c r="L4484" s="206" t="str">
        <v/>
      </c>
      <c r="M4484" s="206" t="str">
        <v/>
      </c>
    </row>
    <row r="4485" spans="1:13" ht="14.4">
      <c r="A4485" s="201"/>
      <c r="B4485" s="209"/>
      <c r="C4485" s="201"/>
      <c r="D4485" s="201"/>
      <c r="E4485" s="202"/>
      <c r="F4485" s="210"/>
      <c r="G4485" s="210"/>
      <c r="H4485" s="206" t="s">
        <v>121</v>
      </c>
      <c r="I4485" s="206" t="s">
        <v>121</v>
      </c>
      <c r="J4485" s="206" t="s">
        <v>121</v>
      </c>
      <c r="K4485" s="206" t="s">
        <v>121</v>
      </c>
      <c r="L4485" s="206" t="str">
        <v/>
      </c>
      <c r="M4485" s="206" t="str">
        <v/>
      </c>
    </row>
    <row r="4486" spans="1:13" ht="14.4">
      <c r="A4486" s="201"/>
      <c r="B4486" s="209"/>
      <c r="C4486" s="201"/>
      <c r="D4486" s="201"/>
      <c r="E4486" s="202"/>
      <c r="F4486" s="210"/>
      <c r="G4486" s="210"/>
      <c r="H4486" s="206" t="s">
        <v>121</v>
      </c>
      <c r="I4486" s="206" t="s">
        <v>121</v>
      </c>
      <c r="J4486" s="206" t="s">
        <v>121</v>
      </c>
      <c r="K4486" s="206" t="s">
        <v>121</v>
      </c>
      <c r="L4486" s="206" t="str">
        <v/>
      </c>
      <c r="M4486" s="206" t="str">
        <v/>
      </c>
    </row>
    <row r="4487" spans="1:13" ht="14.4">
      <c r="A4487" s="201"/>
      <c r="B4487" s="209"/>
      <c r="C4487" s="201"/>
      <c r="D4487" s="201"/>
      <c r="E4487" s="202"/>
      <c r="F4487" s="210"/>
      <c r="G4487" s="210"/>
      <c r="H4487" s="206" t="s">
        <v>121</v>
      </c>
      <c r="I4487" s="206" t="s">
        <v>121</v>
      </c>
      <c r="J4487" s="206" t="s">
        <v>121</v>
      </c>
      <c r="K4487" s="206" t="s">
        <v>121</v>
      </c>
      <c r="L4487" s="206" t="str">
        <v/>
      </c>
      <c r="M4487" s="206" t="str">
        <v/>
      </c>
    </row>
    <row r="4488" spans="1:13" ht="14.4">
      <c r="A4488" s="201"/>
      <c r="B4488" s="209"/>
      <c r="C4488" s="201"/>
      <c r="D4488" s="201"/>
      <c r="E4488" s="202"/>
      <c r="F4488" s="210"/>
      <c r="G4488" s="210"/>
      <c r="H4488" s="206" t="s">
        <v>121</v>
      </c>
      <c r="I4488" s="206" t="s">
        <v>121</v>
      </c>
      <c r="J4488" s="206" t="s">
        <v>121</v>
      </c>
      <c r="K4488" s="206" t="s">
        <v>121</v>
      </c>
      <c r="L4488" s="206" t="str">
        <v/>
      </c>
      <c r="M4488" s="206" t="str">
        <v/>
      </c>
    </row>
    <row r="4489" spans="1:13" ht="14.4">
      <c r="A4489" s="201"/>
      <c r="B4489" s="209"/>
      <c r="C4489" s="201"/>
      <c r="D4489" s="201"/>
      <c r="E4489" s="202"/>
      <c r="F4489" s="210"/>
      <c r="G4489" s="210"/>
      <c r="H4489" s="206" t="s">
        <v>121</v>
      </c>
      <c r="I4489" s="206" t="s">
        <v>121</v>
      </c>
      <c r="J4489" s="206" t="s">
        <v>121</v>
      </c>
      <c r="K4489" s="206" t="s">
        <v>121</v>
      </c>
      <c r="L4489" s="206" t="str">
        <v/>
      </c>
      <c r="M4489" s="206" t="str">
        <v/>
      </c>
    </row>
    <row r="4490" spans="1:13" ht="14.4">
      <c r="A4490" s="201"/>
      <c r="B4490" s="209"/>
      <c r="C4490" s="201"/>
      <c r="D4490" s="201"/>
      <c r="E4490" s="202"/>
      <c r="F4490" s="210"/>
      <c r="G4490" s="210"/>
      <c r="H4490" s="206" t="s">
        <v>121</v>
      </c>
      <c r="I4490" s="206" t="s">
        <v>121</v>
      </c>
      <c r="J4490" s="206" t="s">
        <v>121</v>
      </c>
      <c r="K4490" s="206" t="s">
        <v>121</v>
      </c>
      <c r="L4490" s="206" t="str">
        <v/>
      </c>
      <c r="M4490" s="206" t="str">
        <v/>
      </c>
    </row>
    <row r="4491" spans="1:13" ht="14.4">
      <c r="A4491" s="201"/>
      <c r="B4491" s="209"/>
      <c r="C4491" s="201"/>
      <c r="D4491" s="201"/>
      <c r="E4491" s="202"/>
      <c r="F4491" s="210"/>
      <c r="G4491" s="210"/>
      <c r="H4491" s="206" t="s">
        <v>121</v>
      </c>
      <c r="I4491" s="206" t="s">
        <v>121</v>
      </c>
      <c r="J4491" s="206" t="s">
        <v>121</v>
      </c>
      <c r="K4491" s="206" t="s">
        <v>121</v>
      </c>
      <c r="L4491" s="206" t="str">
        <v/>
      </c>
      <c r="M4491" s="206" t="str">
        <v/>
      </c>
    </row>
    <row r="4492" spans="1:13" ht="14.4">
      <c r="A4492" s="201"/>
      <c r="B4492" s="209"/>
      <c r="C4492" s="201"/>
      <c r="D4492" s="201"/>
      <c r="E4492" s="202"/>
      <c r="F4492" s="210"/>
      <c r="G4492" s="210"/>
      <c r="H4492" s="206" t="s">
        <v>121</v>
      </c>
      <c r="I4492" s="206" t="s">
        <v>121</v>
      </c>
      <c r="J4492" s="206" t="s">
        <v>121</v>
      </c>
      <c r="K4492" s="206" t="s">
        <v>121</v>
      </c>
      <c r="L4492" s="206" t="str">
        <v/>
      </c>
      <c r="M4492" s="206" t="str">
        <v/>
      </c>
    </row>
    <row r="4493" spans="1:13" ht="14.4">
      <c r="A4493" s="201"/>
      <c r="B4493" s="209"/>
      <c r="C4493" s="201"/>
      <c r="D4493" s="201"/>
      <c r="E4493" s="202"/>
      <c r="F4493" s="210"/>
      <c r="G4493" s="210"/>
      <c r="H4493" s="206" t="s">
        <v>121</v>
      </c>
      <c r="I4493" s="206" t="s">
        <v>121</v>
      </c>
      <c r="J4493" s="206" t="s">
        <v>121</v>
      </c>
      <c r="K4493" s="206" t="s">
        <v>121</v>
      </c>
      <c r="L4493" s="206" t="str">
        <v/>
      </c>
      <c r="M4493" s="206" t="str">
        <v/>
      </c>
    </row>
    <row r="4494" spans="1:13" ht="14.4">
      <c r="A4494" s="201"/>
      <c r="B4494" s="209"/>
      <c r="C4494" s="201"/>
      <c r="D4494" s="201"/>
      <c r="E4494" s="202"/>
      <c r="F4494" s="210"/>
      <c r="G4494" s="210"/>
      <c r="H4494" s="206" t="s">
        <v>121</v>
      </c>
      <c r="I4494" s="206" t="s">
        <v>121</v>
      </c>
      <c r="J4494" s="206" t="s">
        <v>121</v>
      </c>
      <c r="K4494" s="206" t="s">
        <v>121</v>
      </c>
      <c r="L4494" s="206" t="str">
        <v/>
      </c>
      <c r="M4494" s="206" t="str">
        <v/>
      </c>
    </row>
    <row r="4495" spans="1:13" ht="14.4">
      <c r="A4495" s="201"/>
      <c r="B4495" s="209"/>
      <c r="C4495" s="201"/>
      <c r="D4495" s="201"/>
      <c r="E4495" s="202"/>
      <c r="F4495" s="210"/>
      <c r="G4495" s="210"/>
      <c r="H4495" s="206" t="s">
        <v>121</v>
      </c>
      <c r="I4495" s="206" t="s">
        <v>121</v>
      </c>
      <c r="J4495" s="206" t="s">
        <v>121</v>
      </c>
      <c r="K4495" s="206" t="s">
        <v>121</v>
      </c>
      <c r="L4495" s="206" t="str">
        <v/>
      </c>
      <c r="M4495" s="206" t="str">
        <v/>
      </c>
    </row>
    <row r="4496" spans="1:13" ht="14.4">
      <c r="A4496" s="201"/>
      <c r="B4496" s="209"/>
      <c r="C4496" s="201"/>
      <c r="D4496" s="201"/>
      <c r="E4496" s="202"/>
      <c r="F4496" s="210"/>
      <c r="G4496" s="210"/>
      <c r="H4496" s="206" t="s">
        <v>121</v>
      </c>
      <c r="I4496" s="206" t="s">
        <v>121</v>
      </c>
      <c r="J4496" s="206" t="s">
        <v>121</v>
      </c>
      <c r="K4496" s="206" t="s">
        <v>121</v>
      </c>
      <c r="L4496" s="206" t="str">
        <v/>
      </c>
      <c r="M4496" s="206" t="str">
        <v/>
      </c>
    </row>
    <row r="4497" spans="1:13" ht="14.4">
      <c r="A4497" s="201"/>
      <c r="B4497" s="209"/>
      <c r="C4497" s="201"/>
      <c r="D4497" s="201"/>
      <c r="E4497" s="202"/>
      <c r="F4497" s="210"/>
      <c r="G4497" s="210"/>
      <c r="H4497" s="206" t="s">
        <v>121</v>
      </c>
      <c r="I4497" s="206" t="s">
        <v>121</v>
      </c>
      <c r="J4497" s="206" t="s">
        <v>121</v>
      </c>
      <c r="K4497" s="206" t="s">
        <v>121</v>
      </c>
      <c r="L4497" s="206" t="str">
        <v/>
      </c>
      <c r="M4497" s="206" t="str">
        <v/>
      </c>
    </row>
    <row r="4498" spans="1:13" ht="14.4">
      <c r="A4498" s="201"/>
      <c r="B4498" s="209"/>
      <c r="C4498" s="201"/>
      <c r="D4498" s="201"/>
      <c r="E4498" s="202"/>
      <c r="F4498" s="210"/>
      <c r="G4498" s="210"/>
      <c r="H4498" s="206" t="s">
        <v>121</v>
      </c>
      <c r="I4498" s="206" t="s">
        <v>121</v>
      </c>
      <c r="J4498" s="206" t="s">
        <v>121</v>
      </c>
      <c r="K4498" s="206" t="s">
        <v>121</v>
      </c>
      <c r="L4498" s="206" t="str">
        <v/>
      </c>
      <c r="M4498" s="206" t="str">
        <v/>
      </c>
    </row>
    <row r="4499" spans="1:13" ht="14.4">
      <c r="A4499" s="201"/>
      <c r="B4499" s="209"/>
      <c r="C4499" s="201"/>
      <c r="D4499" s="201"/>
      <c r="E4499" s="202"/>
      <c r="F4499" s="210"/>
      <c r="G4499" s="210"/>
      <c r="H4499" s="206" t="s">
        <v>121</v>
      </c>
      <c r="I4499" s="206" t="s">
        <v>121</v>
      </c>
      <c r="J4499" s="206" t="s">
        <v>121</v>
      </c>
      <c r="K4499" s="206" t="s">
        <v>121</v>
      </c>
      <c r="L4499" s="206" t="str">
        <v/>
      </c>
      <c r="M4499" s="206" t="str">
        <v/>
      </c>
    </row>
    <row r="4500" spans="1:13" ht="14.4">
      <c r="A4500" s="201"/>
      <c r="B4500" s="209"/>
      <c r="C4500" s="201"/>
      <c r="D4500" s="201"/>
      <c r="E4500" s="202"/>
      <c r="F4500" s="210"/>
      <c r="G4500" s="210"/>
      <c r="H4500" s="206" t="s">
        <v>121</v>
      </c>
      <c r="I4500" s="206" t="s">
        <v>121</v>
      </c>
      <c r="J4500" s="206" t="s">
        <v>121</v>
      </c>
      <c r="K4500" s="206" t="s">
        <v>121</v>
      </c>
      <c r="L4500" s="206" t="str">
        <v/>
      </c>
      <c r="M4500" s="206" t="str">
        <v/>
      </c>
    </row>
    <row r="4501" spans="1:13" ht="14.4">
      <c r="A4501" s="201"/>
      <c r="B4501" s="209"/>
      <c r="C4501" s="201"/>
      <c r="D4501" s="201"/>
      <c r="E4501" s="202"/>
      <c r="F4501" s="210"/>
      <c r="G4501" s="210"/>
      <c r="H4501" s="206" t="s">
        <v>121</v>
      </c>
      <c r="I4501" s="206" t="s">
        <v>121</v>
      </c>
      <c r="J4501" s="206" t="s">
        <v>121</v>
      </c>
      <c r="K4501" s="206" t="s">
        <v>121</v>
      </c>
      <c r="L4501" s="206" t="str">
        <v/>
      </c>
      <c r="M4501" s="206" t="str">
        <v/>
      </c>
    </row>
    <row r="4502" spans="1:13" ht="14.4">
      <c r="A4502" s="201"/>
      <c r="B4502" s="209"/>
      <c r="C4502" s="201"/>
      <c r="D4502" s="201"/>
      <c r="E4502" s="202"/>
      <c r="F4502" s="210"/>
      <c r="G4502" s="210"/>
      <c r="H4502" s="206" t="s">
        <v>121</v>
      </c>
      <c r="I4502" s="206" t="s">
        <v>121</v>
      </c>
      <c r="J4502" s="206" t="s">
        <v>121</v>
      </c>
      <c r="K4502" s="206" t="s">
        <v>121</v>
      </c>
      <c r="L4502" s="206" t="str">
        <v/>
      </c>
      <c r="M4502" s="206" t="str">
        <v/>
      </c>
    </row>
    <row r="4503" spans="1:13" ht="14.4">
      <c r="A4503" s="201"/>
      <c r="B4503" s="209"/>
      <c r="C4503" s="201"/>
      <c r="D4503" s="201"/>
      <c r="E4503" s="202"/>
      <c r="F4503" s="210"/>
      <c r="G4503" s="210"/>
      <c r="H4503" s="206" t="s">
        <v>121</v>
      </c>
      <c r="I4503" s="206" t="s">
        <v>121</v>
      </c>
      <c r="J4503" s="206" t="s">
        <v>121</v>
      </c>
      <c r="K4503" s="206" t="s">
        <v>121</v>
      </c>
      <c r="L4503" s="206" t="str">
        <v/>
      </c>
      <c r="M4503" s="206" t="str">
        <v/>
      </c>
    </row>
    <row r="4504" spans="1:13" ht="14.4">
      <c r="A4504" s="201"/>
      <c r="B4504" s="209"/>
      <c r="C4504" s="201"/>
      <c r="D4504" s="201"/>
      <c r="E4504" s="202"/>
      <c r="F4504" s="210"/>
      <c r="G4504" s="210"/>
      <c r="H4504" s="206" t="s">
        <v>121</v>
      </c>
      <c r="I4504" s="206" t="s">
        <v>121</v>
      </c>
      <c r="J4504" s="206" t="s">
        <v>121</v>
      </c>
      <c r="K4504" s="206" t="s">
        <v>121</v>
      </c>
      <c r="L4504" s="206" t="str">
        <v/>
      </c>
      <c r="M4504" s="206" t="str">
        <v/>
      </c>
    </row>
    <row r="4505" spans="1:13" ht="14.4">
      <c r="A4505" s="201"/>
      <c r="B4505" s="209"/>
      <c r="C4505" s="201"/>
      <c r="D4505" s="201"/>
      <c r="E4505" s="202"/>
      <c r="F4505" s="210"/>
      <c r="G4505" s="210"/>
      <c r="H4505" s="206" t="s">
        <v>121</v>
      </c>
      <c r="I4505" s="206" t="s">
        <v>121</v>
      </c>
      <c r="J4505" s="206" t="s">
        <v>121</v>
      </c>
      <c r="K4505" s="206" t="s">
        <v>121</v>
      </c>
      <c r="L4505" s="206" t="str">
        <v/>
      </c>
      <c r="M4505" s="206" t="str">
        <v/>
      </c>
    </row>
    <row r="4506" spans="1:13" ht="14.4">
      <c r="A4506" s="201"/>
      <c r="B4506" s="209"/>
      <c r="C4506" s="201"/>
      <c r="D4506" s="201"/>
      <c r="E4506" s="202"/>
      <c r="F4506" s="210"/>
      <c r="G4506" s="210"/>
      <c r="H4506" s="206" t="s">
        <v>121</v>
      </c>
      <c r="I4506" s="206" t="s">
        <v>121</v>
      </c>
      <c r="J4506" s="206" t="s">
        <v>121</v>
      </c>
      <c r="K4506" s="206" t="s">
        <v>121</v>
      </c>
      <c r="L4506" s="206" t="str">
        <v/>
      </c>
      <c r="M4506" s="206" t="str">
        <v/>
      </c>
    </row>
    <row r="4507" spans="1:13" ht="14.4">
      <c r="A4507" s="201"/>
      <c r="B4507" s="209"/>
      <c r="C4507" s="201"/>
      <c r="D4507" s="201"/>
      <c r="E4507" s="202"/>
      <c r="F4507" s="210"/>
      <c r="G4507" s="210"/>
      <c r="H4507" s="206" t="s">
        <v>121</v>
      </c>
      <c r="I4507" s="206" t="s">
        <v>121</v>
      </c>
      <c r="J4507" s="206" t="s">
        <v>121</v>
      </c>
      <c r="K4507" s="206" t="s">
        <v>121</v>
      </c>
      <c r="L4507" s="206" t="str">
        <v/>
      </c>
      <c r="M4507" s="206" t="str">
        <v/>
      </c>
    </row>
    <row r="4508" spans="1:13" ht="14.4">
      <c r="A4508" s="201"/>
      <c r="B4508" s="209"/>
      <c r="C4508" s="201"/>
      <c r="D4508" s="201"/>
      <c r="E4508" s="202"/>
      <c r="F4508" s="210"/>
      <c r="G4508" s="210"/>
      <c r="H4508" s="206" t="s">
        <v>121</v>
      </c>
      <c r="I4508" s="206" t="s">
        <v>121</v>
      </c>
      <c r="J4508" s="206" t="s">
        <v>121</v>
      </c>
      <c r="K4508" s="206" t="s">
        <v>121</v>
      </c>
      <c r="L4508" s="206" t="str">
        <v/>
      </c>
      <c r="M4508" s="206" t="str">
        <v/>
      </c>
    </row>
    <row r="4509" spans="1:13" ht="14.4">
      <c r="A4509" s="201"/>
      <c r="B4509" s="209"/>
      <c r="C4509" s="201"/>
      <c r="D4509" s="201"/>
      <c r="E4509" s="202"/>
      <c r="F4509" s="210"/>
      <c r="G4509" s="210"/>
      <c r="H4509" s="206" t="s">
        <v>121</v>
      </c>
      <c r="I4509" s="206" t="s">
        <v>121</v>
      </c>
      <c r="J4509" s="206" t="s">
        <v>121</v>
      </c>
      <c r="K4509" s="206" t="s">
        <v>121</v>
      </c>
      <c r="L4509" s="206" t="str">
        <v/>
      </c>
      <c r="M4509" s="206" t="str">
        <v/>
      </c>
    </row>
    <row r="4510" spans="1:13" ht="14.4">
      <c r="A4510" s="201"/>
      <c r="B4510" s="209"/>
      <c r="C4510" s="201"/>
      <c r="D4510" s="201"/>
      <c r="E4510" s="202"/>
      <c r="F4510" s="210"/>
      <c r="G4510" s="210"/>
      <c r="H4510" s="206" t="s">
        <v>121</v>
      </c>
      <c r="I4510" s="206" t="s">
        <v>121</v>
      </c>
      <c r="J4510" s="206" t="s">
        <v>121</v>
      </c>
      <c r="K4510" s="206" t="s">
        <v>121</v>
      </c>
      <c r="L4510" s="206" t="str">
        <v/>
      </c>
      <c r="M4510" s="206" t="str">
        <v/>
      </c>
    </row>
    <row r="4511" spans="1:13" ht="14.4">
      <c r="A4511" s="201"/>
      <c r="B4511" s="209"/>
      <c r="C4511" s="201"/>
      <c r="D4511" s="201"/>
      <c r="E4511" s="202"/>
      <c r="F4511" s="210"/>
      <c r="G4511" s="210"/>
      <c r="H4511" s="206" t="s">
        <v>121</v>
      </c>
      <c r="I4511" s="206" t="s">
        <v>121</v>
      </c>
      <c r="J4511" s="206" t="s">
        <v>121</v>
      </c>
      <c r="K4511" s="206" t="s">
        <v>121</v>
      </c>
      <c r="L4511" s="206" t="str">
        <v/>
      </c>
      <c r="M4511" s="206" t="str">
        <v/>
      </c>
    </row>
    <row r="4512" spans="1:13" ht="14.4">
      <c r="A4512" s="201"/>
      <c r="B4512" s="209"/>
      <c r="C4512" s="201"/>
      <c r="D4512" s="201"/>
      <c r="E4512" s="202"/>
      <c r="F4512" s="210"/>
      <c r="G4512" s="210"/>
      <c r="H4512" s="206" t="s">
        <v>121</v>
      </c>
      <c r="I4512" s="206" t="s">
        <v>121</v>
      </c>
      <c r="J4512" s="206" t="s">
        <v>121</v>
      </c>
      <c r="K4512" s="206" t="s">
        <v>121</v>
      </c>
      <c r="L4512" s="206" t="str">
        <v/>
      </c>
      <c r="M4512" s="206" t="str">
        <v/>
      </c>
    </row>
    <row r="4513" spans="1:13" ht="14.4">
      <c r="A4513" s="201"/>
      <c r="B4513" s="209"/>
      <c r="C4513" s="201"/>
      <c r="D4513" s="201"/>
      <c r="E4513" s="202"/>
      <c r="F4513" s="210"/>
      <c r="G4513" s="210"/>
      <c r="H4513" s="206" t="s">
        <v>121</v>
      </c>
      <c r="I4513" s="206" t="s">
        <v>121</v>
      </c>
      <c r="J4513" s="206" t="s">
        <v>121</v>
      </c>
      <c r="K4513" s="206" t="s">
        <v>121</v>
      </c>
      <c r="L4513" s="206" t="str">
        <v/>
      </c>
      <c r="M4513" s="206" t="str">
        <v/>
      </c>
    </row>
    <row r="4514" spans="1:13" ht="14.4">
      <c r="A4514" s="201"/>
      <c r="B4514" s="209"/>
      <c r="C4514" s="201"/>
      <c r="D4514" s="201"/>
      <c r="E4514" s="202"/>
      <c r="F4514" s="210"/>
      <c r="G4514" s="210"/>
      <c r="H4514" s="206" t="s">
        <v>121</v>
      </c>
      <c r="I4514" s="206" t="s">
        <v>121</v>
      </c>
      <c r="J4514" s="206" t="s">
        <v>121</v>
      </c>
      <c r="K4514" s="206" t="s">
        <v>121</v>
      </c>
      <c r="L4514" s="206" t="str">
        <v/>
      </c>
      <c r="M4514" s="206" t="str">
        <v/>
      </c>
    </row>
    <row r="4515" spans="1:13" ht="14.4">
      <c r="A4515" s="201"/>
      <c r="B4515" s="209"/>
      <c r="C4515" s="201"/>
      <c r="D4515" s="201"/>
      <c r="E4515" s="202"/>
      <c r="F4515" s="210"/>
      <c r="G4515" s="210"/>
      <c r="H4515" s="206" t="s">
        <v>121</v>
      </c>
      <c r="I4515" s="206" t="s">
        <v>121</v>
      </c>
      <c r="J4515" s="206" t="s">
        <v>121</v>
      </c>
      <c r="K4515" s="206" t="s">
        <v>121</v>
      </c>
      <c r="L4515" s="206" t="str">
        <v/>
      </c>
      <c r="M4515" s="206" t="str">
        <v/>
      </c>
    </row>
    <row r="4516" spans="1:13" ht="14.4">
      <c r="A4516" s="201"/>
      <c r="B4516" s="209"/>
      <c r="C4516" s="201"/>
      <c r="D4516" s="201"/>
      <c r="E4516" s="202"/>
      <c r="F4516" s="210"/>
      <c r="G4516" s="210"/>
      <c r="H4516" s="206" t="s">
        <v>121</v>
      </c>
      <c r="I4516" s="206" t="s">
        <v>121</v>
      </c>
      <c r="J4516" s="206" t="s">
        <v>121</v>
      </c>
      <c r="K4516" s="206" t="s">
        <v>121</v>
      </c>
      <c r="L4516" s="206" t="str">
        <v/>
      </c>
      <c r="M4516" s="206" t="str">
        <v/>
      </c>
    </row>
    <row r="4517" spans="1:13" ht="14.4">
      <c r="A4517" s="201"/>
      <c r="B4517" s="209"/>
      <c r="C4517" s="201"/>
      <c r="D4517" s="201"/>
      <c r="E4517" s="202"/>
      <c r="F4517" s="210"/>
      <c r="G4517" s="210"/>
      <c r="H4517" s="206" t="s">
        <v>121</v>
      </c>
      <c r="I4517" s="206" t="s">
        <v>121</v>
      </c>
      <c r="J4517" s="206" t="s">
        <v>121</v>
      </c>
      <c r="K4517" s="206" t="s">
        <v>121</v>
      </c>
      <c r="L4517" s="206" t="str">
        <v/>
      </c>
      <c r="M4517" s="206" t="str">
        <v/>
      </c>
    </row>
    <row r="4518" spans="1:13" ht="14.4">
      <c r="A4518" s="201"/>
      <c r="B4518" s="209"/>
      <c r="C4518" s="201"/>
      <c r="D4518" s="201"/>
      <c r="E4518" s="202"/>
      <c r="F4518" s="210"/>
      <c r="G4518" s="210"/>
      <c r="H4518" s="206" t="s">
        <v>121</v>
      </c>
      <c r="I4518" s="206" t="s">
        <v>121</v>
      </c>
      <c r="J4518" s="206" t="s">
        <v>121</v>
      </c>
      <c r="K4518" s="206" t="s">
        <v>121</v>
      </c>
      <c r="L4518" s="206" t="str">
        <v/>
      </c>
      <c r="M4518" s="206" t="str">
        <v/>
      </c>
    </row>
    <row r="4519" spans="1:13" ht="14.4">
      <c r="A4519" s="201"/>
      <c r="B4519" s="209"/>
      <c r="C4519" s="201"/>
      <c r="D4519" s="201"/>
      <c r="E4519" s="202"/>
      <c r="F4519" s="210"/>
      <c r="G4519" s="210"/>
      <c r="H4519" s="206" t="s">
        <v>121</v>
      </c>
      <c r="I4519" s="206" t="s">
        <v>121</v>
      </c>
      <c r="J4519" s="206" t="s">
        <v>121</v>
      </c>
      <c r="K4519" s="206" t="s">
        <v>121</v>
      </c>
      <c r="L4519" s="206" t="str">
        <v/>
      </c>
      <c r="M4519" s="206" t="str">
        <v/>
      </c>
    </row>
    <row r="4520" spans="1:13" ht="14.4">
      <c r="A4520" s="201"/>
      <c r="B4520" s="209"/>
      <c r="C4520" s="201"/>
      <c r="D4520" s="201"/>
      <c r="E4520" s="202"/>
      <c r="F4520" s="210"/>
      <c r="G4520" s="210"/>
      <c r="H4520" s="206" t="s">
        <v>121</v>
      </c>
      <c r="I4520" s="206" t="s">
        <v>121</v>
      </c>
      <c r="J4520" s="206" t="s">
        <v>121</v>
      </c>
      <c r="K4520" s="206" t="s">
        <v>121</v>
      </c>
      <c r="L4520" s="206" t="str">
        <v/>
      </c>
      <c r="M4520" s="206" t="str">
        <v/>
      </c>
    </row>
    <row r="4521" spans="1:13" ht="14.4">
      <c r="A4521" s="201"/>
      <c r="B4521" s="209"/>
      <c r="C4521" s="201"/>
      <c r="D4521" s="201"/>
      <c r="E4521" s="202"/>
      <c r="F4521" s="210"/>
      <c r="G4521" s="210"/>
      <c r="H4521" s="206" t="s">
        <v>121</v>
      </c>
      <c r="I4521" s="206" t="s">
        <v>121</v>
      </c>
      <c r="J4521" s="206" t="s">
        <v>121</v>
      </c>
      <c r="K4521" s="206" t="s">
        <v>121</v>
      </c>
      <c r="L4521" s="206" t="str">
        <v/>
      </c>
      <c r="M4521" s="206" t="str">
        <v/>
      </c>
    </row>
    <row r="4522" spans="1:13" ht="14.4">
      <c r="A4522" s="201"/>
      <c r="B4522" s="209"/>
      <c r="C4522" s="201"/>
      <c r="D4522" s="201"/>
      <c r="E4522" s="202"/>
      <c r="F4522" s="210"/>
      <c r="G4522" s="210"/>
      <c r="H4522" s="206" t="s">
        <v>121</v>
      </c>
      <c r="I4522" s="206" t="s">
        <v>121</v>
      </c>
      <c r="J4522" s="206" t="s">
        <v>121</v>
      </c>
      <c r="K4522" s="206" t="s">
        <v>121</v>
      </c>
      <c r="L4522" s="206" t="str">
        <v/>
      </c>
      <c r="M4522" s="206" t="str">
        <v/>
      </c>
    </row>
    <row r="4523" spans="1:13" ht="14.4">
      <c r="A4523" s="201"/>
      <c r="B4523" s="209"/>
      <c r="C4523" s="201"/>
      <c r="D4523" s="201"/>
      <c r="E4523" s="202"/>
      <c r="F4523" s="210"/>
      <c r="G4523" s="210"/>
      <c r="H4523" s="206" t="s">
        <v>121</v>
      </c>
      <c r="I4523" s="206" t="s">
        <v>121</v>
      </c>
      <c r="J4523" s="206" t="s">
        <v>121</v>
      </c>
      <c r="K4523" s="206" t="s">
        <v>121</v>
      </c>
      <c r="L4523" s="206" t="str">
        <v/>
      </c>
      <c r="M4523" s="206" t="str">
        <v/>
      </c>
    </row>
    <row r="4524" spans="1:13" ht="14.4">
      <c r="A4524" s="201"/>
      <c r="B4524" s="209"/>
      <c r="C4524" s="201"/>
      <c r="D4524" s="201"/>
      <c r="E4524" s="202"/>
      <c r="F4524" s="210"/>
      <c r="G4524" s="210"/>
      <c r="H4524" s="206" t="s">
        <v>121</v>
      </c>
      <c r="I4524" s="206" t="s">
        <v>121</v>
      </c>
      <c r="J4524" s="206" t="s">
        <v>121</v>
      </c>
      <c r="K4524" s="206" t="s">
        <v>121</v>
      </c>
      <c r="L4524" s="206" t="str">
        <v/>
      </c>
      <c r="M4524" s="206" t="str">
        <v/>
      </c>
    </row>
    <row r="4525" spans="1:13" ht="14.4">
      <c r="A4525" s="201"/>
      <c r="B4525" s="209"/>
      <c r="C4525" s="201"/>
      <c r="D4525" s="201"/>
      <c r="E4525" s="202"/>
      <c r="F4525" s="210"/>
      <c r="G4525" s="210"/>
      <c r="H4525" s="206" t="s">
        <v>121</v>
      </c>
      <c r="I4525" s="206" t="s">
        <v>121</v>
      </c>
      <c r="J4525" s="206" t="s">
        <v>121</v>
      </c>
      <c r="K4525" s="206" t="s">
        <v>121</v>
      </c>
      <c r="L4525" s="206" t="str">
        <v/>
      </c>
      <c r="M4525" s="206" t="str">
        <v/>
      </c>
    </row>
    <row r="4526" spans="1:13" ht="14.4">
      <c r="A4526" s="201"/>
      <c r="B4526" s="209"/>
      <c r="C4526" s="201"/>
      <c r="D4526" s="201"/>
      <c r="E4526" s="202"/>
      <c r="F4526" s="210"/>
      <c r="G4526" s="210"/>
      <c r="H4526" s="206" t="s">
        <v>121</v>
      </c>
      <c r="I4526" s="206" t="s">
        <v>121</v>
      </c>
      <c r="J4526" s="206" t="s">
        <v>121</v>
      </c>
      <c r="K4526" s="206" t="s">
        <v>121</v>
      </c>
      <c r="L4526" s="206" t="str">
        <v/>
      </c>
      <c r="M4526" s="206" t="str">
        <v/>
      </c>
    </row>
    <row r="4527" spans="1:13" ht="14.4">
      <c r="A4527" s="201"/>
      <c r="B4527" s="209"/>
      <c r="C4527" s="201"/>
      <c r="D4527" s="201"/>
      <c r="E4527" s="202"/>
      <c r="F4527" s="210"/>
      <c r="G4527" s="210"/>
      <c r="H4527" s="206" t="s">
        <v>121</v>
      </c>
      <c r="I4527" s="206" t="s">
        <v>121</v>
      </c>
      <c r="J4527" s="206" t="s">
        <v>121</v>
      </c>
      <c r="K4527" s="206" t="s">
        <v>121</v>
      </c>
      <c r="L4527" s="206" t="str">
        <v/>
      </c>
      <c r="M4527" s="206" t="str">
        <v/>
      </c>
    </row>
    <row r="4528" spans="1:13" ht="14.4">
      <c r="A4528" s="201"/>
      <c r="B4528" s="209"/>
      <c r="C4528" s="201"/>
      <c r="D4528" s="201"/>
      <c r="E4528" s="202"/>
      <c r="F4528" s="210"/>
      <c r="G4528" s="210"/>
      <c r="H4528" s="206" t="s">
        <v>121</v>
      </c>
      <c r="I4528" s="206" t="s">
        <v>121</v>
      </c>
      <c r="J4528" s="206" t="s">
        <v>121</v>
      </c>
      <c r="K4528" s="206" t="s">
        <v>121</v>
      </c>
      <c r="L4528" s="206" t="str">
        <v/>
      </c>
      <c r="M4528" s="206" t="str">
        <v/>
      </c>
    </row>
    <row r="4529" spans="1:13" ht="14.4">
      <c r="A4529" s="201"/>
      <c r="B4529" s="209"/>
      <c r="C4529" s="201"/>
      <c r="D4529" s="201"/>
      <c r="E4529" s="202"/>
      <c r="F4529" s="210"/>
      <c r="G4529" s="210"/>
      <c r="H4529" s="206" t="s">
        <v>121</v>
      </c>
      <c r="I4529" s="206" t="s">
        <v>121</v>
      </c>
      <c r="J4529" s="206" t="s">
        <v>121</v>
      </c>
      <c r="K4529" s="206" t="s">
        <v>121</v>
      </c>
      <c r="L4529" s="206" t="str">
        <v/>
      </c>
      <c r="M4529" s="206" t="str">
        <v/>
      </c>
    </row>
    <row r="4530" spans="1:13" ht="14.4">
      <c r="A4530" s="201"/>
      <c r="B4530" s="209"/>
      <c r="C4530" s="201"/>
      <c r="D4530" s="201"/>
      <c r="E4530" s="202"/>
      <c r="F4530" s="210"/>
      <c r="G4530" s="210"/>
      <c r="H4530" s="206" t="s">
        <v>121</v>
      </c>
      <c r="I4530" s="206" t="s">
        <v>121</v>
      </c>
      <c r="J4530" s="206" t="s">
        <v>121</v>
      </c>
      <c r="K4530" s="206" t="s">
        <v>121</v>
      </c>
      <c r="L4530" s="206" t="str">
        <v/>
      </c>
      <c r="M4530" s="206" t="str">
        <v/>
      </c>
    </row>
    <row r="4531" spans="1:13" ht="14.4">
      <c r="A4531" s="201"/>
      <c r="B4531" s="209"/>
      <c r="C4531" s="201"/>
      <c r="D4531" s="201"/>
      <c r="E4531" s="202"/>
      <c r="F4531" s="210"/>
      <c r="G4531" s="210"/>
      <c r="H4531" s="206" t="s">
        <v>121</v>
      </c>
      <c r="I4531" s="206" t="s">
        <v>121</v>
      </c>
      <c r="J4531" s="206" t="s">
        <v>121</v>
      </c>
      <c r="K4531" s="206" t="s">
        <v>121</v>
      </c>
      <c r="L4531" s="206" t="str">
        <v/>
      </c>
      <c r="M4531" s="206" t="str">
        <v/>
      </c>
    </row>
    <row r="4532" spans="1:13" ht="14.4">
      <c r="A4532" s="201"/>
      <c r="B4532" s="209"/>
      <c r="C4532" s="201"/>
      <c r="D4532" s="201"/>
      <c r="E4532" s="202"/>
      <c r="F4532" s="210"/>
      <c r="G4532" s="210"/>
      <c r="H4532" s="206" t="s">
        <v>121</v>
      </c>
      <c r="I4532" s="206" t="s">
        <v>121</v>
      </c>
      <c r="J4532" s="206" t="s">
        <v>121</v>
      </c>
      <c r="K4532" s="206" t="s">
        <v>121</v>
      </c>
      <c r="L4532" s="206" t="str">
        <v/>
      </c>
      <c r="M4532" s="206" t="str">
        <v/>
      </c>
    </row>
    <row r="4533" spans="1:13" ht="14.4">
      <c r="A4533" s="201"/>
      <c r="B4533" s="209"/>
      <c r="C4533" s="201"/>
      <c r="D4533" s="201"/>
      <c r="E4533" s="202"/>
      <c r="F4533" s="210"/>
      <c r="G4533" s="210"/>
      <c r="H4533" s="206" t="s">
        <v>121</v>
      </c>
      <c r="I4533" s="206" t="s">
        <v>121</v>
      </c>
      <c r="J4533" s="206" t="s">
        <v>121</v>
      </c>
      <c r="K4533" s="206" t="s">
        <v>121</v>
      </c>
      <c r="L4533" s="206" t="str">
        <v/>
      </c>
      <c r="M4533" s="206" t="str">
        <v/>
      </c>
    </row>
    <row r="4534" spans="1:13" ht="14.4">
      <c r="A4534" s="201"/>
      <c r="B4534" s="209"/>
      <c r="C4534" s="201"/>
      <c r="D4534" s="201"/>
      <c r="E4534" s="202"/>
      <c r="F4534" s="210"/>
      <c r="G4534" s="210"/>
      <c r="H4534" s="206" t="s">
        <v>121</v>
      </c>
      <c r="I4534" s="206" t="s">
        <v>121</v>
      </c>
      <c r="J4534" s="206" t="s">
        <v>121</v>
      </c>
      <c r="K4534" s="206" t="s">
        <v>121</v>
      </c>
      <c r="L4534" s="206" t="str">
        <v/>
      </c>
      <c r="M4534" s="206" t="str">
        <v/>
      </c>
    </row>
    <row r="4535" spans="1:13" ht="14.4">
      <c r="A4535" s="201"/>
      <c r="B4535" s="209"/>
      <c r="C4535" s="201"/>
      <c r="D4535" s="201"/>
      <c r="E4535" s="202"/>
      <c r="F4535" s="210"/>
      <c r="G4535" s="210"/>
      <c r="H4535" s="206" t="s">
        <v>121</v>
      </c>
      <c r="I4535" s="206" t="s">
        <v>121</v>
      </c>
      <c r="J4535" s="206" t="s">
        <v>121</v>
      </c>
      <c r="K4535" s="206" t="s">
        <v>121</v>
      </c>
      <c r="L4535" s="206" t="str">
        <v/>
      </c>
      <c r="M4535" s="206" t="str">
        <v/>
      </c>
    </row>
    <row r="4536" spans="1:13" ht="14.4">
      <c r="A4536" s="201"/>
      <c r="B4536" s="209"/>
      <c r="C4536" s="201"/>
      <c r="D4536" s="201"/>
      <c r="E4536" s="202"/>
      <c r="F4536" s="210"/>
      <c r="G4536" s="210"/>
      <c r="H4536" s="206" t="s">
        <v>121</v>
      </c>
      <c r="I4536" s="206" t="s">
        <v>121</v>
      </c>
      <c r="J4536" s="206" t="s">
        <v>121</v>
      </c>
      <c r="K4536" s="206" t="s">
        <v>121</v>
      </c>
      <c r="L4536" s="206" t="str">
        <v/>
      </c>
      <c r="M4536" s="206" t="str">
        <v/>
      </c>
    </row>
    <row r="4537" spans="1:13" ht="14.4">
      <c r="A4537" s="201"/>
      <c r="B4537" s="209"/>
      <c r="C4537" s="201"/>
      <c r="D4537" s="201"/>
      <c r="E4537" s="202"/>
      <c r="F4537" s="210"/>
      <c r="G4537" s="210"/>
      <c r="H4537" s="206" t="s">
        <v>121</v>
      </c>
      <c r="I4537" s="206" t="s">
        <v>121</v>
      </c>
      <c r="J4537" s="206" t="s">
        <v>121</v>
      </c>
      <c r="K4537" s="206" t="s">
        <v>121</v>
      </c>
      <c r="L4537" s="206" t="str">
        <v/>
      </c>
      <c r="M4537" s="206" t="str">
        <v/>
      </c>
    </row>
    <row r="4538" spans="1:13" ht="14.4">
      <c r="A4538" s="201"/>
      <c r="B4538" s="209"/>
      <c r="C4538" s="201"/>
      <c r="D4538" s="201"/>
      <c r="E4538" s="202"/>
      <c r="F4538" s="210"/>
      <c r="G4538" s="210"/>
      <c r="H4538" s="206" t="s">
        <v>121</v>
      </c>
      <c r="I4538" s="206" t="s">
        <v>121</v>
      </c>
      <c r="J4538" s="206" t="s">
        <v>121</v>
      </c>
      <c r="K4538" s="206" t="s">
        <v>121</v>
      </c>
      <c r="L4538" s="206" t="str">
        <v/>
      </c>
      <c r="M4538" s="206" t="str">
        <v/>
      </c>
    </row>
    <row r="4539" spans="1:13" ht="14.4">
      <c r="A4539" s="201"/>
      <c r="B4539" s="209"/>
      <c r="C4539" s="201"/>
      <c r="D4539" s="201"/>
      <c r="E4539" s="202"/>
      <c r="F4539" s="210"/>
      <c r="G4539" s="210"/>
      <c r="H4539" s="206" t="s">
        <v>121</v>
      </c>
      <c r="I4539" s="206" t="s">
        <v>121</v>
      </c>
      <c r="J4539" s="206" t="s">
        <v>121</v>
      </c>
      <c r="K4539" s="206" t="s">
        <v>121</v>
      </c>
      <c r="L4539" s="206" t="str">
        <v/>
      </c>
      <c r="M4539" s="206" t="str">
        <v/>
      </c>
    </row>
    <row r="4540" spans="1:13" ht="14.4">
      <c r="A4540" s="201"/>
      <c r="B4540" s="209"/>
      <c r="C4540" s="201"/>
      <c r="D4540" s="201"/>
      <c r="E4540" s="202"/>
      <c r="F4540" s="210"/>
      <c r="G4540" s="210"/>
      <c r="H4540" s="206" t="s">
        <v>121</v>
      </c>
      <c r="I4540" s="206" t="s">
        <v>121</v>
      </c>
      <c r="J4540" s="206" t="s">
        <v>121</v>
      </c>
      <c r="K4540" s="206" t="s">
        <v>121</v>
      </c>
      <c r="L4540" s="206" t="str">
        <v/>
      </c>
      <c r="M4540" s="206" t="str">
        <v/>
      </c>
    </row>
    <row r="4541" spans="1:13" ht="14.4">
      <c r="A4541" s="201"/>
      <c r="B4541" s="209"/>
      <c r="C4541" s="201"/>
      <c r="D4541" s="201"/>
      <c r="E4541" s="202"/>
      <c r="F4541" s="210"/>
      <c r="G4541" s="210"/>
      <c r="H4541" s="206" t="s">
        <v>121</v>
      </c>
      <c r="I4541" s="206" t="s">
        <v>121</v>
      </c>
      <c r="J4541" s="206" t="s">
        <v>121</v>
      </c>
      <c r="K4541" s="206" t="s">
        <v>121</v>
      </c>
      <c r="L4541" s="206" t="str">
        <v/>
      </c>
      <c r="M4541" s="206" t="str">
        <v/>
      </c>
    </row>
    <row r="4542" spans="1:13" ht="14.4">
      <c r="A4542" s="201"/>
      <c r="B4542" s="209"/>
      <c r="C4542" s="201"/>
      <c r="D4542" s="201"/>
      <c r="E4542" s="202"/>
      <c r="F4542" s="210"/>
      <c r="G4542" s="210"/>
      <c r="H4542" s="206" t="s">
        <v>121</v>
      </c>
      <c r="I4542" s="206" t="s">
        <v>121</v>
      </c>
      <c r="J4542" s="206" t="s">
        <v>121</v>
      </c>
      <c r="K4542" s="206" t="s">
        <v>121</v>
      </c>
      <c r="L4542" s="206" t="str">
        <v/>
      </c>
      <c r="M4542" s="206" t="str">
        <v/>
      </c>
    </row>
    <row r="4543" spans="1:13" ht="14.4">
      <c r="A4543" s="201"/>
      <c r="B4543" s="209"/>
      <c r="C4543" s="201"/>
      <c r="D4543" s="201"/>
      <c r="E4543" s="202"/>
      <c r="F4543" s="210"/>
      <c r="G4543" s="210"/>
      <c r="H4543" s="206" t="s">
        <v>121</v>
      </c>
      <c r="I4543" s="206" t="s">
        <v>121</v>
      </c>
      <c r="J4543" s="206" t="s">
        <v>121</v>
      </c>
      <c r="K4543" s="206" t="s">
        <v>121</v>
      </c>
      <c r="L4543" s="206" t="str">
        <v/>
      </c>
      <c r="M4543" s="206" t="str">
        <v/>
      </c>
    </row>
    <row r="4544" spans="1:13" ht="14.4">
      <c r="A4544" s="201"/>
      <c r="B4544" s="209"/>
      <c r="C4544" s="201"/>
      <c r="D4544" s="201"/>
      <c r="E4544" s="202"/>
      <c r="F4544" s="210"/>
      <c r="G4544" s="210"/>
      <c r="H4544" s="206" t="s">
        <v>121</v>
      </c>
      <c r="I4544" s="206" t="s">
        <v>121</v>
      </c>
      <c r="J4544" s="206" t="s">
        <v>121</v>
      </c>
      <c r="K4544" s="206" t="s">
        <v>121</v>
      </c>
      <c r="L4544" s="206" t="str">
        <v/>
      </c>
      <c r="M4544" s="206" t="str">
        <v/>
      </c>
    </row>
    <row r="4545" spans="1:13" ht="14.4">
      <c r="A4545" s="201"/>
      <c r="B4545" s="209"/>
      <c r="C4545" s="201"/>
      <c r="D4545" s="201"/>
      <c r="E4545" s="202"/>
      <c r="F4545" s="210"/>
      <c r="G4545" s="210"/>
      <c r="H4545" s="206" t="s">
        <v>121</v>
      </c>
      <c r="I4545" s="206" t="s">
        <v>121</v>
      </c>
      <c r="J4545" s="206" t="s">
        <v>121</v>
      </c>
      <c r="K4545" s="206" t="s">
        <v>121</v>
      </c>
      <c r="L4545" s="206" t="str">
        <v/>
      </c>
      <c r="M4545" s="206" t="str">
        <v/>
      </c>
    </row>
    <row r="4546" spans="1:13" ht="14.4">
      <c r="A4546" s="201"/>
      <c r="B4546" s="209"/>
      <c r="C4546" s="201"/>
      <c r="D4546" s="201"/>
      <c r="E4546" s="202"/>
      <c r="F4546" s="210"/>
      <c r="G4546" s="210"/>
      <c r="H4546" s="206" t="s">
        <v>121</v>
      </c>
      <c r="I4546" s="206" t="s">
        <v>121</v>
      </c>
      <c r="J4546" s="206" t="s">
        <v>121</v>
      </c>
      <c r="K4546" s="206" t="s">
        <v>121</v>
      </c>
      <c r="L4546" s="206" t="str">
        <v/>
      </c>
      <c r="M4546" s="206" t="str">
        <v/>
      </c>
    </row>
    <row r="4547" spans="1:13" ht="14.4">
      <c r="A4547" s="201"/>
      <c r="B4547" s="209"/>
      <c r="C4547" s="201"/>
      <c r="D4547" s="201"/>
      <c r="E4547" s="202"/>
      <c r="F4547" s="210"/>
      <c r="G4547" s="210"/>
      <c r="H4547" s="206" t="s">
        <v>121</v>
      </c>
      <c r="I4547" s="206" t="s">
        <v>121</v>
      </c>
      <c r="J4547" s="206" t="s">
        <v>121</v>
      </c>
      <c r="K4547" s="206" t="s">
        <v>121</v>
      </c>
      <c r="L4547" s="206" t="str">
        <v/>
      </c>
      <c r="M4547" s="206" t="str">
        <v/>
      </c>
    </row>
    <row r="4548" spans="1:13" ht="14.4">
      <c r="A4548" s="201"/>
      <c r="B4548" s="209"/>
      <c r="C4548" s="201"/>
      <c r="D4548" s="201"/>
      <c r="E4548" s="202"/>
      <c r="F4548" s="210"/>
      <c r="G4548" s="210"/>
      <c r="H4548" s="206" t="s">
        <v>121</v>
      </c>
      <c r="I4548" s="206" t="s">
        <v>121</v>
      </c>
      <c r="J4548" s="206" t="s">
        <v>121</v>
      </c>
      <c r="K4548" s="206" t="s">
        <v>121</v>
      </c>
      <c r="L4548" s="206" t="str">
        <v/>
      </c>
      <c r="M4548" s="206" t="str">
        <v/>
      </c>
    </row>
    <row r="4549" spans="1:13" ht="14.4">
      <c r="A4549" s="201"/>
      <c r="B4549" s="209"/>
      <c r="C4549" s="201"/>
      <c r="D4549" s="201"/>
      <c r="E4549" s="202"/>
      <c r="F4549" s="210"/>
      <c r="G4549" s="210"/>
      <c r="H4549" s="206" t="s">
        <v>121</v>
      </c>
      <c r="I4549" s="206" t="s">
        <v>121</v>
      </c>
      <c r="J4549" s="206" t="s">
        <v>121</v>
      </c>
      <c r="K4549" s="206" t="s">
        <v>121</v>
      </c>
      <c r="L4549" s="206" t="str">
        <v/>
      </c>
      <c r="M4549" s="206" t="str">
        <v/>
      </c>
    </row>
    <row r="4550" spans="1:13" ht="14.4">
      <c r="A4550" s="201"/>
      <c r="B4550" s="209"/>
      <c r="C4550" s="201"/>
      <c r="D4550" s="201"/>
      <c r="E4550" s="202"/>
      <c r="F4550" s="210"/>
      <c r="G4550" s="210"/>
      <c r="H4550" s="206" t="s">
        <v>121</v>
      </c>
      <c r="I4550" s="206" t="s">
        <v>121</v>
      </c>
      <c r="J4550" s="206" t="s">
        <v>121</v>
      </c>
      <c r="K4550" s="206" t="s">
        <v>121</v>
      </c>
      <c r="L4550" s="206" t="str">
        <v/>
      </c>
      <c r="M4550" s="206" t="str">
        <v/>
      </c>
    </row>
    <row r="4551" spans="1:13" ht="14.4">
      <c r="A4551" s="201"/>
      <c r="B4551" s="209"/>
      <c r="C4551" s="201"/>
      <c r="D4551" s="201"/>
      <c r="E4551" s="202"/>
      <c r="F4551" s="210"/>
      <c r="G4551" s="210"/>
      <c r="H4551" s="206" t="s">
        <v>121</v>
      </c>
      <c r="I4551" s="206" t="s">
        <v>121</v>
      </c>
      <c r="J4551" s="206" t="s">
        <v>121</v>
      </c>
      <c r="K4551" s="206" t="s">
        <v>121</v>
      </c>
      <c r="L4551" s="206" t="str">
        <v/>
      </c>
      <c r="M4551" s="206" t="str">
        <v/>
      </c>
    </row>
    <row r="4552" spans="1:13" ht="14.4">
      <c r="A4552" s="201"/>
      <c r="B4552" s="209"/>
      <c r="C4552" s="201"/>
      <c r="D4552" s="201"/>
      <c r="E4552" s="202"/>
      <c r="F4552" s="210"/>
      <c r="G4552" s="210"/>
      <c r="H4552" s="206" t="s">
        <v>121</v>
      </c>
      <c r="I4552" s="206" t="s">
        <v>121</v>
      </c>
      <c r="J4552" s="206" t="s">
        <v>121</v>
      </c>
      <c r="K4552" s="206" t="s">
        <v>121</v>
      </c>
      <c r="L4552" s="206" t="str">
        <v/>
      </c>
      <c r="M4552" s="206" t="str">
        <v/>
      </c>
    </row>
    <row r="4553" spans="1:13" ht="14.4">
      <c r="A4553" s="201"/>
      <c r="B4553" s="209"/>
      <c r="C4553" s="201"/>
      <c r="D4553" s="201"/>
      <c r="E4553" s="202"/>
      <c r="F4553" s="210"/>
      <c r="G4553" s="210"/>
      <c r="H4553" s="206" t="s">
        <v>121</v>
      </c>
      <c r="I4553" s="206" t="s">
        <v>121</v>
      </c>
      <c r="J4553" s="206" t="s">
        <v>121</v>
      </c>
      <c r="K4553" s="206" t="s">
        <v>121</v>
      </c>
      <c r="L4553" s="206" t="str">
        <v/>
      </c>
      <c r="M4553" s="206" t="str">
        <v/>
      </c>
    </row>
    <row r="4554" spans="1:13" ht="14.4">
      <c r="A4554" s="201"/>
      <c r="B4554" s="209"/>
      <c r="C4554" s="201"/>
      <c r="D4554" s="201"/>
      <c r="E4554" s="202"/>
      <c r="F4554" s="210"/>
      <c r="G4554" s="210"/>
      <c r="H4554" s="206" t="s">
        <v>121</v>
      </c>
      <c r="I4554" s="206" t="s">
        <v>121</v>
      </c>
      <c r="J4554" s="206" t="s">
        <v>121</v>
      </c>
      <c r="K4554" s="206" t="s">
        <v>121</v>
      </c>
      <c r="L4554" s="206" t="str">
        <v/>
      </c>
      <c r="M4554" s="206" t="str">
        <v/>
      </c>
    </row>
    <row r="4555" spans="1:13" ht="14.4">
      <c r="A4555" s="201"/>
      <c r="B4555" s="209"/>
      <c r="C4555" s="201"/>
      <c r="D4555" s="201"/>
      <c r="E4555" s="202"/>
      <c r="F4555" s="210"/>
      <c r="G4555" s="210"/>
      <c r="H4555" s="206" t="s">
        <v>121</v>
      </c>
      <c r="I4555" s="206" t="s">
        <v>121</v>
      </c>
      <c r="J4555" s="206" t="s">
        <v>121</v>
      </c>
      <c r="K4555" s="206" t="s">
        <v>121</v>
      </c>
      <c r="L4555" s="206" t="str">
        <v/>
      </c>
      <c r="M4555" s="206" t="str">
        <v/>
      </c>
    </row>
    <row r="4556" spans="1:13" ht="14.4">
      <c r="A4556" s="201"/>
      <c r="B4556" s="209"/>
      <c r="C4556" s="201"/>
      <c r="D4556" s="201"/>
      <c r="E4556" s="202"/>
      <c r="F4556" s="210"/>
      <c r="G4556" s="210"/>
      <c r="H4556" s="206" t="s">
        <v>121</v>
      </c>
      <c r="I4556" s="206" t="s">
        <v>121</v>
      </c>
      <c r="J4556" s="206" t="s">
        <v>121</v>
      </c>
      <c r="K4556" s="206" t="s">
        <v>121</v>
      </c>
      <c r="L4556" s="206" t="str">
        <v/>
      </c>
      <c r="M4556" s="206" t="str">
        <v/>
      </c>
    </row>
    <row r="4557" spans="1:13" ht="14.4">
      <c r="A4557" s="201"/>
      <c r="B4557" s="209"/>
      <c r="C4557" s="201"/>
      <c r="D4557" s="201"/>
      <c r="E4557" s="202"/>
      <c r="F4557" s="210"/>
      <c r="G4557" s="210"/>
      <c r="H4557" s="206" t="s">
        <v>121</v>
      </c>
      <c r="I4557" s="206" t="s">
        <v>121</v>
      </c>
      <c r="J4557" s="206" t="s">
        <v>121</v>
      </c>
      <c r="K4557" s="206" t="s">
        <v>121</v>
      </c>
      <c r="L4557" s="206" t="str">
        <v/>
      </c>
      <c r="M4557" s="206" t="str">
        <v/>
      </c>
    </row>
    <row r="4558" spans="1:13" ht="14.4">
      <c r="A4558" s="201"/>
      <c r="B4558" s="209"/>
      <c r="C4558" s="201"/>
      <c r="D4558" s="201"/>
      <c r="E4558" s="202"/>
      <c r="F4558" s="210"/>
      <c r="G4558" s="210"/>
      <c r="H4558" s="206" t="s">
        <v>121</v>
      </c>
      <c r="I4558" s="206" t="s">
        <v>121</v>
      </c>
      <c r="J4558" s="206" t="s">
        <v>121</v>
      </c>
      <c r="K4558" s="206" t="s">
        <v>121</v>
      </c>
      <c r="L4558" s="206" t="str">
        <v/>
      </c>
      <c r="M4558" s="206" t="str">
        <v/>
      </c>
    </row>
    <row r="4559" spans="1:13" ht="14.4">
      <c r="A4559" s="201"/>
      <c r="B4559" s="209"/>
      <c r="C4559" s="201"/>
      <c r="D4559" s="201"/>
      <c r="E4559" s="202"/>
      <c r="F4559" s="210"/>
      <c r="G4559" s="210"/>
      <c r="H4559" s="206" t="s">
        <v>121</v>
      </c>
      <c r="I4559" s="206" t="s">
        <v>121</v>
      </c>
      <c r="J4559" s="206" t="s">
        <v>121</v>
      </c>
      <c r="K4559" s="206" t="s">
        <v>121</v>
      </c>
      <c r="L4559" s="206" t="str">
        <v/>
      </c>
      <c r="M4559" s="206" t="str">
        <v/>
      </c>
    </row>
    <row r="4560" spans="1:13" ht="14.4">
      <c r="A4560" s="201"/>
      <c r="B4560" s="209"/>
      <c r="C4560" s="201"/>
      <c r="D4560" s="201"/>
      <c r="E4560" s="202"/>
      <c r="F4560" s="210"/>
      <c r="G4560" s="210"/>
      <c r="H4560" s="206" t="s">
        <v>121</v>
      </c>
      <c r="I4560" s="206" t="s">
        <v>121</v>
      </c>
      <c r="J4560" s="206" t="s">
        <v>121</v>
      </c>
      <c r="K4560" s="206" t="s">
        <v>121</v>
      </c>
      <c r="L4560" s="206" t="str">
        <v/>
      </c>
      <c r="M4560" s="206" t="str">
        <v/>
      </c>
    </row>
    <row r="4561" spans="1:13" ht="14.4">
      <c r="A4561" s="201"/>
      <c r="B4561" s="209"/>
      <c r="C4561" s="201"/>
      <c r="D4561" s="201"/>
      <c r="E4561" s="202"/>
      <c r="F4561" s="210"/>
      <c r="G4561" s="210"/>
      <c r="H4561" s="206" t="s">
        <v>121</v>
      </c>
      <c r="I4561" s="206" t="s">
        <v>121</v>
      </c>
      <c r="J4561" s="206" t="s">
        <v>121</v>
      </c>
      <c r="K4561" s="206" t="s">
        <v>121</v>
      </c>
      <c r="L4561" s="206" t="str">
        <v/>
      </c>
      <c r="M4561" s="206" t="str">
        <v/>
      </c>
    </row>
    <row r="4562" spans="1:13" ht="14.4">
      <c r="A4562" s="201"/>
      <c r="B4562" s="209"/>
      <c r="C4562" s="201"/>
      <c r="D4562" s="201"/>
      <c r="E4562" s="202"/>
      <c r="F4562" s="210"/>
      <c r="G4562" s="210"/>
      <c r="H4562" s="206" t="s">
        <v>121</v>
      </c>
      <c r="I4562" s="206" t="s">
        <v>121</v>
      </c>
      <c r="J4562" s="206" t="s">
        <v>121</v>
      </c>
      <c r="K4562" s="206" t="s">
        <v>121</v>
      </c>
      <c r="L4562" s="206" t="str">
        <v/>
      </c>
      <c r="M4562" s="206" t="str">
        <v/>
      </c>
    </row>
    <row r="4563" spans="1:13" ht="14.4">
      <c r="A4563" s="201"/>
      <c r="B4563" s="209"/>
      <c r="C4563" s="201"/>
      <c r="D4563" s="201"/>
      <c r="E4563" s="202"/>
      <c r="F4563" s="210"/>
      <c r="G4563" s="210"/>
      <c r="H4563" s="206" t="s">
        <v>121</v>
      </c>
      <c r="I4563" s="206" t="s">
        <v>121</v>
      </c>
      <c r="J4563" s="206" t="s">
        <v>121</v>
      </c>
      <c r="K4563" s="206" t="s">
        <v>121</v>
      </c>
      <c r="L4563" s="206" t="str">
        <v/>
      </c>
      <c r="M4563" s="206" t="str">
        <v/>
      </c>
    </row>
    <row r="4564" spans="1:13" ht="14.4">
      <c r="A4564" s="201"/>
      <c r="B4564" s="209"/>
      <c r="C4564" s="201"/>
      <c r="D4564" s="201"/>
      <c r="E4564" s="202"/>
      <c r="F4564" s="210"/>
      <c r="G4564" s="210"/>
      <c r="H4564" s="206" t="s">
        <v>121</v>
      </c>
      <c r="I4564" s="206" t="s">
        <v>121</v>
      </c>
      <c r="J4564" s="206" t="s">
        <v>121</v>
      </c>
      <c r="K4564" s="206" t="s">
        <v>121</v>
      </c>
      <c r="L4564" s="206" t="str">
        <v/>
      </c>
      <c r="M4564" s="206" t="str">
        <v/>
      </c>
    </row>
    <row r="4565" spans="1:13" ht="14.4">
      <c r="A4565" s="201"/>
      <c r="B4565" s="209"/>
      <c r="C4565" s="201"/>
      <c r="D4565" s="201"/>
      <c r="E4565" s="202"/>
      <c r="F4565" s="210"/>
      <c r="G4565" s="210"/>
      <c r="H4565" s="206" t="s">
        <v>121</v>
      </c>
      <c r="I4565" s="206" t="s">
        <v>121</v>
      </c>
      <c r="J4565" s="206" t="s">
        <v>121</v>
      </c>
      <c r="K4565" s="206" t="s">
        <v>121</v>
      </c>
      <c r="L4565" s="206" t="str">
        <v/>
      </c>
      <c r="M4565" s="206" t="str">
        <v/>
      </c>
    </row>
    <row r="4566" spans="1:13" ht="14.4">
      <c r="A4566" s="201"/>
      <c r="B4566" s="209"/>
      <c r="C4566" s="201"/>
      <c r="D4566" s="201"/>
      <c r="E4566" s="202"/>
      <c r="F4566" s="210"/>
      <c r="G4566" s="210"/>
      <c r="H4566" s="206" t="s">
        <v>121</v>
      </c>
      <c r="I4566" s="206" t="s">
        <v>121</v>
      </c>
      <c r="J4566" s="206" t="s">
        <v>121</v>
      </c>
      <c r="K4566" s="206" t="s">
        <v>121</v>
      </c>
      <c r="L4566" s="206" t="str">
        <v/>
      </c>
      <c r="M4566" s="206" t="str">
        <v/>
      </c>
    </row>
    <row r="4567" spans="1:13" ht="14.4">
      <c r="A4567" s="201"/>
      <c r="B4567" s="209"/>
      <c r="C4567" s="201"/>
      <c r="D4567" s="201"/>
      <c r="E4567" s="202"/>
      <c r="F4567" s="210"/>
      <c r="G4567" s="210"/>
      <c r="H4567" s="206" t="s">
        <v>121</v>
      </c>
      <c r="I4567" s="206" t="s">
        <v>121</v>
      </c>
      <c r="J4567" s="206" t="s">
        <v>121</v>
      </c>
      <c r="K4567" s="206" t="s">
        <v>121</v>
      </c>
      <c r="L4567" s="206" t="str">
        <v/>
      </c>
      <c r="M4567" s="206" t="str">
        <v/>
      </c>
    </row>
    <row r="4568" spans="1:13" ht="14.4">
      <c r="A4568" s="201"/>
      <c r="B4568" s="209"/>
      <c r="C4568" s="201"/>
      <c r="D4568" s="201"/>
      <c r="E4568" s="202"/>
      <c r="F4568" s="210"/>
      <c r="G4568" s="210"/>
      <c r="H4568" s="206" t="s">
        <v>121</v>
      </c>
      <c r="I4568" s="206" t="s">
        <v>121</v>
      </c>
      <c r="J4568" s="206" t="s">
        <v>121</v>
      </c>
      <c r="K4568" s="206" t="s">
        <v>121</v>
      </c>
      <c r="L4568" s="206" t="str">
        <v/>
      </c>
      <c r="M4568" s="206" t="str">
        <v/>
      </c>
    </row>
    <row r="4569" spans="1:13" ht="14.4">
      <c r="A4569" s="201"/>
      <c r="B4569" s="209"/>
      <c r="C4569" s="201"/>
      <c r="D4569" s="201"/>
      <c r="E4569" s="202"/>
      <c r="F4569" s="210"/>
      <c r="G4569" s="210"/>
      <c r="H4569" s="206" t="s">
        <v>121</v>
      </c>
      <c r="I4569" s="206" t="s">
        <v>121</v>
      </c>
      <c r="J4569" s="206" t="s">
        <v>121</v>
      </c>
      <c r="K4569" s="206" t="s">
        <v>121</v>
      </c>
      <c r="L4569" s="206" t="str">
        <v/>
      </c>
      <c r="M4569" s="206" t="str">
        <v/>
      </c>
    </row>
    <row r="4570" spans="1:13" ht="14.4">
      <c r="A4570" s="201"/>
      <c r="B4570" s="209"/>
      <c r="C4570" s="201"/>
      <c r="D4570" s="201"/>
      <c r="E4570" s="202"/>
      <c r="F4570" s="210"/>
      <c r="G4570" s="210"/>
      <c r="H4570" s="206" t="s">
        <v>121</v>
      </c>
      <c r="I4570" s="206" t="s">
        <v>121</v>
      </c>
      <c r="J4570" s="206" t="s">
        <v>121</v>
      </c>
      <c r="K4570" s="206" t="s">
        <v>121</v>
      </c>
      <c r="L4570" s="206" t="str">
        <v/>
      </c>
      <c r="M4570" s="206" t="str">
        <v/>
      </c>
    </row>
    <row r="4571" spans="1:13" ht="14.4">
      <c r="A4571" s="201"/>
      <c r="B4571" s="209"/>
      <c r="C4571" s="201"/>
      <c r="D4571" s="201"/>
      <c r="E4571" s="202"/>
      <c r="F4571" s="210"/>
      <c r="G4571" s="210"/>
      <c r="H4571" s="206" t="s">
        <v>121</v>
      </c>
      <c r="I4571" s="206" t="s">
        <v>121</v>
      </c>
      <c r="J4571" s="206" t="s">
        <v>121</v>
      </c>
      <c r="K4571" s="206" t="s">
        <v>121</v>
      </c>
      <c r="L4571" s="206" t="str">
        <v/>
      </c>
      <c r="M4571" s="206" t="str">
        <v/>
      </c>
    </row>
    <row r="4572" spans="1:13" ht="14.4">
      <c r="A4572" s="201"/>
      <c r="B4572" s="209"/>
      <c r="C4572" s="201"/>
      <c r="D4572" s="201"/>
      <c r="E4572" s="202"/>
      <c r="F4572" s="210"/>
      <c r="G4572" s="210"/>
      <c r="H4572" s="206" t="s">
        <v>121</v>
      </c>
      <c r="I4572" s="206" t="s">
        <v>121</v>
      </c>
      <c r="J4572" s="206" t="s">
        <v>121</v>
      </c>
      <c r="K4572" s="206" t="s">
        <v>121</v>
      </c>
      <c r="L4572" s="206" t="str">
        <v/>
      </c>
      <c r="M4572" s="206" t="str">
        <v/>
      </c>
    </row>
    <row r="4573" spans="1:13" ht="14.4">
      <c r="A4573" s="201"/>
      <c r="B4573" s="209"/>
      <c r="C4573" s="201"/>
      <c r="D4573" s="201"/>
      <c r="E4573" s="202"/>
      <c r="F4573" s="210"/>
      <c r="G4573" s="210"/>
      <c r="H4573" s="206" t="s">
        <v>121</v>
      </c>
      <c r="I4573" s="206" t="s">
        <v>121</v>
      </c>
      <c r="J4573" s="206" t="s">
        <v>121</v>
      </c>
      <c r="K4573" s="206" t="s">
        <v>121</v>
      </c>
      <c r="L4573" s="206" t="str">
        <v/>
      </c>
      <c r="M4573" s="206" t="str">
        <v/>
      </c>
    </row>
    <row r="4574" spans="1:13" ht="14.4">
      <c r="A4574" s="201"/>
      <c r="B4574" s="209"/>
      <c r="C4574" s="201"/>
      <c r="D4574" s="201"/>
      <c r="E4574" s="202"/>
      <c r="F4574" s="210"/>
      <c r="G4574" s="210"/>
      <c r="H4574" s="206" t="s">
        <v>121</v>
      </c>
      <c r="I4574" s="206" t="s">
        <v>121</v>
      </c>
      <c r="J4574" s="206" t="s">
        <v>121</v>
      </c>
      <c r="K4574" s="206" t="s">
        <v>121</v>
      </c>
      <c r="L4574" s="206" t="str">
        <v/>
      </c>
      <c r="M4574" s="206" t="str">
        <v/>
      </c>
    </row>
    <row r="4575" spans="1:13" ht="14.4">
      <c r="A4575" s="201"/>
      <c r="B4575" s="209"/>
      <c r="C4575" s="201"/>
      <c r="D4575" s="201"/>
      <c r="E4575" s="202"/>
      <c r="F4575" s="210"/>
      <c r="G4575" s="210"/>
      <c r="H4575" s="206" t="s">
        <v>121</v>
      </c>
      <c r="I4575" s="206" t="s">
        <v>121</v>
      </c>
      <c r="J4575" s="206" t="s">
        <v>121</v>
      </c>
      <c r="K4575" s="206" t="s">
        <v>121</v>
      </c>
      <c r="L4575" s="206" t="str">
        <v/>
      </c>
      <c r="M4575" s="206" t="str">
        <v/>
      </c>
    </row>
    <row r="4576" spans="1:13" ht="14.4">
      <c r="A4576" s="201"/>
      <c r="B4576" s="209"/>
      <c r="C4576" s="201"/>
      <c r="D4576" s="201"/>
      <c r="E4576" s="202"/>
      <c r="F4576" s="210"/>
      <c r="G4576" s="210"/>
      <c r="H4576" s="206" t="s">
        <v>121</v>
      </c>
      <c r="I4576" s="206" t="s">
        <v>121</v>
      </c>
      <c r="J4576" s="206" t="s">
        <v>121</v>
      </c>
      <c r="K4576" s="206" t="s">
        <v>121</v>
      </c>
      <c r="L4576" s="206" t="str">
        <v/>
      </c>
      <c r="M4576" s="206" t="str">
        <v/>
      </c>
    </row>
    <row r="4577" spans="1:13" ht="14.4">
      <c r="A4577" s="201"/>
      <c r="B4577" s="209"/>
      <c r="C4577" s="201"/>
      <c r="D4577" s="201"/>
      <c r="E4577" s="202"/>
      <c r="F4577" s="210"/>
      <c r="G4577" s="210"/>
      <c r="H4577" s="206" t="s">
        <v>121</v>
      </c>
      <c r="I4577" s="206" t="s">
        <v>121</v>
      </c>
      <c r="J4577" s="206" t="s">
        <v>121</v>
      </c>
      <c r="K4577" s="206" t="s">
        <v>121</v>
      </c>
      <c r="L4577" s="206" t="str">
        <v/>
      </c>
      <c r="M4577" s="206" t="str">
        <v/>
      </c>
    </row>
    <row r="4578" spans="1:13" ht="14.4">
      <c r="A4578" s="201"/>
      <c r="B4578" s="209"/>
      <c r="C4578" s="201"/>
      <c r="D4578" s="201"/>
      <c r="E4578" s="202"/>
      <c r="F4578" s="210"/>
      <c r="G4578" s="210"/>
      <c r="H4578" s="206" t="s">
        <v>121</v>
      </c>
      <c r="I4578" s="206" t="s">
        <v>121</v>
      </c>
      <c r="J4578" s="206" t="s">
        <v>121</v>
      </c>
      <c r="K4578" s="206" t="s">
        <v>121</v>
      </c>
      <c r="L4578" s="206" t="str">
        <v/>
      </c>
      <c r="M4578" s="206" t="str">
        <v/>
      </c>
    </row>
    <row r="4579" spans="1:13" ht="14.4">
      <c r="A4579" s="201"/>
      <c r="B4579" s="209"/>
      <c r="C4579" s="201"/>
      <c r="D4579" s="201"/>
      <c r="E4579" s="202"/>
      <c r="F4579" s="210"/>
      <c r="G4579" s="210"/>
      <c r="H4579" s="206" t="s">
        <v>121</v>
      </c>
      <c r="I4579" s="206" t="s">
        <v>121</v>
      </c>
      <c r="J4579" s="206" t="s">
        <v>121</v>
      </c>
      <c r="K4579" s="206" t="s">
        <v>121</v>
      </c>
      <c r="L4579" s="206" t="str">
        <v/>
      </c>
      <c r="M4579" s="206" t="str">
        <v/>
      </c>
    </row>
    <row r="4580" spans="1:13" ht="14.4">
      <c r="A4580" s="201"/>
      <c r="B4580" s="209"/>
      <c r="C4580" s="201"/>
      <c r="D4580" s="201"/>
      <c r="E4580" s="202"/>
      <c r="F4580" s="210"/>
      <c r="G4580" s="210"/>
      <c r="H4580" s="206" t="s">
        <v>121</v>
      </c>
      <c r="I4580" s="206" t="s">
        <v>121</v>
      </c>
      <c r="J4580" s="206" t="s">
        <v>121</v>
      </c>
      <c r="K4580" s="206" t="s">
        <v>121</v>
      </c>
      <c r="L4580" s="206" t="str">
        <v/>
      </c>
      <c r="M4580" s="206" t="str">
        <v/>
      </c>
    </row>
    <row r="4581" spans="1:13" ht="14.4">
      <c r="A4581" s="201"/>
      <c r="B4581" s="209"/>
      <c r="C4581" s="201"/>
      <c r="D4581" s="201"/>
      <c r="E4581" s="202"/>
      <c r="F4581" s="210"/>
      <c r="G4581" s="210"/>
      <c r="H4581" s="206" t="s">
        <v>121</v>
      </c>
      <c r="I4581" s="206" t="s">
        <v>121</v>
      </c>
      <c r="J4581" s="206" t="s">
        <v>121</v>
      </c>
      <c r="K4581" s="206" t="s">
        <v>121</v>
      </c>
      <c r="L4581" s="206" t="str">
        <v/>
      </c>
      <c r="M4581" s="206" t="str">
        <v/>
      </c>
    </row>
    <row r="4582" spans="1:13" ht="14.4">
      <c r="A4582" s="201"/>
      <c r="B4582" s="209"/>
      <c r="C4582" s="201"/>
      <c r="D4582" s="201"/>
      <c r="E4582" s="202"/>
      <c r="F4582" s="210"/>
      <c r="G4582" s="210"/>
      <c r="H4582" s="206" t="s">
        <v>121</v>
      </c>
      <c r="I4582" s="206" t="s">
        <v>121</v>
      </c>
      <c r="J4582" s="206" t="s">
        <v>121</v>
      </c>
      <c r="K4582" s="206" t="s">
        <v>121</v>
      </c>
      <c r="L4582" s="206" t="str">
        <v/>
      </c>
      <c r="M4582" s="206" t="str">
        <v/>
      </c>
    </row>
    <row r="4583" spans="1:13" ht="14.4">
      <c r="A4583" s="201"/>
      <c r="B4583" s="209"/>
      <c r="C4583" s="201"/>
      <c r="D4583" s="201"/>
      <c r="E4583" s="202"/>
      <c r="F4583" s="210"/>
      <c r="G4583" s="210"/>
      <c r="H4583" s="206" t="s">
        <v>121</v>
      </c>
      <c r="I4583" s="206" t="s">
        <v>121</v>
      </c>
      <c r="J4583" s="206" t="s">
        <v>121</v>
      </c>
      <c r="K4583" s="206" t="s">
        <v>121</v>
      </c>
      <c r="L4583" s="206" t="str">
        <v/>
      </c>
      <c r="M4583" s="206" t="str">
        <v/>
      </c>
    </row>
    <row r="4584" spans="1:13" ht="14.4">
      <c r="A4584" s="201"/>
      <c r="B4584" s="209"/>
      <c r="C4584" s="201"/>
      <c r="D4584" s="201"/>
      <c r="E4584" s="202"/>
      <c r="F4584" s="210"/>
      <c r="G4584" s="210"/>
      <c r="H4584" s="206" t="s">
        <v>121</v>
      </c>
      <c r="I4584" s="206" t="s">
        <v>121</v>
      </c>
      <c r="J4584" s="206" t="s">
        <v>121</v>
      </c>
      <c r="K4584" s="206" t="s">
        <v>121</v>
      </c>
      <c r="L4584" s="206" t="str">
        <v/>
      </c>
      <c r="M4584" s="206" t="str">
        <v/>
      </c>
    </row>
    <row r="4585" spans="1:13" ht="14.4">
      <c r="A4585" s="201"/>
      <c r="B4585" s="209"/>
      <c r="C4585" s="201"/>
      <c r="D4585" s="201"/>
      <c r="E4585" s="202"/>
      <c r="F4585" s="210"/>
      <c r="G4585" s="210"/>
      <c r="H4585" s="206" t="s">
        <v>121</v>
      </c>
      <c r="I4585" s="206" t="s">
        <v>121</v>
      </c>
      <c r="J4585" s="206" t="s">
        <v>121</v>
      </c>
      <c r="K4585" s="206" t="s">
        <v>121</v>
      </c>
      <c r="L4585" s="206" t="str">
        <v/>
      </c>
      <c r="M4585" s="206" t="str">
        <v/>
      </c>
    </row>
    <row r="4586" spans="1:13" ht="14.4">
      <c r="A4586" s="201"/>
      <c r="B4586" s="209"/>
      <c r="C4586" s="201"/>
      <c r="D4586" s="201"/>
      <c r="E4586" s="202"/>
      <c r="F4586" s="210"/>
      <c r="G4586" s="210"/>
      <c r="H4586" s="206" t="s">
        <v>121</v>
      </c>
      <c r="I4586" s="206" t="s">
        <v>121</v>
      </c>
      <c r="J4586" s="206" t="s">
        <v>121</v>
      </c>
      <c r="K4586" s="206" t="s">
        <v>121</v>
      </c>
      <c r="L4586" s="206" t="str">
        <v/>
      </c>
      <c r="M4586" s="206" t="str">
        <v/>
      </c>
    </row>
    <row r="4587" spans="1:13" ht="14.4">
      <c r="A4587" s="201"/>
      <c r="B4587" s="209"/>
      <c r="C4587" s="201"/>
      <c r="D4587" s="201"/>
      <c r="E4587" s="202"/>
      <c r="F4587" s="210"/>
      <c r="G4587" s="210"/>
      <c r="H4587" s="206" t="s">
        <v>121</v>
      </c>
      <c r="I4587" s="206" t="s">
        <v>121</v>
      </c>
      <c r="J4587" s="206" t="s">
        <v>121</v>
      </c>
      <c r="K4587" s="206" t="s">
        <v>121</v>
      </c>
      <c r="L4587" s="206" t="str">
        <v/>
      </c>
      <c r="M4587" s="206" t="str">
        <v/>
      </c>
    </row>
    <row r="4588" spans="1:13" ht="14.4">
      <c r="A4588" s="201"/>
      <c r="B4588" s="209"/>
      <c r="C4588" s="201"/>
      <c r="D4588" s="201"/>
      <c r="E4588" s="202"/>
      <c r="F4588" s="210"/>
      <c r="G4588" s="210"/>
      <c r="H4588" s="206" t="s">
        <v>121</v>
      </c>
      <c r="I4588" s="206" t="s">
        <v>121</v>
      </c>
      <c r="J4588" s="206" t="s">
        <v>121</v>
      </c>
      <c r="K4588" s="206" t="s">
        <v>121</v>
      </c>
      <c r="L4588" s="206" t="str">
        <v/>
      </c>
      <c r="M4588" s="206" t="str">
        <v/>
      </c>
    </row>
    <row r="4589" spans="1:13" ht="14.4">
      <c r="A4589" s="201"/>
      <c r="B4589" s="209"/>
      <c r="C4589" s="201"/>
      <c r="D4589" s="201"/>
      <c r="E4589" s="202"/>
      <c r="F4589" s="210"/>
      <c r="G4589" s="210"/>
      <c r="H4589" s="206" t="s">
        <v>121</v>
      </c>
      <c r="I4589" s="206" t="s">
        <v>121</v>
      </c>
      <c r="J4589" s="206" t="s">
        <v>121</v>
      </c>
      <c r="K4589" s="206" t="s">
        <v>121</v>
      </c>
      <c r="L4589" s="206" t="str">
        <v/>
      </c>
      <c r="M4589" s="206" t="str">
        <v/>
      </c>
    </row>
    <row r="4590" spans="1:13" ht="14.4">
      <c r="A4590" s="201"/>
      <c r="B4590" s="209"/>
      <c r="C4590" s="201"/>
      <c r="D4590" s="201"/>
      <c r="E4590" s="202"/>
      <c r="F4590" s="210"/>
      <c r="G4590" s="210"/>
      <c r="H4590" s="206" t="s">
        <v>121</v>
      </c>
      <c r="I4590" s="206" t="s">
        <v>121</v>
      </c>
      <c r="J4590" s="206" t="s">
        <v>121</v>
      </c>
      <c r="K4590" s="206" t="s">
        <v>121</v>
      </c>
      <c r="L4590" s="206" t="str">
        <v/>
      </c>
      <c r="M4590" s="206" t="str">
        <v/>
      </c>
    </row>
    <row r="4591" spans="1:13" ht="14.4">
      <c r="A4591" s="201"/>
      <c r="B4591" s="209"/>
      <c r="C4591" s="201"/>
      <c r="D4591" s="201"/>
      <c r="E4591" s="202"/>
      <c r="F4591" s="210"/>
      <c r="G4591" s="210"/>
      <c r="H4591" s="206" t="s">
        <v>121</v>
      </c>
      <c r="I4591" s="206" t="s">
        <v>121</v>
      </c>
      <c r="J4591" s="206" t="s">
        <v>121</v>
      </c>
      <c r="K4591" s="206" t="s">
        <v>121</v>
      </c>
      <c r="L4591" s="206" t="str">
        <v/>
      </c>
      <c r="M4591" s="206" t="str">
        <v/>
      </c>
    </row>
    <row r="4592" spans="1:13" ht="14.4">
      <c r="A4592" s="201"/>
      <c r="B4592" s="209"/>
      <c r="C4592" s="201"/>
      <c r="D4592" s="201"/>
      <c r="E4592" s="202"/>
      <c r="F4592" s="210"/>
      <c r="G4592" s="210"/>
      <c r="H4592" s="206" t="s">
        <v>121</v>
      </c>
      <c r="I4592" s="206" t="s">
        <v>121</v>
      </c>
      <c r="J4592" s="206" t="s">
        <v>121</v>
      </c>
      <c r="K4592" s="206" t="s">
        <v>121</v>
      </c>
      <c r="L4592" s="206" t="str">
        <v/>
      </c>
      <c r="M4592" s="206" t="str">
        <v/>
      </c>
    </row>
    <row r="4593" spans="1:13" ht="14.4">
      <c r="A4593" s="201"/>
      <c r="B4593" s="209"/>
      <c r="C4593" s="201"/>
      <c r="D4593" s="201"/>
      <c r="E4593" s="202"/>
      <c r="F4593" s="210"/>
      <c r="G4593" s="210"/>
      <c r="H4593" s="206" t="s">
        <v>121</v>
      </c>
      <c r="I4593" s="206" t="s">
        <v>121</v>
      </c>
      <c r="J4593" s="206" t="s">
        <v>121</v>
      </c>
      <c r="K4593" s="206" t="s">
        <v>121</v>
      </c>
      <c r="L4593" s="206" t="str">
        <v/>
      </c>
      <c r="M4593" s="206" t="str">
        <v/>
      </c>
    </row>
    <row r="4594" spans="1:13" ht="14.4">
      <c r="A4594" s="201"/>
      <c r="B4594" s="209"/>
      <c r="C4594" s="201"/>
      <c r="D4594" s="201"/>
      <c r="E4594" s="202"/>
      <c r="F4594" s="210"/>
      <c r="G4594" s="210"/>
      <c r="H4594" s="206" t="s">
        <v>121</v>
      </c>
      <c r="I4594" s="206" t="s">
        <v>121</v>
      </c>
      <c r="J4594" s="206" t="s">
        <v>121</v>
      </c>
      <c r="K4594" s="206" t="s">
        <v>121</v>
      </c>
      <c r="L4594" s="206" t="str">
        <v/>
      </c>
      <c r="M4594" s="206" t="str">
        <v/>
      </c>
    </row>
    <row r="4595" spans="1:13" ht="14.4">
      <c r="A4595" s="201"/>
      <c r="B4595" s="209"/>
      <c r="C4595" s="201"/>
      <c r="D4595" s="201"/>
      <c r="E4595" s="202"/>
      <c r="F4595" s="210"/>
      <c r="G4595" s="210"/>
      <c r="H4595" s="206" t="s">
        <v>121</v>
      </c>
      <c r="I4595" s="206" t="s">
        <v>121</v>
      </c>
      <c r="J4595" s="206" t="s">
        <v>121</v>
      </c>
      <c r="K4595" s="206" t="s">
        <v>121</v>
      </c>
      <c r="L4595" s="206" t="str">
        <v/>
      </c>
      <c r="M4595" s="206" t="str">
        <v/>
      </c>
    </row>
    <row r="4596" spans="1:13" ht="14.4">
      <c r="A4596" s="201"/>
      <c r="B4596" s="209"/>
      <c r="C4596" s="201"/>
      <c r="D4596" s="201"/>
      <c r="E4596" s="202"/>
      <c r="F4596" s="210"/>
      <c r="G4596" s="210"/>
      <c r="H4596" s="206" t="s">
        <v>121</v>
      </c>
      <c r="I4596" s="206" t="s">
        <v>121</v>
      </c>
      <c r="J4596" s="206" t="s">
        <v>121</v>
      </c>
      <c r="K4596" s="206" t="s">
        <v>121</v>
      </c>
      <c r="L4596" s="206" t="str">
        <v/>
      </c>
      <c r="M4596" s="206" t="str">
        <v/>
      </c>
    </row>
    <row r="4597" spans="1:13" ht="14.4">
      <c r="A4597" s="201"/>
      <c r="B4597" s="209"/>
      <c r="C4597" s="201"/>
      <c r="D4597" s="201"/>
      <c r="E4597" s="202"/>
      <c r="F4597" s="210"/>
      <c r="G4597" s="210"/>
      <c r="H4597" s="206" t="s">
        <v>121</v>
      </c>
      <c r="I4597" s="206" t="s">
        <v>121</v>
      </c>
      <c r="J4597" s="206" t="s">
        <v>121</v>
      </c>
      <c r="K4597" s="206" t="s">
        <v>121</v>
      </c>
      <c r="L4597" s="206" t="str">
        <v/>
      </c>
      <c r="M4597" s="206" t="str">
        <v/>
      </c>
    </row>
    <row r="4598" spans="1:13" ht="14.4">
      <c r="A4598" s="201"/>
      <c r="B4598" s="209"/>
      <c r="C4598" s="201"/>
      <c r="D4598" s="201"/>
      <c r="E4598" s="202"/>
      <c r="F4598" s="210"/>
      <c r="G4598" s="210"/>
      <c r="H4598" s="206" t="s">
        <v>121</v>
      </c>
      <c r="I4598" s="206" t="s">
        <v>121</v>
      </c>
      <c r="J4598" s="206" t="s">
        <v>121</v>
      </c>
      <c r="K4598" s="206" t="s">
        <v>121</v>
      </c>
      <c r="L4598" s="206" t="str">
        <v/>
      </c>
      <c r="M4598" s="206" t="str">
        <v/>
      </c>
    </row>
    <row r="4599" spans="1:13" ht="14.4">
      <c r="A4599" s="201"/>
      <c r="B4599" s="209"/>
      <c r="C4599" s="201"/>
      <c r="D4599" s="201"/>
      <c r="E4599" s="202"/>
      <c r="F4599" s="210"/>
      <c r="G4599" s="210"/>
      <c r="H4599" s="206" t="s">
        <v>121</v>
      </c>
      <c r="I4599" s="206" t="s">
        <v>121</v>
      </c>
      <c r="J4599" s="206" t="s">
        <v>121</v>
      </c>
      <c r="K4599" s="206" t="s">
        <v>121</v>
      </c>
      <c r="L4599" s="206" t="str">
        <v/>
      </c>
      <c r="M4599" s="206" t="str">
        <v/>
      </c>
    </row>
    <row r="4600" spans="1:13" ht="14.4">
      <c r="A4600" s="201"/>
      <c r="B4600" s="209"/>
      <c r="C4600" s="201"/>
      <c r="D4600" s="201"/>
      <c r="E4600" s="202"/>
      <c r="F4600" s="210"/>
      <c r="G4600" s="210"/>
      <c r="H4600" s="206" t="s">
        <v>121</v>
      </c>
      <c r="I4600" s="206" t="s">
        <v>121</v>
      </c>
      <c r="J4600" s="206" t="s">
        <v>121</v>
      </c>
      <c r="K4600" s="206" t="s">
        <v>121</v>
      </c>
      <c r="L4600" s="206" t="str">
        <v/>
      </c>
      <c r="M4600" s="206" t="str">
        <v/>
      </c>
    </row>
    <row r="4601" spans="1:13" ht="14.4">
      <c r="A4601" s="201"/>
      <c r="B4601" s="209"/>
      <c r="C4601" s="201"/>
      <c r="D4601" s="201"/>
      <c r="E4601" s="202"/>
      <c r="F4601" s="210"/>
      <c r="G4601" s="210"/>
      <c r="H4601" s="206" t="s">
        <v>121</v>
      </c>
      <c r="I4601" s="206" t="s">
        <v>121</v>
      </c>
      <c r="J4601" s="206" t="s">
        <v>121</v>
      </c>
      <c r="K4601" s="206" t="s">
        <v>121</v>
      </c>
      <c r="L4601" s="206" t="str">
        <v/>
      </c>
      <c r="M4601" s="206" t="str">
        <v/>
      </c>
    </row>
    <row r="4602" spans="1:13" ht="14.4">
      <c r="A4602" s="201"/>
      <c r="B4602" s="209"/>
      <c r="C4602" s="201"/>
      <c r="D4602" s="201"/>
      <c r="E4602" s="202"/>
      <c r="F4602" s="210"/>
      <c r="G4602" s="210"/>
      <c r="H4602" s="206" t="s">
        <v>121</v>
      </c>
      <c r="I4602" s="206" t="s">
        <v>121</v>
      </c>
      <c r="J4602" s="206" t="s">
        <v>121</v>
      </c>
      <c r="K4602" s="206" t="s">
        <v>121</v>
      </c>
      <c r="L4602" s="206" t="str">
        <v/>
      </c>
      <c r="M4602" s="206" t="str">
        <v/>
      </c>
    </row>
    <row r="4603" spans="1:13" ht="14.4">
      <c r="A4603" s="201"/>
      <c r="B4603" s="209"/>
      <c r="C4603" s="201"/>
      <c r="D4603" s="201"/>
      <c r="E4603" s="202"/>
      <c r="F4603" s="210"/>
      <c r="G4603" s="210"/>
      <c r="H4603" s="206" t="s">
        <v>121</v>
      </c>
      <c r="I4603" s="206" t="s">
        <v>121</v>
      </c>
      <c r="J4603" s="206" t="s">
        <v>121</v>
      </c>
      <c r="K4603" s="206" t="s">
        <v>121</v>
      </c>
      <c r="L4603" s="206" t="str">
        <v/>
      </c>
      <c r="M4603" s="206" t="str">
        <v/>
      </c>
    </row>
    <row r="4604" spans="1:13" ht="14.4">
      <c r="A4604" s="201"/>
      <c r="B4604" s="209"/>
      <c r="C4604" s="201"/>
      <c r="D4604" s="201"/>
      <c r="E4604" s="202"/>
      <c r="F4604" s="210"/>
      <c r="G4604" s="210"/>
      <c r="H4604" s="206" t="s">
        <v>121</v>
      </c>
      <c r="I4604" s="206" t="s">
        <v>121</v>
      </c>
      <c r="J4604" s="206" t="s">
        <v>121</v>
      </c>
      <c r="K4604" s="206" t="s">
        <v>121</v>
      </c>
      <c r="L4604" s="206" t="str">
        <v/>
      </c>
      <c r="M4604" s="206" t="str">
        <v/>
      </c>
    </row>
    <row r="4605" spans="1:13" ht="14.4">
      <c r="A4605" s="201"/>
      <c r="B4605" s="209"/>
      <c r="C4605" s="201"/>
      <c r="D4605" s="201"/>
      <c r="E4605" s="202"/>
      <c r="F4605" s="210"/>
      <c r="G4605" s="210"/>
      <c r="H4605" s="206" t="s">
        <v>121</v>
      </c>
      <c r="I4605" s="206" t="s">
        <v>121</v>
      </c>
      <c r="J4605" s="206" t="s">
        <v>121</v>
      </c>
      <c r="K4605" s="206" t="s">
        <v>121</v>
      </c>
      <c r="L4605" s="206" t="str">
        <v/>
      </c>
      <c r="M4605" s="206" t="str">
        <v/>
      </c>
    </row>
    <row r="4606" spans="1:13" ht="14.4">
      <c r="A4606" s="201"/>
      <c r="B4606" s="209"/>
      <c r="C4606" s="201"/>
      <c r="D4606" s="201"/>
      <c r="E4606" s="202"/>
      <c r="F4606" s="210"/>
      <c r="G4606" s="210"/>
      <c r="H4606" s="206" t="s">
        <v>121</v>
      </c>
      <c r="I4606" s="206" t="s">
        <v>121</v>
      </c>
      <c r="J4606" s="206" t="s">
        <v>121</v>
      </c>
      <c r="K4606" s="206" t="s">
        <v>121</v>
      </c>
      <c r="L4606" s="206" t="str">
        <v/>
      </c>
      <c r="M4606" s="206" t="str">
        <v/>
      </c>
    </row>
    <row r="4607" spans="1:13" ht="14.4">
      <c r="A4607" s="201"/>
      <c r="B4607" s="209"/>
      <c r="C4607" s="201"/>
      <c r="D4607" s="201"/>
      <c r="E4607" s="202"/>
      <c r="F4607" s="210"/>
      <c r="G4607" s="210"/>
      <c r="H4607" s="206" t="s">
        <v>121</v>
      </c>
      <c r="I4607" s="206" t="s">
        <v>121</v>
      </c>
      <c r="J4607" s="206" t="s">
        <v>121</v>
      </c>
      <c r="K4607" s="206" t="s">
        <v>121</v>
      </c>
      <c r="L4607" s="206" t="str">
        <v/>
      </c>
      <c r="M4607" s="206" t="str">
        <v/>
      </c>
    </row>
    <row r="4608" spans="1:13" ht="14.4">
      <c r="A4608" s="201"/>
      <c r="B4608" s="209"/>
      <c r="C4608" s="201"/>
      <c r="D4608" s="201"/>
      <c r="E4608" s="202"/>
      <c r="F4608" s="210"/>
      <c r="G4608" s="210"/>
      <c r="H4608" s="206" t="s">
        <v>121</v>
      </c>
      <c r="I4608" s="206" t="s">
        <v>121</v>
      </c>
      <c r="J4608" s="206" t="s">
        <v>121</v>
      </c>
      <c r="K4608" s="206" t="s">
        <v>121</v>
      </c>
      <c r="L4608" s="206" t="str">
        <v/>
      </c>
      <c r="M4608" s="206" t="str">
        <v/>
      </c>
    </row>
    <row r="4609" spans="1:13" ht="14.4">
      <c r="A4609" s="201"/>
      <c r="B4609" s="209"/>
      <c r="C4609" s="201"/>
      <c r="D4609" s="201"/>
      <c r="E4609" s="202"/>
      <c r="F4609" s="210"/>
      <c r="G4609" s="210"/>
      <c r="H4609" s="206" t="s">
        <v>121</v>
      </c>
      <c r="I4609" s="206" t="s">
        <v>121</v>
      </c>
      <c r="J4609" s="206" t="s">
        <v>121</v>
      </c>
      <c r="K4609" s="206" t="s">
        <v>121</v>
      </c>
      <c r="L4609" s="206" t="str">
        <v/>
      </c>
      <c r="M4609" s="206" t="str">
        <v/>
      </c>
    </row>
    <row r="4610" spans="1:13" ht="14.4">
      <c r="A4610" s="201"/>
      <c r="B4610" s="209"/>
      <c r="C4610" s="201"/>
      <c r="D4610" s="201"/>
      <c r="E4610" s="202"/>
      <c r="F4610" s="210"/>
      <c r="G4610" s="210"/>
      <c r="H4610" s="206" t="s">
        <v>121</v>
      </c>
      <c r="I4610" s="206" t="s">
        <v>121</v>
      </c>
      <c r="J4610" s="206" t="s">
        <v>121</v>
      </c>
      <c r="K4610" s="206" t="s">
        <v>121</v>
      </c>
      <c r="L4610" s="206" t="str">
        <v/>
      </c>
      <c r="M4610" s="206" t="str">
        <v/>
      </c>
    </row>
    <row r="4611" spans="1:13" ht="14.4">
      <c r="A4611" s="201"/>
      <c r="B4611" s="209"/>
      <c r="C4611" s="201"/>
      <c r="D4611" s="201"/>
      <c r="E4611" s="202"/>
      <c r="F4611" s="210"/>
      <c r="G4611" s="210"/>
      <c r="H4611" s="206" t="s">
        <v>121</v>
      </c>
      <c r="I4611" s="206" t="s">
        <v>121</v>
      </c>
      <c r="J4611" s="206" t="s">
        <v>121</v>
      </c>
      <c r="K4611" s="206" t="s">
        <v>121</v>
      </c>
      <c r="L4611" s="206" t="str">
        <v/>
      </c>
      <c r="M4611" s="206" t="str">
        <v/>
      </c>
    </row>
    <row r="4612" spans="1:13" ht="14.4">
      <c r="A4612" s="201"/>
      <c r="B4612" s="209"/>
      <c r="C4612" s="201"/>
      <c r="D4612" s="201"/>
      <c r="E4612" s="202"/>
      <c r="F4612" s="210"/>
      <c r="G4612" s="210"/>
      <c r="H4612" s="206" t="s">
        <v>121</v>
      </c>
      <c r="I4612" s="206" t="s">
        <v>121</v>
      </c>
      <c r="J4612" s="206" t="s">
        <v>121</v>
      </c>
      <c r="K4612" s="206" t="s">
        <v>121</v>
      </c>
      <c r="L4612" s="206" t="str">
        <v/>
      </c>
      <c r="M4612" s="206" t="str">
        <v/>
      </c>
    </row>
    <row r="4613" spans="1:13" ht="14.4">
      <c r="A4613" s="201"/>
      <c r="B4613" s="209"/>
      <c r="C4613" s="201"/>
      <c r="D4613" s="201"/>
      <c r="E4613" s="202"/>
      <c r="F4613" s="210"/>
      <c r="G4613" s="210"/>
      <c r="H4613" s="206" t="s">
        <v>121</v>
      </c>
      <c r="I4613" s="206" t="s">
        <v>121</v>
      </c>
      <c r="J4613" s="206" t="s">
        <v>121</v>
      </c>
      <c r="K4613" s="206" t="s">
        <v>121</v>
      </c>
      <c r="L4613" s="206" t="str">
        <v/>
      </c>
      <c r="M4613" s="206" t="str">
        <v/>
      </c>
    </row>
    <row r="4614" spans="1:13" ht="14.4">
      <c r="A4614" s="201"/>
      <c r="B4614" s="209"/>
      <c r="C4614" s="201"/>
      <c r="D4614" s="201"/>
      <c r="E4614" s="202"/>
      <c r="F4614" s="210"/>
      <c r="G4614" s="210"/>
      <c r="H4614" s="206" t="s">
        <v>121</v>
      </c>
      <c r="I4614" s="206" t="s">
        <v>121</v>
      </c>
      <c r="J4614" s="206" t="s">
        <v>121</v>
      </c>
      <c r="K4614" s="206" t="s">
        <v>121</v>
      </c>
      <c r="L4614" s="206" t="str">
        <v/>
      </c>
      <c r="M4614" s="206" t="str">
        <v/>
      </c>
    </row>
    <row r="4615" spans="1:13" ht="14.4">
      <c r="A4615" s="201"/>
      <c r="B4615" s="209"/>
      <c r="C4615" s="201"/>
      <c r="D4615" s="201"/>
      <c r="E4615" s="202"/>
      <c r="F4615" s="210"/>
      <c r="G4615" s="210"/>
      <c r="H4615" s="206" t="s">
        <v>121</v>
      </c>
      <c r="I4615" s="206" t="s">
        <v>121</v>
      </c>
      <c r="J4615" s="206" t="s">
        <v>121</v>
      </c>
      <c r="K4615" s="206" t="s">
        <v>121</v>
      </c>
      <c r="L4615" s="206" t="str">
        <v/>
      </c>
      <c r="M4615" s="206" t="str">
        <v/>
      </c>
    </row>
    <row r="4616" spans="1:13" ht="14.4">
      <c r="A4616" s="201"/>
      <c r="B4616" s="209"/>
      <c r="C4616" s="201"/>
      <c r="D4616" s="201"/>
      <c r="E4616" s="202"/>
      <c r="F4616" s="210"/>
      <c r="G4616" s="210"/>
      <c r="H4616" s="206" t="s">
        <v>121</v>
      </c>
      <c r="I4616" s="206" t="s">
        <v>121</v>
      </c>
      <c r="J4616" s="206" t="s">
        <v>121</v>
      </c>
      <c r="K4616" s="206" t="s">
        <v>121</v>
      </c>
      <c r="L4616" s="206" t="str">
        <v/>
      </c>
      <c r="M4616" s="206" t="str">
        <v/>
      </c>
    </row>
    <row r="4617" spans="1:13" ht="14.4">
      <c r="A4617" s="201"/>
      <c r="B4617" s="209"/>
      <c r="C4617" s="201"/>
      <c r="D4617" s="201"/>
      <c r="E4617" s="202"/>
      <c r="F4617" s="210"/>
      <c r="G4617" s="210"/>
      <c r="H4617" s="206" t="s">
        <v>121</v>
      </c>
      <c r="I4617" s="206" t="s">
        <v>121</v>
      </c>
      <c r="J4617" s="206" t="s">
        <v>121</v>
      </c>
      <c r="K4617" s="206" t="s">
        <v>121</v>
      </c>
      <c r="L4617" s="206" t="str">
        <v/>
      </c>
      <c r="M4617" s="206" t="str">
        <v/>
      </c>
    </row>
    <row r="4618" spans="1:13" ht="14.4">
      <c r="A4618" s="201"/>
      <c r="B4618" s="209"/>
      <c r="C4618" s="201"/>
      <c r="D4618" s="201"/>
      <c r="E4618" s="202"/>
      <c r="F4618" s="210"/>
      <c r="G4618" s="210"/>
      <c r="H4618" s="206" t="s">
        <v>121</v>
      </c>
      <c r="I4618" s="206" t="s">
        <v>121</v>
      </c>
      <c r="J4618" s="206" t="s">
        <v>121</v>
      </c>
      <c r="K4618" s="206" t="s">
        <v>121</v>
      </c>
      <c r="L4618" s="206" t="str">
        <v/>
      </c>
      <c r="M4618" s="206" t="str">
        <v/>
      </c>
    </row>
    <row r="4619" spans="1:13" ht="14.4">
      <c r="A4619" s="201"/>
      <c r="B4619" s="209"/>
      <c r="C4619" s="201"/>
      <c r="D4619" s="201"/>
      <c r="E4619" s="202"/>
      <c r="F4619" s="210"/>
      <c r="G4619" s="210"/>
      <c r="H4619" s="206" t="s">
        <v>121</v>
      </c>
      <c r="I4619" s="206" t="s">
        <v>121</v>
      </c>
      <c r="J4619" s="206" t="s">
        <v>121</v>
      </c>
      <c r="K4619" s="206" t="s">
        <v>121</v>
      </c>
      <c r="L4619" s="206" t="str">
        <v/>
      </c>
      <c r="M4619" s="206" t="str">
        <v/>
      </c>
    </row>
    <row r="4620" spans="1:13" ht="14.4">
      <c r="A4620" s="201"/>
      <c r="B4620" s="209"/>
      <c r="C4620" s="201"/>
      <c r="D4620" s="201"/>
      <c r="E4620" s="202"/>
      <c r="F4620" s="210"/>
      <c r="G4620" s="210"/>
      <c r="H4620" s="206" t="s">
        <v>121</v>
      </c>
      <c r="I4620" s="206" t="s">
        <v>121</v>
      </c>
      <c r="J4620" s="206" t="s">
        <v>121</v>
      </c>
      <c r="K4620" s="206" t="s">
        <v>121</v>
      </c>
      <c r="L4620" s="206" t="str">
        <v/>
      </c>
      <c r="M4620" s="206" t="str">
        <v/>
      </c>
    </row>
    <row r="4621" spans="1:13" ht="14.4">
      <c r="A4621" s="201"/>
      <c r="B4621" s="209"/>
      <c r="C4621" s="201"/>
      <c r="D4621" s="201"/>
      <c r="E4621" s="202"/>
      <c r="F4621" s="210"/>
      <c r="G4621" s="210"/>
      <c r="H4621" s="206" t="s">
        <v>121</v>
      </c>
      <c r="I4621" s="206" t="s">
        <v>121</v>
      </c>
      <c r="J4621" s="206" t="s">
        <v>121</v>
      </c>
      <c r="K4621" s="206" t="s">
        <v>121</v>
      </c>
      <c r="L4621" s="206" t="str">
        <v/>
      </c>
      <c r="M4621" s="206" t="str">
        <v/>
      </c>
    </row>
    <row r="4622" spans="1:13" ht="14.4">
      <c r="A4622" s="201"/>
      <c r="B4622" s="209"/>
      <c r="C4622" s="201"/>
      <c r="D4622" s="201"/>
      <c r="E4622" s="202"/>
      <c r="F4622" s="210"/>
      <c r="G4622" s="210"/>
      <c r="H4622" s="206" t="s">
        <v>121</v>
      </c>
      <c r="I4622" s="206" t="s">
        <v>121</v>
      </c>
      <c r="J4622" s="206" t="s">
        <v>121</v>
      </c>
      <c r="K4622" s="206" t="s">
        <v>121</v>
      </c>
      <c r="L4622" s="206" t="str">
        <v/>
      </c>
      <c r="M4622" s="206" t="str">
        <v/>
      </c>
    </row>
    <row r="4623" spans="1:13" ht="14.4">
      <c r="A4623" s="201"/>
      <c r="B4623" s="209"/>
      <c r="C4623" s="201"/>
      <c r="D4623" s="201"/>
      <c r="E4623" s="202"/>
      <c r="F4623" s="210"/>
      <c r="G4623" s="210"/>
      <c r="H4623" s="206" t="s">
        <v>121</v>
      </c>
      <c r="I4623" s="206" t="s">
        <v>121</v>
      </c>
      <c r="J4623" s="206" t="s">
        <v>121</v>
      </c>
      <c r="K4623" s="206" t="s">
        <v>121</v>
      </c>
      <c r="L4623" s="206" t="str">
        <v/>
      </c>
      <c r="M4623" s="206" t="str">
        <v/>
      </c>
    </row>
    <row r="4624" spans="1:13" ht="14.4">
      <c r="A4624" s="201"/>
      <c r="B4624" s="209"/>
      <c r="C4624" s="201"/>
      <c r="D4624" s="201"/>
      <c r="E4624" s="202"/>
      <c r="F4624" s="210"/>
      <c r="G4624" s="210"/>
      <c r="H4624" s="206" t="s">
        <v>121</v>
      </c>
      <c r="I4624" s="206" t="s">
        <v>121</v>
      </c>
      <c r="J4624" s="206" t="s">
        <v>121</v>
      </c>
      <c r="K4624" s="206" t="s">
        <v>121</v>
      </c>
      <c r="L4624" s="206" t="str">
        <v/>
      </c>
      <c r="M4624" s="206" t="str">
        <v/>
      </c>
    </row>
    <row r="4625" spans="1:13" ht="14.4">
      <c r="A4625" s="201"/>
      <c r="B4625" s="209"/>
      <c r="C4625" s="201"/>
      <c r="D4625" s="201"/>
      <c r="E4625" s="202"/>
      <c r="F4625" s="210"/>
      <c r="G4625" s="210"/>
      <c r="H4625" s="206" t="s">
        <v>121</v>
      </c>
      <c r="I4625" s="206" t="s">
        <v>121</v>
      </c>
      <c r="J4625" s="206" t="s">
        <v>121</v>
      </c>
      <c r="K4625" s="206" t="s">
        <v>121</v>
      </c>
      <c r="L4625" s="206" t="str">
        <v/>
      </c>
      <c r="M4625" s="206" t="str">
        <v/>
      </c>
    </row>
    <row r="4626" spans="1:13" ht="14.4">
      <c r="A4626" s="201"/>
      <c r="B4626" s="209"/>
      <c r="C4626" s="201"/>
      <c r="D4626" s="201"/>
      <c r="E4626" s="202"/>
      <c r="F4626" s="210"/>
      <c r="G4626" s="210"/>
      <c r="H4626" s="206" t="s">
        <v>121</v>
      </c>
      <c r="I4626" s="206" t="s">
        <v>121</v>
      </c>
      <c r="J4626" s="206" t="s">
        <v>121</v>
      </c>
      <c r="K4626" s="206" t="s">
        <v>121</v>
      </c>
      <c r="L4626" s="206" t="str">
        <v/>
      </c>
      <c r="M4626" s="206" t="str">
        <v/>
      </c>
    </row>
    <row r="4627" spans="1:13" ht="14.4">
      <c r="A4627" s="201"/>
      <c r="B4627" s="209"/>
      <c r="C4627" s="201"/>
      <c r="D4627" s="201"/>
      <c r="E4627" s="202"/>
      <c r="F4627" s="210"/>
      <c r="G4627" s="210"/>
      <c r="H4627" s="206" t="s">
        <v>121</v>
      </c>
      <c r="I4627" s="206" t="s">
        <v>121</v>
      </c>
      <c r="J4627" s="206" t="s">
        <v>121</v>
      </c>
      <c r="K4627" s="206" t="s">
        <v>121</v>
      </c>
      <c r="L4627" s="206" t="str">
        <v/>
      </c>
      <c r="M4627" s="206" t="str">
        <v/>
      </c>
    </row>
    <row r="4628" spans="1:13" ht="14.4">
      <c r="A4628" s="201"/>
      <c r="B4628" s="209"/>
      <c r="C4628" s="201"/>
      <c r="D4628" s="201"/>
      <c r="E4628" s="202"/>
      <c r="F4628" s="210"/>
      <c r="G4628" s="210"/>
      <c r="H4628" s="206" t="s">
        <v>121</v>
      </c>
      <c r="I4628" s="206" t="s">
        <v>121</v>
      </c>
      <c r="J4628" s="206" t="s">
        <v>121</v>
      </c>
      <c r="K4628" s="206" t="s">
        <v>121</v>
      </c>
      <c r="L4628" s="206" t="str">
        <v/>
      </c>
      <c r="M4628" s="206" t="str">
        <v/>
      </c>
    </row>
    <row r="4629" spans="1:13" ht="14.4">
      <c r="A4629" s="201"/>
      <c r="B4629" s="209"/>
      <c r="C4629" s="201"/>
      <c r="D4629" s="201"/>
      <c r="E4629" s="202"/>
      <c r="F4629" s="210"/>
      <c r="G4629" s="210"/>
      <c r="H4629" s="206" t="s">
        <v>121</v>
      </c>
      <c r="I4629" s="206" t="s">
        <v>121</v>
      </c>
      <c r="J4629" s="206" t="s">
        <v>121</v>
      </c>
      <c r="K4629" s="206" t="s">
        <v>121</v>
      </c>
      <c r="L4629" s="206" t="str">
        <v/>
      </c>
      <c r="M4629" s="206" t="str">
        <v/>
      </c>
    </row>
    <row r="4630" spans="1:13" ht="14.4">
      <c r="A4630" s="201"/>
      <c r="B4630" s="209"/>
      <c r="C4630" s="201"/>
      <c r="D4630" s="201"/>
      <c r="E4630" s="202"/>
      <c r="F4630" s="210"/>
      <c r="G4630" s="210"/>
      <c r="H4630" s="206" t="s">
        <v>121</v>
      </c>
      <c r="I4630" s="206" t="s">
        <v>121</v>
      </c>
      <c r="J4630" s="206" t="s">
        <v>121</v>
      </c>
      <c r="K4630" s="206" t="s">
        <v>121</v>
      </c>
      <c r="L4630" s="206" t="str">
        <v/>
      </c>
      <c r="M4630" s="206" t="str">
        <v/>
      </c>
    </row>
    <row r="4631" spans="1:13" ht="14.4">
      <c r="A4631" s="201"/>
      <c r="B4631" s="209"/>
      <c r="C4631" s="201"/>
      <c r="D4631" s="201"/>
      <c r="E4631" s="202"/>
      <c r="F4631" s="210"/>
      <c r="G4631" s="210"/>
      <c r="H4631" s="206" t="s">
        <v>121</v>
      </c>
      <c r="I4631" s="206" t="s">
        <v>121</v>
      </c>
      <c r="J4631" s="206" t="s">
        <v>121</v>
      </c>
      <c r="K4631" s="206" t="s">
        <v>121</v>
      </c>
      <c r="L4631" s="206" t="str">
        <v/>
      </c>
      <c r="M4631" s="206" t="str">
        <v/>
      </c>
    </row>
    <row r="4632" spans="1:13" ht="14.4">
      <c r="A4632" s="201"/>
      <c r="B4632" s="209"/>
      <c r="C4632" s="201"/>
      <c r="D4632" s="201"/>
      <c r="E4632" s="202"/>
      <c r="F4632" s="210"/>
      <c r="G4632" s="210"/>
      <c r="H4632" s="206" t="s">
        <v>121</v>
      </c>
      <c r="I4632" s="206" t="s">
        <v>121</v>
      </c>
      <c r="J4632" s="206" t="s">
        <v>121</v>
      </c>
      <c r="K4632" s="206" t="s">
        <v>121</v>
      </c>
      <c r="L4632" s="206" t="str">
        <v/>
      </c>
      <c r="M4632" s="206" t="str">
        <v/>
      </c>
    </row>
    <row r="4633" spans="1:13" ht="14.4">
      <c r="A4633" s="201"/>
      <c r="B4633" s="209"/>
      <c r="C4633" s="201"/>
      <c r="D4633" s="201"/>
      <c r="E4633" s="202"/>
      <c r="F4633" s="210"/>
      <c r="G4633" s="210"/>
      <c r="H4633" s="206" t="s">
        <v>121</v>
      </c>
      <c r="I4633" s="206" t="s">
        <v>121</v>
      </c>
      <c r="J4633" s="206" t="s">
        <v>121</v>
      </c>
      <c r="K4633" s="206" t="s">
        <v>121</v>
      </c>
      <c r="L4633" s="206" t="str">
        <v/>
      </c>
      <c r="M4633" s="206" t="str">
        <v/>
      </c>
    </row>
    <row r="4634" spans="1:13" ht="14.4">
      <c r="A4634" s="201"/>
      <c r="B4634" s="209"/>
      <c r="C4634" s="201"/>
      <c r="D4634" s="201"/>
      <c r="E4634" s="202"/>
      <c r="F4634" s="210"/>
      <c r="G4634" s="210"/>
      <c r="H4634" s="206" t="s">
        <v>121</v>
      </c>
      <c r="I4634" s="206" t="s">
        <v>121</v>
      </c>
      <c r="J4634" s="206" t="s">
        <v>121</v>
      </c>
      <c r="K4634" s="206" t="s">
        <v>121</v>
      </c>
      <c r="L4634" s="206" t="str">
        <v/>
      </c>
      <c r="M4634" s="206" t="str">
        <v/>
      </c>
    </row>
    <row r="4635" spans="1:13" ht="14.4">
      <c r="A4635" s="201"/>
      <c r="B4635" s="209"/>
      <c r="C4635" s="201"/>
      <c r="D4635" s="201"/>
      <c r="E4635" s="202"/>
      <c r="F4635" s="210"/>
      <c r="G4635" s="210"/>
      <c r="H4635" s="206" t="s">
        <v>121</v>
      </c>
      <c r="I4635" s="206" t="s">
        <v>121</v>
      </c>
      <c r="J4635" s="206" t="s">
        <v>121</v>
      </c>
      <c r="K4635" s="206" t="s">
        <v>121</v>
      </c>
      <c r="L4635" s="206" t="str">
        <v/>
      </c>
      <c r="M4635" s="206" t="str">
        <v/>
      </c>
    </row>
    <row r="4636" spans="1:13" ht="14.4">
      <c r="A4636" s="201"/>
      <c r="B4636" s="209"/>
      <c r="C4636" s="201"/>
      <c r="D4636" s="201"/>
      <c r="E4636" s="202"/>
      <c r="F4636" s="210"/>
      <c r="G4636" s="210"/>
      <c r="H4636" s="206" t="s">
        <v>121</v>
      </c>
      <c r="I4636" s="206" t="s">
        <v>121</v>
      </c>
      <c r="J4636" s="206" t="s">
        <v>121</v>
      </c>
      <c r="K4636" s="206" t="s">
        <v>121</v>
      </c>
      <c r="L4636" s="206" t="str">
        <v/>
      </c>
      <c r="M4636" s="206" t="str">
        <v/>
      </c>
    </row>
    <row r="4637" spans="1:13" ht="14.4">
      <c r="A4637" s="201"/>
      <c r="B4637" s="209"/>
      <c r="C4637" s="201"/>
      <c r="D4637" s="201"/>
      <c r="E4637" s="202"/>
      <c r="F4637" s="210"/>
      <c r="G4637" s="210"/>
      <c r="H4637" s="206" t="s">
        <v>121</v>
      </c>
      <c r="I4637" s="206" t="s">
        <v>121</v>
      </c>
      <c r="J4637" s="206" t="s">
        <v>121</v>
      </c>
      <c r="K4637" s="206" t="s">
        <v>121</v>
      </c>
      <c r="L4637" s="206" t="str">
        <v/>
      </c>
      <c r="M4637" s="206" t="str">
        <v/>
      </c>
    </row>
    <row r="4638" spans="1:13" ht="14.4">
      <c r="A4638" s="201"/>
      <c r="B4638" s="209"/>
      <c r="C4638" s="201"/>
      <c r="D4638" s="201"/>
      <c r="E4638" s="202"/>
      <c r="F4638" s="210"/>
      <c r="G4638" s="210"/>
      <c r="H4638" s="206" t="s">
        <v>121</v>
      </c>
      <c r="I4638" s="206" t="s">
        <v>121</v>
      </c>
      <c r="J4638" s="206" t="s">
        <v>121</v>
      </c>
      <c r="K4638" s="206" t="s">
        <v>121</v>
      </c>
      <c r="L4638" s="206" t="str">
        <v/>
      </c>
      <c r="M4638" s="206" t="str">
        <v/>
      </c>
    </row>
    <row r="4639" spans="1:13" ht="14.4">
      <c r="A4639" s="201"/>
      <c r="B4639" s="209"/>
      <c r="C4639" s="201"/>
      <c r="D4639" s="201"/>
      <c r="E4639" s="202"/>
      <c r="F4639" s="210"/>
      <c r="G4639" s="210"/>
      <c r="H4639" s="206" t="s">
        <v>121</v>
      </c>
      <c r="I4639" s="206" t="s">
        <v>121</v>
      </c>
      <c r="J4639" s="206" t="s">
        <v>121</v>
      </c>
      <c r="K4639" s="206" t="s">
        <v>121</v>
      </c>
      <c r="L4639" s="206" t="str">
        <v/>
      </c>
      <c r="M4639" s="206" t="str">
        <v/>
      </c>
    </row>
    <row r="4640" spans="1:13" ht="14.4">
      <c r="A4640" s="201"/>
      <c r="B4640" s="209"/>
      <c r="C4640" s="201"/>
      <c r="D4640" s="201"/>
      <c r="E4640" s="202"/>
      <c r="F4640" s="210"/>
      <c r="G4640" s="210"/>
      <c r="H4640" s="206" t="s">
        <v>121</v>
      </c>
      <c r="I4640" s="206" t="s">
        <v>121</v>
      </c>
      <c r="J4640" s="206" t="s">
        <v>121</v>
      </c>
      <c r="K4640" s="206" t="s">
        <v>121</v>
      </c>
      <c r="L4640" s="206" t="str">
        <v/>
      </c>
      <c r="M4640" s="206" t="str">
        <v/>
      </c>
    </row>
    <row r="4641" spans="1:13" ht="14.4">
      <c r="A4641" s="201"/>
      <c r="B4641" s="209"/>
      <c r="C4641" s="201"/>
      <c r="D4641" s="201"/>
      <c r="E4641" s="202"/>
      <c r="F4641" s="210"/>
      <c r="G4641" s="210"/>
      <c r="H4641" s="206" t="s">
        <v>121</v>
      </c>
      <c r="I4641" s="206" t="s">
        <v>121</v>
      </c>
      <c r="J4641" s="206" t="s">
        <v>121</v>
      </c>
      <c r="K4641" s="206" t="s">
        <v>121</v>
      </c>
      <c r="L4641" s="206" t="str">
        <v/>
      </c>
      <c r="M4641" s="206" t="str">
        <v/>
      </c>
    </row>
    <row r="4642" spans="1:13" ht="14.4">
      <c r="A4642" s="201"/>
      <c r="B4642" s="209"/>
      <c r="C4642" s="201"/>
      <c r="D4642" s="201"/>
      <c r="E4642" s="202"/>
      <c r="F4642" s="210"/>
      <c r="G4642" s="210"/>
      <c r="H4642" s="206" t="s">
        <v>121</v>
      </c>
      <c r="I4642" s="206" t="s">
        <v>121</v>
      </c>
      <c r="J4642" s="206" t="s">
        <v>121</v>
      </c>
      <c r="K4642" s="206" t="s">
        <v>121</v>
      </c>
      <c r="L4642" s="206" t="str">
        <v/>
      </c>
      <c r="M4642" s="206" t="str">
        <v/>
      </c>
    </row>
    <row r="4643" spans="1:13" ht="14.4">
      <c r="A4643" s="201"/>
      <c r="B4643" s="209"/>
      <c r="C4643" s="201"/>
      <c r="D4643" s="201"/>
      <c r="E4643" s="202"/>
      <c r="F4643" s="210"/>
      <c r="G4643" s="210"/>
      <c r="H4643" s="206" t="s">
        <v>121</v>
      </c>
      <c r="I4643" s="206" t="s">
        <v>121</v>
      </c>
      <c r="J4643" s="206" t="s">
        <v>121</v>
      </c>
      <c r="K4643" s="206" t="s">
        <v>121</v>
      </c>
      <c r="L4643" s="206" t="str">
        <v/>
      </c>
      <c r="M4643" s="206" t="str">
        <v/>
      </c>
    </row>
    <row r="4644" spans="1:13" ht="14.4">
      <c r="A4644" s="201"/>
      <c r="B4644" s="209"/>
      <c r="C4644" s="201"/>
      <c r="D4644" s="201"/>
      <c r="E4644" s="202"/>
      <c r="F4644" s="210"/>
      <c r="G4644" s="210"/>
      <c r="H4644" s="206" t="s">
        <v>121</v>
      </c>
      <c r="I4644" s="206" t="s">
        <v>121</v>
      </c>
      <c r="J4644" s="206" t="s">
        <v>121</v>
      </c>
      <c r="K4644" s="206" t="s">
        <v>121</v>
      </c>
      <c r="L4644" s="206" t="str">
        <v/>
      </c>
      <c r="M4644" s="206" t="str">
        <v/>
      </c>
    </row>
    <row r="4645" spans="1:13" ht="14.4">
      <c r="A4645" s="201"/>
      <c r="B4645" s="209"/>
      <c r="C4645" s="201"/>
      <c r="D4645" s="201"/>
      <c r="E4645" s="202"/>
      <c r="F4645" s="210"/>
      <c r="G4645" s="210"/>
      <c r="H4645" s="206" t="s">
        <v>121</v>
      </c>
      <c r="I4645" s="206" t="s">
        <v>121</v>
      </c>
      <c r="J4645" s="206" t="s">
        <v>121</v>
      </c>
      <c r="K4645" s="206" t="s">
        <v>121</v>
      </c>
      <c r="L4645" s="206" t="str">
        <v/>
      </c>
      <c r="M4645" s="206" t="str">
        <v/>
      </c>
    </row>
    <row r="4646" spans="1:13" ht="14.4">
      <c r="A4646" s="201"/>
      <c r="B4646" s="209"/>
      <c r="C4646" s="201"/>
      <c r="D4646" s="201"/>
      <c r="E4646" s="202"/>
      <c r="F4646" s="210"/>
      <c r="G4646" s="210"/>
      <c r="H4646" s="206" t="s">
        <v>121</v>
      </c>
      <c r="I4646" s="206" t="s">
        <v>121</v>
      </c>
      <c r="J4646" s="206" t="s">
        <v>121</v>
      </c>
      <c r="K4646" s="206" t="s">
        <v>121</v>
      </c>
      <c r="L4646" s="206" t="str">
        <v/>
      </c>
      <c r="M4646" s="206" t="str">
        <v/>
      </c>
    </row>
    <row r="4647" spans="1:13" ht="14.4">
      <c r="A4647" s="201"/>
      <c r="B4647" s="209"/>
      <c r="C4647" s="201"/>
      <c r="D4647" s="201"/>
      <c r="E4647" s="202"/>
      <c r="F4647" s="210"/>
      <c r="G4647" s="210"/>
      <c r="H4647" s="206" t="s">
        <v>121</v>
      </c>
      <c r="I4647" s="206" t="s">
        <v>121</v>
      </c>
      <c r="J4647" s="206" t="s">
        <v>121</v>
      </c>
      <c r="K4647" s="206" t="s">
        <v>121</v>
      </c>
      <c r="L4647" s="206" t="str">
        <v/>
      </c>
      <c r="M4647" s="206" t="str">
        <v/>
      </c>
    </row>
    <row r="4648" spans="1:13" ht="14.4">
      <c r="A4648" s="201"/>
      <c r="B4648" s="209"/>
      <c r="C4648" s="201"/>
      <c r="D4648" s="201"/>
      <c r="E4648" s="202"/>
      <c r="F4648" s="210"/>
      <c r="G4648" s="210"/>
      <c r="H4648" s="206" t="s">
        <v>121</v>
      </c>
      <c r="I4648" s="206" t="s">
        <v>121</v>
      </c>
      <c r="J4648" s="206" t="s">
        <v>121</v>
      </c>
      <c r="K4648" s="206" t="s">
        <v>121</v>
      </c>
      <c r="L4648" s="206" t="str">
        <v/>
      </c>
      <c r="M4648" s="206" t="str">
        <v/>
      </c>
    </row>
    <row r="4649" spans="1:13" ht="14.4">
      <c r="A4649" s="201"/>
      <c r="B4649" s="209"/>
      <c r="C4649" s="201"/>
      <c r="D4649" s="201"/>
      <c r="E4649" s="202"/>
      <c r="F4649" s="210"/>
      <c r="G4649" s="210"/>
      <c r="H4649" s="206" t="s">
        <v>121</v>
      </c>
      <c r="I4649" s="206" t="s">
        <v>121</v>
      </c>
      <c r="J4649" s="206" t="s">
        <v>121</v>
      </c>
      <c r="K4649" s="206" t="s">
        <v>121</v>
      </c>
      <c r="L4649" s="206" t="str">
        <v/>
      </c>
      <c r="M4649" s="206" t="str">
        <v/>
      </c>
    </row>
    <row r="4650" spans="1:13" ht="14.4">
      <c r="A4650" s="201"/>
      <c r="B4650" s="209"/>
      <c r="C4650" s="201"/>
      <c r="D4650" s="201"/>
      <c r="E4650" s="202"/>
      <c r="F4650" s="210"/>
      <c r="G4650" s="210"/>
      <c r="H4650" s="206" t="s">
        <v>121</v>
      </c>
      <c r="I4650" s="206" t="s">
        <v>121</v>
      </c>
      <c r="J4650" s="206" t="s">
        <v>121</v>
      </c>
      <c r="K4650" s="206" t="s">
        <v>121</v>
      </c>
      <c r="L4650" s="206" t="str">
        <v/>
      </c>
      <c r="M4650" s="206" t="str">
        <v/>
      </c>
    </row>
    <row r="4651" spans="1:13" ht="14.4">
      <c r="A4651" s="201"/>
      <c r="B4651" s="209"/>
      <c r="C4651" s="201"/>
      <c r="D4651" s="201"/>
      <c r="E4651" s="202"/>
      <c r="F4651" s="210"/>
      <c r="G4651" s="210"/>
      <c r="H4651" s="206" t="s">
        <v>121</v>
      </c>
      <c r="I4651" s="206" t="s">
        <v>121</v>
      </c>
      <c r="J4651" s="206" t="s">
        <v>121</v>
      </c>
      <c r="K4651" s="206" t="s">
        <v>121</v>
      </c>
      <c r="L4651" s="206" t="str">
        <v/>
      </c>
      <c r="M4651" s="206" t="str">
        <v/>
      </c>
    </row>
    <row r="4652" spans="1:13" ht="14.4">
      <c r="A4652" s="201"/>
      <c r="B4652" s="209"/>
      <c r="C4652" s="201"/>
      <c r="D4652" s="201"/>
      <c r="E4652" s="202"/>
      <c r="F4652" s="210"/>
      <c r="G4652" s="210"/>
      <c r="H4652" s="206" t="s">
        <v>121</v>
      </c>
      <c r="I4652" s="206" t="s">
        <v>121</v>
      </c>
      <c r="J4652" s="206" t="s">
        <v>121</v>
      </c>
      <c r="K4652" s="206" t="s">
        <v>121</v>
      </c>
      <c r="L4652" s="206" t="str">
        <v/>
      </c>
      <c r="M4652" s="206" t="str">
        <v/>
      </c>
    </row>
    <row r="4653" spans="1:13" ht="14.4">
      <c r="A4653" s="201"/>
      <c r="B4653" s="209"/>
      <c r="C4653" s="201"/>
      <c r="D4653" s="201"/>
      <c r="E4653" s="202"/>
      <c r="F4653" s="210"/>
      <c r="G4653" s="210"/>
      <c r="H4653" s="206" t="s">
        <v>121</v>
      </c>
      <c r="I4653" s="206" t="s">
        <v>121</v>
      </c>
      <c r="J4653" s="206" t="s">
        <v>121</v>
      </c>
      <c r="K4653" s="206" t="s">
        <v>121</v>
      </c>
      <c r="L4653" s="206" t="str">
        <v/>
      </c>
      <c r="M4653" s="206" t="str">
        <v/>
      </c>
    </row>
    <row r="4654" spans="1:13" ht="14.4">
      <c r="A4654" s="201"/>
      <c r="B4654" s="209"/>
      <c r="C4654" s="201"/>
      <c r="D4654" s="201"/>
      <c r="E4654" s="202"/>
      <c r="F4654" s="210"/>
      <c r="G4654" s="210"/>
      <c r="H4654" s="206" t="s">
        <v>121</v>
      </c>
      <c r="I4654" s="206" t="s">
        <v>121</v>
      </c>
      <c r="J4654" s="206" t="s">
        <v>121</v>
      </c>
      <c r="K4654" s="206" t="s">
        <v>121</v>
      </c>
      <c r="L4654" s="206" t="str">
        <v/>
      </c>
      <c r="M4654" s="206" t="str">
        <v/>
      </c>
    </row>
    <row r="4655" spans="1:13" ht="14.4">
      <c r="A4655" s="201"/>
      <c r="B4655" s="209"/>
      <c r="C4655" s="201"/>
      <c r="D4655" s="201"/>
      <c r="E4655" s="202"/>
      <c r="F4655" s="210"/>
      <c r="G4655" s="210"/>
      <c r="H4655" s="206" t="s">
        <v>121</v>
      </c>
      <c r="I4655" s="206" t="s">
        <v>121</v>
      </c>
      <c r="J4655" s="206" t="s">
        <v>121</v>
      </c>
      <c r="K4655" s="206" t="s">
        <v>121</v>
      </c>
      <c r="L4655" s="206" t="str">
        <v/>
      </c>
      <c r="M4655" s="206" t="str">
        <v/>
      </c>
    </row>
    <row r="4656" spans="1:13" ht="14.4">
      <c r="A4656" s="201"/>
      <c r="B4656" s="209"/>
      <c r="C4656" s="201"/>
      <c r="D4656" s="201"/>
      <c r="E4656" s="202"/>
      <c r="F4656" s="210"/>
      <c r="G4656" s="210"/>
      <c r="H4656" s="206" t="s">
        <v>121</v>
      </c>
      <c r="I4656" s="206" t="s">
        <v>121</v>
      </c>
      <c r="J4656" s="206" t="s">
        <v>121</v>
      </c>
      <c r="K4656" s="206" t="s">
        <v>121</v>
      </c>
      <c r="L4656" s="206" t="str">
        <v/>
      </c>
      <c r="M4656" s="206" t="str">
        <v/>
      </c>
    </row>
    <row r="4657" spans="1:13" ht="14.4">
      <c r="A4657" s="201"/>
      <c r="B4657" s="209"/>
      <c r="C4657" s="201"/>
      <c r="D4657" s="201"/>
      <c r="E4657" s="202"/>
      <c r="F4657" s="210"/>
      <c r="G4657" s="210"/>
      <c r="H4657" s="206" t="s">
        <v>121</v>
      </c>
      <c r="I4657" s="206" t="s">
        <v>121</v>
      </c>
      <c r="J4657" s="206" t="s">
        <v>121</v>
      </c>
      <c r="K4657" s="206" t="s">
        <v>121</v>
      </c>
      <c r="L4657" s="206" t="str">
        <v/>
      </c>
      <c r="M4657" s="206" t="str">
        <v/>
      </c>
    </row>
    <row r="4658" spans="1:13" ht="14.4">
      <c r="A4658" s="201"/>
      <c r="B4658" s="209"/>
      <c r="C4658" s="201"/>
      <c r="D4658" s="201"/>
      <c r="E4658" s="202"/>
      <c r="F4658" s="210"/>
      <c r="G4658" s="210"/>
      <c r="H4658" s="206" t="s">
        <v>121</v>
      </c>
      <c r="I4658" s="206" t="s">
        <v>121</v>
      </c>
      <c r="J4658" s="206" t="s">
        <v>121</v>
      </c>
      <c r="K4658" s="206" t="s">
        <v>121</v>
      </c>
      <c r="L4658" s="206" t="str">
        <v/>
      </c>
      <c r="M4658" s="206" t="str">
        <v/>
      </c>
    </row>
    <row r="4659" spans="1:13" ht="14.4">
      <c r="A4659" s="201"/>
      <c r="B4659" s="209"/>
      <c r="C4659" s="201"/>
      <c r="D4659" s="201"/>
      <c r="E4659" s="202"/>
      <c r="F4659" s="210"/>
      <c r="G4659" s="210"/>
      <c r="H4659" s="206" t="s">
        <v>121</v>
      </c>
      <c r="I4659" s="206" t="s">
        <v>121</v>
      </c>
      <c r="J4659" s="206" t="s">
        <v>121</v>
      </c>
      <c r="K4659" s="206" t="s">
        <v>121</v>
      </c>
      <c r="L4659" s="206" t="str">
        <v/>
      </c>
      <c r="M4659" s="206" t="str">
        <v/>
      </c>
    </row>
    <row r="4660" spans="1:13" ht="14.4">
      <c r="A4660" s="201"/>
      <c r="B4660" s="209"/>
      <c r="C4660" s="201"/>
      <c r="D4660" s="201"/>
      <c r="E4660" s="202"/>
      <c r="F4660" s="210"/>
      <c r="G4660" s="210"/>
      <c r="H4660" s="206" t="s">
        <v>121</v>
      </c>
      <c r="I4660" s="206" t="s">
        <v>121</v>
      </c>
      <c r="J4660" s="206" t="s">
        <v>121</v>
      </c>
      <c r="K4660" s="206" t="s">
        <v>121</v>
      </c>
      <c r="L4660" s="206" t="str">
        <v/>
      </c>
      <c r="M4660" s="206" t="str">
        <v/>
      </c>
    </row>
    <row r="4661" spans="1:13" ht="14.4">
      <c r="A4661" s="201"/>
      <c r="B4661" s="209"/>
      <c r="C4661" s="201"/>
      <c r="D4661" s="201"/>
      <c r="E4661" s="202"/>
      <c r="F4661" s="210"/>
      <c r="G4661" s="210"/>
      <c r="H4661" s="206" t="s">
        <v>121</v>
      </c>
      <c r="I4661" s="206" t="s">
        <v>121</v>
      </c>
      <c r="J4661" s="206" t="s">
        <v>121</v>
      </c>
      <c r="K4661" s="206" t="s">
        <v>121</v>
      </c>
      <c r="L4661" s="206" t="str">
        <v/>
      </c>
      <c r="M4661" s="206" t="str">
        <v/>
      </c>
    </row>
    <row r="4662" spans="1:13" ht="14.4">
      <c r="A4662" s="201"/>
      <c r="B4662" s="209"/>
      <c r="C4662" s="201"/>
      <c r="D4662" s="201"/>
      <c r="E4662" s="202"/>
      <c r="F4662" s="210"/>
      <c r="G4662" s="210"/>
      <c r="H4662" s="206" t="s">
        <v>121</v>
      </c>
      <c r="I4662" s="206" t="s">
        <v>121</v>
      </c>
      <c r="J4662" s="206" t="s">
        <v>121</v>
      </c>
      <c r="K4662" s="206" t="s">
        <v>121</v>
      </c>
      <c r="L4662" s="206" t="str">
        <v/>
      </c>
      <c r="M4662" s="206" t="str">
        <v/>
      </c>
    </row>
    <row r="4663" spans="1:13" ht="14.4">
      <c r="A4663" s="201"/>
      <c r="B4663" s="209"/>
      <c r="C4663" s="201"/>
      <c r="D4663" s="201"/>
      <c r="E4663" s="202"/>
      <c r="F4663" s="210"/>
      <c r="G4663" s="210"/>
      <c r="H4663" s="206" t="s">
        <v>121</v>
      </c>
      <c r="I4663" s="206" t="s">
        <v>121</v>
      </c>
      <c r="J4663" s="206" t="s">
        <v>121</v>
      </c>
      <c r="K4663" s="206" t="s">
        <v>121</v>
      </c>
      <c r="L4663" s="206" t="str">
        <v/>
      </c>
      <c r="M4663" s="206" t="str">
        <v/>
      </c>
    </row>
    <row r="4664" spans="1:13" ht="14.4">
      <c r="A4664" s="201"/>
      <c r="B4664" s="209"/>
      <c r="C4664" s="201"/>
      <c r="D4664" s="201"/>
      <c r="E4664" s="202"/>
      <c r="F4664" s="210"/>
      <c r="G4664" s="210"/>
      <c r="H4664" s="206" t="s">
        <v>121</v>
      </c>
      <c r="I4664" s="206" t="s">
        <v>121</v>
      </c>
      <c r="J4664" s="206" t="s">
        <v>121</v>
      </c>
      <c r="K4664" s="206" t="s">
        <v>121</v>
      </c>
      <c r="L4664" s="206" t="str">
        <v/>
      </c>
      <c r="M4664" s="206" t="str">
        <v/>
      </c>
    </row>
    <row r="4665" spans="1:13" ht="14.4">
      <c r="A4665" s="201"/>
      <c r="B4665" s="209"/>
      <c r="C4665" s="201"/>
      <c r="D4665" s="201"/>
      <c r="E4665" s="202"/>
      <c r="F4665" s="210"/>
      <c r="G4665" s="210"/>
      <c r="H4665" s="206" t="s">
        <v>121</v>
      </c>
      <c r="I4665" s="206" t="s">
        <v>121</v>
      </c>
      <c r="J4665" s="206" t="s">
        <v>121</v>
      </c>
      <c r="K4665" s="206" t="s">
        <v>121</v>
      </c>
      <c r="L4665" s="206" t="str">
        <v/>
      </c>
      <c r="M4665" s="206" t="str">
        <v/>
      </c>
    </row>
    <row r="4666" spans="1:13" ht="14.4">
      <c r="A4666" s="201"/>
      <c r="B4666" s="209"/>
      <c r="C4666" s="201"/>
      <c r="D4666" s="201"/>
      <c r="E4666" s="202"/>
      <c r="F4666" s="210"/>
      <c r="G4666" s="210"/>
      <c r="H4666" s="206" t="s">
        <v>121</v>
      </c>
      <c r="I4666" s="206" t="s">
        <v>121</v>
      </c>
      <c r="J4666" s="206" t="s">
        <v>121</v>
      </c>
      <c r="K4666" s="206" t="s">
        <v>121</v>
      </c>
      <c r="L4666" s="206" t="str">
        <v/>
      </c>
      <c r="M4666" s="206" t="str">
        <v/>
      </c>
    </row>
    <row r="4667" spans="1:13" ht="14.4">
      <c r="A4667" s="201"/>
      <c r="B4667" s="209"/>
      <c r="C4667" s="201"/>
      <c r="D4667" s="201"/>
      <c r="E4667" s="202"/>
      <c r="F4667" s="210"/>
      <c r="G4667" s="210"/>
      <c r="H4667" s="206" t="s">
        <v>121</v>
      </c>
      <c r="I4667" s="206" t="s">
        <v>121</v>
      </c>
      <c r="J4667" s="206" t="s">
        <v>121</v>
      </c>
      <c r="K4667" s="206" t="s">
        <v>121</v>
      </c>
      <c r="L4667" s="206" t="str">
        <v/>
      </c>
      <c r="M4667" s="206" t="str">
        <v/>
      </c>
    </row>
    <row r="4668" spans="1:13" ht="14.4">
      <c r="A4668" s="201"/>
      <c r="B4668" s="209"/>
      <c r="C4668" s="201"/>
      <c r="D4668" s="201"/>
      <c r="E4668" s="202"/>
      <c r="F4668" s="210"/>
      <c r="G4668" s="210"/>
      <c r="H4668" s="206" t="s">
        <v>121</v>
      </c>
      <c r="I4668" s="206" t="s">
        <v>121</v>
      </c>
      <c r="J4668" s="206" t="s">
        <v>121</v>
      </c>
      <c r="K4668" s="206" t="s">
        <v>121</v>
      </c>
      <c r="L4668" s="206" t="str">
        <v/>
      </c>
      <c r="M4668" s="206" t="str">
        <v/>
      </c>
    </row>
    <row r="4669" spans="1:13" ht="14.4">
      <c r="A4669" s="201"/>
      <c r="B4669" s="209"/>
      <c r="C4669" s="201"/>
      <c r="D4669" s="201"/>
      <c r="E4669" s="202"/>
      <c r="F4669" s="210"/>
      <c r="G4669" s="210"/>
      <c r="H4669" s="206" t="s">
        <v>121</v>
      </c>
      <c r="I4669" s="206" t="s">
        <v>121</v>
      </c>
      <c r="J4669" s="206" t="s">
        <v>121</v>
      </c>
      <c r="K4669" s="206" t="s">
        <v>121</v>
      </c>
      <c r="L4669" s="206" t="str">
        <v/>
      </c>
      <c r="M4669" s="206" t="str">
        <v/>
      </c>
    </row>
    <row r="4670" spans="1:13" ht="14.4">
      <c r="A4670" s="201"/>
      <c r="B4670" s="209"/>
      <c r="C4670" s="201"/>
      <c r="D4670" s="201"/>
      <c r="E4670" s="202"/>
      <c r="F4670" s="210"/>
      <c r="G4670" s="210"/>
      <c r="H4670" s="206" t="s">
        <v>121</v>
      </c>
      <c r="I4670" s="206" t="s">
        <v>121</v>
      </c>
      <c r="J4670" s="206" t="s">
        <v>121</v>
      </c>
      <c r="K4670" s="206" t="s">
        <v>121</v>
      </c>
      <c r="L4670" s="206" t="str">
        <v/>
      </c>
      <c r="M4670" s="206" t="str">
        <v/>
      </c>
    </row>
    <row r="4671" spans="1:13" ht="14.4">
      <c r="A4671" s="201"/>
      <c r="B4671" s="209"/>
      <c r="C4671" s="201"/>
      <c r="D4671" s="201"/>
      <c r="E4671" s="202"/>
      <c r="F4671" s="210"/>
      <c r="G4671" s="210"/>
      <c r="H4671" s="206" t="s">
        <v>121</v>
      </c>
      <c r="I4671" s="206" t="s">
        <v>121</v>
      </c>
      <c r="J4671" s="206" t="s">
        <v>121</v>
      </c>
      <c r="K4671" s="206" t="s">
        <v>121</v>
      </c>
      <c r="L4671" s="206" t="str">
        <v/>
      </c>
      <c r="M4671" s="206" t="str">
        <v/>
      </c>
    </row>
    <row r="4672" spans="1:13" ht="14.4">
      <c r="A4672" s="201"/>
      <c r="B4672" s="209"/>
      <c r="C4672" s="201"/>
      <c r="D4672" s="201"/>
      <c r="E4672" s="202"/>
      <c r="F4672" s="210"/>
      <c r="G4672" s="210"/>
      <c r="H4672" s="206" t="s">
        <v>121</v>
      </c>
      <c r="I4672" s="206" t="s">
        <v>121</v>
      </c>
      <c r="J4672" s="206" t="s">
        <v>121</v>
      </c>
      <c r="K4672" s="206" t="s">
        <v>121</v>
      </c>
      <c r="L4672" s="206" t="str">
        <v/>
      </c>
      <c r="M4672" s="206" t="str">
        <v/>
      </c>
    </row>
    <row r="4673" spans="1:13" ht="14.4">
      <c r="A4673" s="201"/>
      <c r="B4673" s="209"/>
      <c r="C4673" s="201"/>
      <c r="D4673" s="201"/>
      <c r="E4673" s="202"/>
      <c r="F4673" s="210"/>
      <c r="G4673" s="210"/>
      <c r="H4673" s="206" t="s">
        <v>121</v>
      </c>
      <c r="I4673" s="206" t="s">
        <v>121</v>
      </c>
      <c r="J4673" s="206" t="s">
        <v>121</v>
      </c>
      <c r="K4673" s="206" t="s">
        <v>121</v>
      </c>
      <c r="L4673" s="206" t="str">
        <v/>
      </c>
      <c r="M4673" s="206" t="str">
        <v/>
      </c>
    </row>
    <row r="4674" spans="1:13" ht="14.4">
      <c r="A4674" s="201"/>
      <c r="B4674" s="209"/>
      <c r="C4674" s="201"/>
      <c r="D4674" s="201"/>
      <c r="E4674" s="202"/>
      <c r="F4674" s="210"/>
      <c r="G4674" s="210"/>
      <c r="H4674" s="206" t="s">
        <v>121</v>
      </c>
      <c r="I4674" s="206" t="s">
        <v>121</v>
      </c>
      <c r="J4674" s="206" t="s">
        <v>121</v>
      </c>
      <c r="K4674" s="206" t="s">
        <v>121</v>
      </c>
      <c r="L4674" s="206" t="str">
        <v/>
      </c>
      <c r="M4674" s="206" t="str">
        <v/>
      </c>
    </row>
    <row r="4675" spans="1:13" ht="14.4">
      <c r="A4675" s="201"/>
      <c r="B4675" s="209"/>
      <c r="C4675" s="201"/>
      <c r="D4675" s="201"/>
      <c r="E4675" s="202"/>
      <c r="F4675" s="210"/>
      <c r="G4675" s="210"/>
      <c r="H4675" s="206" t="s">
        <v>121</v>
      </c>
      <c r="I4675" s="206" t="s">
        <v>121</v>
      </c>
      <c r="J4675" s="206" t="s">
        <v>121</v>
      </c>
      <c r="K4675" s="206" t="s">
        <v>121</v>
      </c>
      <c r="L4675" s="206" t="str">
        <v/>
      </c>
      <c r="M4675" s="206" t="str">
        <v/>
      </c>
    </row>
    <row r="4676" spans="1:13" ht="14.4">
      <c r="A4676" s="201"/>
      <c r="B4676" s="209"/>
      <c r="C4676" s="201"/>
      <c r="D4676" s="201"/>
      <c r="E4676" s="202"/>
      <c r="F4676" s="210"/>
      <c r="G4676" s="210"/>
      <c r="H4676" s="206" t="s">
        <v>121</v>
      </c>
      <c r="I4676" s="206" t="s">
        <v>121</v>
      </c>
      <c r="J4676" s="206" t="s">
        <v>121</v>
      </c>
      <c r="K4676" s="206" t="s">
        <v>121</v>
      </c>
      <c r="L4676" s="206" t="str">
        <v/>
      </c>
      <c r="M4676" s="206" t="str">
        <v/>
      </c>
    </row>
    <row r="4677" spans="1:13" ht="14.4">
      <c r="A4677" s="201"/>
      <c r="B4677" s="209"/>
      <c r="C4677" s="201"/>
      <c r="D4677" s="201"/>
      <c r="E4677" s="202"/>
      <c r="F4677" s="210"/>
      <c r="G4677" s="210"/>
      <c r="H4677" s="206" t="s">
        <v>121</v>
      </c>
      <c r="I4677" s="206" t="s">
        <v>121</v>
      </c>
      <c r="J4677" s="206" t="s">
        <v>121</v>
      </c>
      <c r="K4677" s="206" t="s">
        <v>121</v>
      </c>
      <c r="L4677" s="206" t="str">
        <v/>
      </c>
      <c r="M4677" s="206" t="str">
        <v/>
      </c>
    </row>
    <row r="4678" spans="1:13" ht="14.4">
      <c r="A4678" s="201"/>
      <c r="B4678" s="209"/>
      <c r="C4678" s="201"/>
      <c r="D4678" s="201"/>
      <c r="E4678" s="202"/>
      <c r="F4678" s="210"/>
      <c r="G4678" s="210"/>
      <c r="H4678" s="206" t="s">
        <v>121</v>
      </c>
      <c r="I4678" s="206" t="s">
        <v>121</v>
      </c>
      <c r="J4678" s="206" t="s">
        <v>121</v>
      </c>
      <c r="K4678" s="206" t="s">
        <v>121</v>
      </c>
      <c r="L4678" s="206" t="str">
        <v/>
      </c>
      <c r="M4678" s="206" t="str">
        <v/>
      </c>
    </row>
    <row r="4679" spans="1:13" ht="14.4">
      <c r="A4679" s="201"/>
      <c r="B4679" s="209"/>
      <c r="C4679" s="201"/>
      <c r="D4679" s="201"/>
      <c r="E4679" s="202"/>
      <c r="F4679" s="210"/>
      <c r="G4679" s="210"/>
      <c r="H4679" s="206" t="s">
        <v>121</v>
      </c>
      <c r="I4679" s="206" t="s">
        <v>121</v>
      </c>
      <c r="J4679" s="206" t="s">
        <v>121</v>
      </c>
      <c r="K4679" s="206" t="s">
        <v>121</v>
      </c>
      <c r="L4679" s="206" t="str">
        <v/>
      </c>
      <c r="M4679" s="206" t="str">
        <v/>
      </c>
    </row>
    <row r="4680" spans="1:13" ht="14.4">
      <c r="A4680" s="201"/>
      <c r="B4680" s="209"/>
      <c r="C4680" s="201"/>
      <c r="D4680" s="201"/>
      <c r="E4680" s="202"/>
      <c r="F4680" s="210"/>
      <c r="G4680" s="210"/>
      <c r="H4680" s="206" t="s">
        <v>121</v>
      </c>
      <c r="I4680" s="206" t="s">
        <v>121</v>
      </c>
      <c r="J4680" s="206" t="s">
        <v>121</v>
      </c>
      <c r="K4680" s="206" t="s">
        <v>121</v>
      </c>
      <c r="L4680" s="206" t="str">
        <v/>
      </c>
      <c r="M4680" s="206" t="str">
        <v/>
      </c>
    </row>
    <row r="4681" spans="1:13" ht="14.4">
      <c r="A4681" s="201"/>
      <c r="B4681" s="209"/>
      <c r="C4681" s="201"/>
      <c r="D4681" s="201"/>
      <c r="E4681" s="202"/>
      <c r="F4681" s="210"/>
      <c r="G4681" s="210"/>
      <c r="H4681" s="206" t="s">
        <v>121</v>
      </c>
      <c r="I4681" s="206" t="s">
        <v>121</v>
      </c>
      <c r="J4681" s="206" t="s">
        <v>121</v>
      </c>
      <c r="K4681" s="206" t="s">
        <v>121</v>
      </c>
      <c r="L4681" s="206" t="str">
        <v/>
      </c>
      <c r="M4681" s="206" t="str">
        <v/>
      </c>
    </row>
    <row r="4682" spans="1:13" ht="14.4">
      <c r="A4682" s="201"/>
      <c r="B4682" s="209"/>
      <c r="C4682" s="201"/>
      <c r="D4682" s="201"/>
      <c r="E4682" s="202"/>
      <c r="F4682" s="210"/>
      <c r="G4682" s="210"/>
      <c r="H4682" s="206" t="s">
        <v>121</v>
      </c>
      <c r="I4682" s="206" t="s">
        <v>121</v>
      </c>
      <c r="J4682" s="206" t="s">
        <v>121</v>
      </c>
      <c r="K4682" s="206" t="s">
        <v>121</v>
      </c>
      <c r="L4682" s="206" t="str">
        <v/>
      </c>
      <c r="M4682" s="206" t="str">
        <v/>
      </c>
    </row>
    <row r="4683" spans="1:13" ht="14.4">
      <c r="A4683" s="201"/>
      <c r="B4683" s="209"/>
      <c r="C4683" s="201"/>
      <c r="D4683" s="201"/>
      <c r="E4683" s="202"/>
      <c r="F4683" s="210"/>
      <c r="G4683" s="210"/>
      <c r="H4683" s="206" t="s">
        <v>121</v>
      </c>
      <c r="I4683" s="206" t="s">
        <v>121</v>
      </c>
      <c r="J4683" s="206" t="s">
        <v>121</v>
      </c>
      <c r="K4683" s="206" t="s">
        <v>121</v>
      </c>
      <c r="L4683" s="206" t="str">
        <v/>
      </c>
      <c r="M4683" s="206" t="str">
        <v/>
      </c>
    </row>
    <row r="4684" spans="1:13" ht="14.4">
      <c r="A4684" s="201"/>
      <c r="B4684" s="209"/>
      <c r="C4684" s="201"/>
      <c r="D4684" s="201"/>
      <c r="E4684" s="202"/>
      <c r="F4684" s="210"/>
      <c r="G4684" s="210"/>
      <c r="H4684" s="206" t="s">
        <v>121</v>
      </c>
      <c r="I4684" s="206" t="s">
        <v>121</v>
      </c>
      <c r="J4684" s="206" t="s">
        <v>121</v>
      </c>
      <c r="K4684" s="206" t="s">
        <v>121</v>
      </c>
      <c r="L4684" s="206" t="str">
        <v/>
      </c>
      <c r="M4684" s="206" t="str">
        <v/>
      </c>
    </row>
    <row r="4685" spans="1:13" ht="14.4">
      <c r="A4685" s="201"/>
      <c r="B4685" s="209"/>
      <c r="C4685" s="201"/>
      <c r="D4685" s="201"/>
      <c r="E4685" s="202"/>
      <c r="F4685" s="210"/>
      <c r="G4685" s="210"/>
      <c r="H4685" s="206" t="s">
        <v>121</v>
      </c>
      <c r="I4685" s="206" t="s">
        <v>121</v>
      </c>
      <c r="J4685" s="206" t="s">
        <v>121</v>
      </c>
      <c r="K4685" s="206" t="s">
        <v>121</v>
      </c>
      <c r="L4685" s="206" t="str">
        <v/>
      </c>
      <c r="M4685" s="206" t="str">
        <v/>
      </c>
    </row>
    <row r="4686" spans="1:13" ht="14.4">
      <c r="A4686" s="201"/>
      <c r="B4686" s="209"/>
      <c r="C4686" s="201"/>
      <c r="D4686" s="201"/>
      <c r="E4686" s="202"/>
      <c r="F4686" s="210"/>
      <c r="G4686" s="210"/>
      <c r="H4686" s="206" t="s">
        <v>121</v>
      </c>
      <c r="I4686" s="206" t="s">
        <v>121</v>
      </c>
      <c r="J4686" s="206" t="s">
        <v>121</v>
      </c>
      <c r="K4686" s="206" t="s">
        <v>121</v>
      </c>
      <c r="L4686" s="206" t="str">
        <v/>
      </c>
      <c r="M4686" s="206" t="str">
        <v/>
      </c>
    </row>
    <row r="4687" spans="1:13" ht="14.4">
      <c r="A4687" s="201"/>
      <c r="B4687" s="209"/>
      <c r="C4687" s="201"/>
      <c r="D4687" s="201"/>
      <c r="E4687" s="202"/>
      <c r="F4687" s="210"/>
      <c r="G4687" s="210"/>
      <c r="H4687" s="206" t="s">
        <v>121</v>
      </c>
      <c r="I4687" s="206" t="s">
        <v>121</v>
      </c>
      <c r="J4687" s="206" t="s">
        <v>121</v>
      </c>
      <c r="K4687" s="206" t="s">
        <v>121</v>
      </c>
      <c r="L4687" s="206" t="str">
        <v/>
      </c>
      <c r="M4687" s="206" t="str">
        <v/>
      </c>
    </row>
    <row r="4688" spans="1:13" ht="14.4">
      <c r="A4688" s="201"/>
      <c r="B4688" s="209"/>
      <c r="C4688" s="201"/>
      <c r="D4688" s="201"/>
      <c r="E4688" s="202"/>
      <c r="F4688" s="210"/>
      <c r="G4688" s="210"/>
      <c r="H4688" s="206" t="s">
        <v>121</v>
      </c>
      <c r="I4688" s="206" t="s">
        <v>121</v>
      </c>
      <c r="J4688" s="206" t="s">
        <v>121</v>
      </c>
      <c r="K4688" s="206" t="s">
        <v>121</v>
      </c>
      <c r="L4688" s="206" t="str">
        <v/>
      </c>
      <c r="M4688" s="206" t="str">
        <v/>
      </c>
    </row>
    <row r="4689" spans="1:13" ht="14.4">
      <c r="A4689" s="201"/>
      <c r="B4689" s="209"/>
      <c r="C4689" s="201"/>
      <c r="D4689" s="201"/>
      <c r="E4689" s="202"/>
      <c r="F4689" s="210"/>
      <c r="G4689" s="210"/>
      <c r="H4689" s="206" t="s">
        <v>121</v>
      </c>
      <c r="I4689" s="206" t="s">
        <v>121</v>
      </c>
      <c r="J4689" s="206" t="s">
        <v>121</v>
      </c>
      <c r="K4689" s="206" t="s">
        <v>121</v>
      </c>
      <c r="L4689" s="206" t="str">
        <v/>
      </c>
      <c r="M4689" s="206" t="str">
        <v/>
      </c>
    </row>
    <row r="4690" spans="1:13" ht="14.4">
      <c r="A4690" s="201"/>
      <c r="B4690" s="209"/>
      <c r="C4690" s="201"/>
      <c r="D4690" s="201"/>
      <c r="E4690" s="202"/>
      <c r="F4690" s="210"/>
      <c r="G4690" s="210"/>
      <c r="H4690" s="206" t="s">
        <v>121</v>
      </c>
      <c r="I4690" s="206" t="s">
        <v>121</v>
      </c>
      <c r="J4690" s="206" t="s">
        <v>121</v>
      </c>
      <c r="K4690" s="206" t="s">
        <v>121</v>
      </c>
      <c r="L4690" s="206" t="str">
        <v/>
      </c>
      <c r="M4690" s="206" t="str">
        <v/>
      </c>
    </row>
    <row r="4691" spans="1:13" ht="14.4">
      <c r="A4691" s="201"/>
      <c r="B4691" s="209"/>
      <c r="C4691" s="201"/>
      <c r="D4691" s="201"/>
      <c r="E4691" s="202"/>
      <c r="F4691" s="210"/>
      <c r="G4691" s="210"/>
      <c r="H4691" s="206" t="s">
        <v>121</v>
      </c>
      <c r="I4691" s="206" t="s">
        <v>121</v>
      </c>
      <c r="J4691" s="206" t="s">
        <v>121</v>
      </c>
      <c r="K4691" s="206" t="s">
        <v>121</v>
      </c>
      <c r="L4691" s="206" t="str">
        <v/>
      </c>
      <c r="M4691" s="206" t="str">
        <v/>
      </c>
    </row>
    <row r="4692" spans="1:13" ht="14.4">
      <c r="A4692" s="201"/>
      <c r="B4692" s="209"/>
      <c r="C4692" s="201"/>
      <c r="D4692" s="201"/>
      <c r="E4692" s="202"/>
      <c r="F4692" s="210"/>
      <c r="G4692" s="210"/>
      <c r="H4692" s="206" t="s">
        <v>121</v>
      </c>
      <c r="I4692" s="206" t="s">
        <v>121</v>
      </c>
      <c r="J4692" s="206" t="s">
        <v>121</v>
      </c>
      <c r="K4692" s="206" t="s">
        <v>121</v>
      </c>
      <c r="L4692" s="206" t="str">
        <v/>
      </c>
      <c r="M4692" s="206" t="str">
        <v/>
      </c>
    </row>
    <row r="4693" spans="1:13" ht="14.4">
      <c r="A4693" s="201"/>
      <c r="B4693" s="209"/>
      <c r="C4693" s="201"/>
      <c r="D4693" s="201"/>
      <c r="E4693" s="202"/>
      <c r="F4693" s="210"/>
      <c r="G4693" s="210"/>
      <c r="H4693" s="206" t="s">
        <v>121</v>
      </c>
      <c r="I4693" s="206" t="s">
        <v>121</v>
      </c>
      <c r="J4693" s="206" t="s">
        <v>121</v>
      </c>
      <c r="K4693" s="206" t="s">
        <v>121</v>
      </c>
      <c r="L4693" s="206" t="str">
        <v/>
      </c>
      <c r="M4693" s="206" t="str">
        <v/>
      </c>
    </row>
    <row r="4694" spans="1:13" ht="14.4">
      <c r="A4694" s="201"/>
      <c r="B4694" s="209"/>
      <c r="C4694" s="201"/>
      <c r="D4694" s="201"/>
      <c r="E4694" s="202"/>
      <c r="F4694" s="210"/>
      <c r="G4694" s="210"/>
      <c r="H4694" s="206" t="s">
        <v>121</v>
      </c>
      <c r="I4694" s="206" t="s">
        <v>121</v>
      </c>
      <c r="J4694" s="206" t="s">
        <v>121</v>
      </c>
      <c r="K4694" s="206" t="s">
        <v>121</v>
      </c>
      <c r="L4694" s="206" t="str">
        <v/>
      </c>
      <c r="M4694" s="206" t="str">
        <v/>
      </c>
    </row>
    <row r="4695" spans="1:13" ht="14.4">
      <c r="A4695" s="201"/>
      <c r="B4695" s="209"/>
      <c r="C4695" s="201"/>
      <c r="D4695" s="201"/>
      <c r="E4695" s="202"/>
      <c r="F4695" s="210"/>
      <c r="G4695" s="210"/>
      <c r="H4695" s="206" t="s">
        <v>121</v>
      </c>
      <c r="I4695" s="206" t="s">
        <v>121</v>
      </c>
      <c r="J4695" s="206" t="s">
        <v>121</v>
      </c>
      <c r="K4695" s="206" t="s">
        <v>121</v>
      </c>
      <c r="L4695" s="206" t="str">
        <v/>
      </c>
      <c r="M4695" s="206" t="str">
        <v/>
      </c>
    </row>
    <row r="4696" spans="1:13" ht="14.4">
      <c r="A4696" s="201"/>
      <c r="B4696" s="209"/>
      <c r="C4696" s="201"/>
      <c r="D4696" s="201"/>
      <c r="E4696" s="202"/>
      <c r="F4696" s="210"/>
      <c r="G4696" s="210"/>
      <c r="H4696" s="206" t="s">
        <v>121</v>
      </c>
      <c r="I4696" s="206" t="s">
        <v>121</v>
      </c>
      <c r="J4696" s="206" t="s">
        <v>121</v>
      </c>
      <c r="K4696" s="206" t="s">
        <v>121</v>
      </c>
      <c r="L4696" s="206" t="str">
        <v/>
      </c>
      <c r="M4696" s="206" t="str">
        <v/>
      </c>
    </row>
    <row r="4697" spans="1:13" ht="14.4">
      <c r="A4697" s="201"/>
      <c r="B4697" s="209"/>
      <c r="C4697" s="201"/>
      <c r="D4697" s="201"/>
      <c r="E4697" s="202"/>
      <c r="F4697" s="210"/>
      <c r="G4697" s="210"/>
      <c r="H4697" s="206" t="s">
        <v>121</v>
      </c>
      <c r="I4697" s="206" t="s">
        <v>121</v>
      </c>
      <c r="J4697" s="206" t="s">
        <v>121</v>
      </c>
      <c r="K4697" s="206" t="s">
        <v>121</v>
      </c>
      <c r="L4697" s="206" t="str">
        <v/>
      </c>
      <c r="M4697" s="206" t="str">
        <v/>
      </c>
    </row>
    <row r="4698" spans="1:13" ht="14.4">
      <c r="A4698" s="201"/>
      <c r="B4698" s="209"/>
      <c r="C4698" s="201"/>
      <c r="D4698" s="201"/>
      <c r="E4698" s="202"/>
      <c r="F4698" s="210"/>
      <c r="G4698" s="210"/>
      <c r="H4698" s="206" t="s">
        <v>121</v>
      </c>
      <c r="I4698" s="206" t="s">
        <v>121</v>
      </c>
      <c r="J4698" s="206" t="s">
        <v>121</v>
      </c>
      <c r="K4698" s="206" t="s">
        <v>121</v>
      </c>
      <c r="L4698" s="206" t="str">
        <v/>
      </c>
      <c r="M4698" s="206" t="str">
        <v/>
      </c>
    </row>
    <row r="4699" spans="1:13" ht="14.4">
      <c r="A4699" s="201"/>
      <c r="B4699" s="209"/>
      <c r="C4699" s="201"/>
      <c r="D4699" s="201"/>
      <c r="E4699" s="202"/>
      <c r="F4699" s="210"/>
      <c r="G4699" s="210"/>
      <c r="H4699" s="206" t="s">
        <v>121</v>
      </c>
      <c r="I4699" s="206" t="s">
        <v>121</v>
      </c>
      <c r="J4699" s="206" t="s">
        <v>121</v>
      </c>
      <c r="K4699" s="206" t="s">
        <v>121</v>
      </c>
      <c r="L4699" s="206" t="str">
        <v/>
      </c>
      <c r="M4699" s="206" t="str">
        <v/>
      </c>
    </row>
    <row r="4700" spans="1:13" ht="14.4">
      <c r="A4700" s="201"/>
      <c r="B4700" s="209"/>
      <c r="C4700" s="201"/>
      <c r="D4700" s="201"/>
      <c r="E4700" s="202"/>
      <c r="F4700" s="210"/>
      <c r="G4700" s="210"/>
      <c r="H4700" s="206" t="s">
        <v>121</v>
      </c>
      <c r="I4700" s="206" t="s">
        <v>121</v>
      </c>
      <c r="J4700" s="206" t="s">
        <v>121</v>
      </c>
      <c r="K4700" s="206" t="s">
        <v>121</v>
      </c>
      <c r="L4700" s="206" t="str">
        <v/>
      </c>
      <c r="M4700" s="206" t="str">
        <v/>
      </c>
    </row>
    <row r="4701" spans="1:13" ht="14.4">
      <c r="A4701" s="201"/>
      <c r="B4701" s="209"/>
      <c r="C4701" s="201"/>
      <c r="D4701" s="201"/>
      <c r="E4701" s="202"/>
      <c r="F4701" s="210"/>
      <c r="G4701" s="210"/>
      <c r="H4701" s="206" t="s">
        <v>121</v>
      </c>
      <c r="I4701" s="206" t="s">
        <v>121</v>
      </c>
      <c r="J4701" s="206" t="s">
        <v>121</v>
      </c>
      <c r="K4701" s="206" t="s">
        <v>121</v>
      </c>
      <c r="L4701" s="206" t="str">
        <v/>
      </c>
      <c r="M4701" s="206" t="str">
        <v/>
      </c>
    </row>
    <row r="4702" spans="1:13" ht="14.4">
      <c r="A4702" s="201"/>
      <c r="B4702" s="209"/>
      <c r="C4702" s="201"/>
      <c r="D4702" s="201"/>
      <c r="E4702" s="202"/>
      <c r="F4702" s="210"/>
      <c r="G4702" s="210"/>
      <c r="H4702" s="206" t="s">
        <v>121</v>
      </c>
      <c r="I4702" s="206" t="s">
        <v>121</v>
      </c>
      <c r="J4702" s="206" t="s">
        <v>121</v>
      </c>
      <c r="K4702" s="206" t="s">
        <v>121</v>
      </c>
      <c r="L4702" s="206" t="str">
        <v/>
      </c>
      <c r="M4702" s="206" t="str">
        <v/>
      </c>
    </row>
    <row r="4703" spans="1:13" ht="14.4">
      <c r="A4703" s="201"/>
      <c r="B4703" s="209"/>
      <c r="C4703" s="201"/>
      <c r="D4703" s="201"/>
      <c r="E4703" s="202"/>
      <c r="F4703" s="210"/>
      <c r="G4703" s="210"/>
      <c r="H4703" s="206" t="s">
        <v>121</v>
      </c>
      <c r="I4703" s="206" t="s">
        <v>121</v>
      </c>
      <c r="J4703" s="206" t="s">
        <v>121</v>
      </c>
      <c r="K4703" s="206" t="s">
        <v>121</v>
      </c>
      <c r="L4703" s="206" t="str">
        <v/>
      </c>
      <c r="M4703" s="206" t="str">
        <v/>
      </c>
    </row>
    <row r="4704" spans="1:13" ht="14.4">
      <c r="A4704" s="201"/>
      <c r="B4704" s="209"/>
      <c r="C4704" s="201"/>
      <c r="D4704" s="201"/>
      <c r="E4704" s="202"/>
      <c r="F4704" s="210"/>
      <c r="G4704" s="210"/>
      <c r="H4704" s="206" t="s">
        <v>121</v>
      </c>
      <c r="I4704" s="206" t="s">
        <v>121</v>
      </c>
      <c r="J4704" s="206" t="s">
        <v>121</v>
      </c>
      <c r="K4704" s="206" t="s">
        <v>121</v>
      </c>
      <c r="L4704" s="206" t="str">
        <v/>
      </c>
      <c r="M4704" s="206" t="str">
        <v/>
      </c>
    </row>
    <row r="4705" spans="1:13" ht="14.4">
      <c r="A4705" s="201"/>
      <c r="B4705" s="209"/>
      <c r="C4705" s="201"/>
      <c r="D4705" s="201"/>
      <c r="E4705" s="202"/>
      <c r="F4705" s="210"/>
      <c r="G4705" s="210"/>
      <c r="H4705" s="206" t="s">
        <v>121</v>
      </c>
      <c r="I4705" s="206" t="s">
        <v>121</v>
      </c>
      <c r="J4705" s="206" t="s">
        <v>121</v>
      </c>
      <c r="K4705" s="206" t="s">
        <v>121</v>
      </c>
      <c r="L4705" s="206" t="str">
        <v/>
      </c>
      <c r="M4705" s="206" t="str">
        <v/>
      </c>
    </row>
    <row r="4706" spans="1:13" ht="14.4">
      <c r="A4706" s="201"/>
      <c r="B4706" s="209"/>
      <c r="C4706" s="201"/>
      <c r="D4706" s="201"/>
      <c r="E4706" s="202"/>
      <c r="F4706" s="210"/>
      <c r="G4706" s="210"/>
      <c r="H4706" s="206" t="s">
        <v>121</v>
      </c>
      <c r="I4706" s="206" t="s">
        <v>121</v>
      </c>
      <c r="J4706" s="206" t="s">
        <v>121</v>
      </c>
      <c r="K4706" s="206" t="s">
        <v>121</v>
      </c>
      <c r="L4706" s="206" t="str">
        <v/>
      </c>
      <c r="M4706" s="206" t="str">
        <v/>
      </c>
    </row>
    <row r="4707" spans="1:13" ht="14.4">
      <c r="A4707" s="201"/>
      <c r="B4707" s="209"/>
      <c r="C4707" s="201"/>
      <c r="D4707" s="201"/>
      <c r="E4707" s="202"/>
      <c r="F4707" s="210"/>
      <c r="G4707" s="210"/>
      <c r="H4707" s="206" t="s">
        <v>121</v>
      </c>
      <c r="I4707" s="206" t="s">
        <v>121</v>
      </c>
      <c r="J4707" s="206" t="s">
        <v>121</v>
      </c>
      <c r="K4707" s="206" t="s">
        <v>121</v>
      </c>
      <c r="L4707" s="206" t="str">
        <v/>
      </c>
      <c r="M4707" s="206" t="str">
        <v/>
      </c>
    </row>
    <row r="4708" spans="1:13" ht="14.4">
      <c r="A4708" s="201"/>
      <c r="B4708" s="209"/>
      <c r="C4708" s="201"/>
      <c r="D4708" s="201"/>
      <c r="E4708" s="202"/>
      <c r="F4708" s="210"/>
      <c r="G4708" s="210"/>
      <c r="H4708" s="206" t="s">
        <v>121</v>
      </c>
      <c r="I4708" s="206" t="s">
        <v>121</v>
      </c>
      <c r="J4708" s="206" t="s">
        <v>121</v>
      </c>
      <c r="K4708" s="206" t="s">
        <v>121</v>
      </c>
      <c r="L4708" s="206" t="str">
        <v/>
      </c>
      <c r="M4708" s="206" t="str">
        <v/>
      </c>
    </row>
    <row r="4709" spans="1:13" ht="14.4">
      <c r="A4709" s="201"/>
      <c r="B4709" s="209"/>
      <c r="C4709" s="201"/>
      <c r="D4709" s="201"/>
      <c r="E4709" s="202"/>
      <c r="F4709" s="210"/>
      <c r="G4709" s="210"/>
      <c r="H4709" s="206" t="s">
        <v>121</v>
      </c>
      <c r="I4709" s="206" t="s">
        <v>121</v>
      </c>
      <c r="J4709" s="206" t="s">
        <v>121</v>
      </c>
      <c r="K4709" s="206" t="s">
        <v>121</v>
      </c>
      <c r="L4709" s="206" t="str">
        <v/>
      </c>
      <c r="M4709" s="206" t="str">
        <v/>
      </c>
    </row>
    <row r="4710" spans="1:13" ht="14.4">
      <c r="A4710" s="201"/>
      <c r="B4710" s="209"/>
      <c r="C4710" s="201"/>
      <c r="D4710" s="201"/>
      <c r="E4710" s="202"/>
      <c r="F4710" s="210"/>
      <c r="G4710" s="210"/>
      <c r="H4710" s="206" t="s">
        <v>121</v>
      </c>
      <c r="I4710" s="206" t="s">
        <v>121</v>
      </c>
      <c r="J4710" s="206" t="s">
        <v>121</v>
      </c>
      <c r="K4710" s="206" t="s">
        <v>121</v>
      </c>
      <c r="L4710" s="206" t="str">
        <v/>
      </c>
      <c r="M4710" s="206" t="str">
        <v/>
      </c>
    </row>
    <row r="4711" spans="1:13" ht="14.4">
      <c r="A4711" s="201"/>
      <c r="B4711" s="209"/>
      <c r="C4711" s="201"/>
      <c r="D4711" s="201"/>
      <c r="E4711" s="202"/>
      <c r="F4711" s="210"/>
      <c r="G4711" s="210"/>
      <c r="H4711" s="206" t="s">
        <v>121</v>
      </c>
      <c r="I4711" s="206" t="s">
        <v>121</v>
      </c>
      <c r="J4711" s="206" t="s">
        <v>121</v>
      </c>
      <c r="K4711" s="206" t="s">
        <v>121</v>
      </c>
      <c r="L4711" s="206" t="str">
        <v/>
      </c>
      <c r="M4711" s="206" t="str">
        <v/>
      </c>
    </row>
    <row r="4712" spans="1:13" ht="14.4">
      <c r="A4712" s="201"/>
      <c r="B4712" s="209"/>
      <c r="C4712" s="201"/>
      <c r="D4712" s="201"/>
      <c r="E4712" s="202"/>
      <c r="F4712" s="210"/>
      <c r="G4712" s="210"/>
      <c r="H4712" s="206" t="s">
        <v>121</v>
      </c>
      <c r="I4712" s="206" t="s">
        <v>121</v>
      </c>
      <c r="J4712" s="206" t="s">
        <v>121</v>
      </c>
      <c r="K4712" s="206" t="s">
        <v>121</v>
      </c>
      <c r="L4712" s="206" t="str">
        <v/>
      </c>
      <c r="M4712" s="206" t="str">
        <v/>
      </c>
    </row>
    <row r="4713" spans="1:13" ht="14.4">
      <c r="A4713" s="201"/>
      <c r="B4713" s="209"/>
      <c r="C4713" s="201"/>
      <c r="D4713" s="201"/>
      <c r="E4713" s="202"/>
      <c r="F4713" s="210"/>
      <c r="G4713" s="210"/>
      <c r="H4713" s="206" t="s">
        <v>121</v>
      </c>
      <c r="I4713" s="206" t="s">
        <v>121</v>
      </c>
      <c r="J4713" s="206" t="s">
        <v>121</v>
      </c>
      <c r="K4713" s="206" t="s">
        <v>121</v>
      </c>
      <c r="L4713" s="206" t="str">
        <v/>
      </c>
      <c r="M4713" s="206" t="str">
        <v/>
      </c>
    </row>
    <row r="4714" spans="1:13" ht="14.4">
      <c r="A4714" s="201"/>
      <c r="B4714" s="209"/>
      <c r="C4714" s="201"/>
      <c r="D4714" s="201"/>
      <c r="E4714" s="202"/>
      <c r="F4714" s="210"/>
      <c r="G4714" s="210"/>
      <c r="H4714" s="206" t="s">
        <v>121</v>
      </c>
      <c r="I4714" s="206" t="s">
        <v>121</v>
      </c>
      <c r="J4714" s="206" t="s">
        <v>121</v>
      </c>
      <c r="K4714" s="206" t="s">
        <v>121</v>
      </c>
      <c r="L4714" s="206" t="str">
        <v/>
      </c>
      <c r="M4714" s="206" t="str">
        <v/>
      </c>
    </row>
    <row r="4715" spans="1:13" ht="14.4">
      <c r="A4715" s="201"/>
      <c r="B4715" s="209"/>
      <c r="C4715" s="201"/>
      <c r="D4715" s="201"/>
      <c r="E4715" s="202"/>
      <c r="F4715" s="210"/>
      <c r="G4715" s="210"/>
      <c r="H4715" s="206" t="s">
        <v>121</v>
      </c>
      <c r="I4715" s="206" t="s">
        <v>121</v>
      </c>
      <c r="J4715" s="206" t="s">
        <v>121</v>
      </c>
      <c r="K4715" s="206" t="s">
        <v>121</v>
      </c>
      <c r="L4715" s="206" t="str">
        <v/>
      </c>
      <c r="M4715" s="206" t="str">
        <v/>
      </c>
    </row>
    <row r="4716" spans="1:13" ht="14.4">
      <c r="A4716" s="201"/>
      <c r="B4716" s="209"/>
      <c r="C4716" s="201"/>
      <c r="D4716" s="201"/>
      <c r="E4716" s="202"/>
      <c r="F4716" s="210"/>
      <c r="G4716" s="210"/>
      <c r="H4716" s="206" t="s">
        <v>121</v>
      </c>
      <c r="I4716" s="206" t="s">
        <v>121</v>
      </c>
      <c r="J4716" s="206" t="s">
        <v>121</v>
      </c>
      <c r="K4716" s="206" t="s">
        <v>121</v>
      </c>
      <c r="L4716" s="206" t="str">
        <v/>
      </c>
      <c r="M4716" s="206" t="str">
        <v/>
      </c>
    </row>
    <row r="4717" spans="1:13" ht="14.4">
      <c r="A4717" s="201"/>
      <c r="B4717" s="209"/>
      <c r="C4717" s="201"/>
      <c r="D4717" s="201"/>
      <c r="E4717" s="202"/>
      <c r="F4717" s="210"/>
      <c r="G4717" s="210"/>
      <c r="H4717" s="206" t="s">
        <v>121</v>
      </c>
      <c r="I4717" s="206" t="s">
        <v>121</v>
      </c>
      <c r="J4717" s="206" t="s">
        <v>121</v>
      </c>
      <c r="K4717" s="206" t="s">
        <v>121</v>
      </c>
      <c r="L4717" s="206" t="str">
        <v/>
      </c>
      <c r="M4717" s="206" t="str">
        <v/>
      </c>
    </row>
    <row r="4718" spans="1:13" ht="14.4">
      <c r="A4718" s="201"/>
      <c r="B4718" s="209"/>
      <c r="C4718" s="201"/>
      <c r="D4718" s="201"/>
      <c r="E4718" s="202"/>
      <c r="F4718" s="210"/>
      <c r="G4718" s="210"/>
      <c r="H4718" s="206" t="s">
        <v>121</v>
      </c>
      <c r="I4718" s="206" t="s">
        <v>121</v>
      </c>
      <c r="J4718" s="206" t="s">
        <v>121</v>
      </c>
      <c r="K4718" s="206" t="s">
        <v>121</v>
      </c>
      <c r="L4718" s="206" t="str">
        <v/>
      </c>
      <c r="M4718" s="206" t="str">
        <v/>
      </c>
    </row>
    <row r="4719" spans="1:13" ht="14.4">
      <c r="A4719" s="201"/>
      <c r="B4719" s="209"/>
      <c r="C4719" s="201"/>
      <c r="D4719" s="201"/>
      <c r="E4719" s="202"/>
      <c r="F4719" s="210"/>
      <c r="G4719" s="210"/>
      <c r="H4719" s="206" t="s">
        <v>121</v>
      </c>
      <c r="I4719" s="206" t="s">
        <v>121</v>
      </c>
      <c r="J4719" s="206" t="s">
        <v>121</v>
      </c>
      <c r="K4719" s="206" t="s">
        <v>121</v>
      </c>
      <c r="L4719" s="206" t="str">
        <v/>
      </c>
      <c r="M4719" s="206" t="str">
        <v/>
      </c>
    </row>
    <row r="4720" spans="1:13" ht="14.4">
      <c r="A4720" s="201"/>
      <c r="B4720" s="209"/>
      <c r="C4720" s="201"/>
      <c r="D4720" s="201"/>
      <c r="E4720" s="202"/>
      <c r="F4720" s="210"/>
      <c r="G4720" s="210"/>
      <c r="H4720" s="206" t="s">
        <v>121</v>
      </c>
      <c r="I4720" s="206" t="s">
        <v>121</v>
      </c>
      <c r="J4720" s="206" t="s">
        <v>121</v>
      </c>
      <c r="K4720" s="206" t="s">
        <v>121</v>
      </c>
      <c r="L4720" s="206" t="str">
        <v/>
      </c>
      <c r="M4720" s="206" t="str">
        <v/>
      </c>
    </row>
    <row r="4721" spans="1:13" ht="14.4">
      <c r="A4721" s="201"/>
      <c r="B4721" s="209"/>
      <c r="C4721" s="201"/>
      <c r="D4721" s="201"/>
      <c r="E4721" s="202"/>
      <c r="F4721" s="210"/>
      <c r="G4721" s="210"/>
      <c r="H4721" s="206" t="s">
        <v>121</v>
      </c>
      <c r="I4721" s="206" t="s">
        <v>121</v>
      </c>
      <c r="J4721" s="206" t="s">
        <v>121</v>
      </c>
      <c r="K4721" s="206" t="s">
        <v>121</v>
      </c>
      <c r="L4721" s="206" t="str">
        <v/>
      </c>
      <c r="M4721" s="206" t="str">
        <v/>
      </c>
    </row>
    <row r="4722" spans="1:13" ht="14.4">
      <c r="A4722" s="201"/>
      <c r="B4722" s="209"/>
      <c r="C4722" s="201"/>
      <c r="D4722" s="201"/>
      <c r="E4722" s="202"/>
      <c r="F4722" s="210"/>
      <c r="G4722" s="210"/>
      <c r="H4722" s="206" t="s">
        <v>121</v>
      </c>
      <c r="I4722" s="206" t="s">
        <v>121</v>
      </c>
      <c r="J4722" s="206" t="s">
        <v>121</v>
      </c>
      <c r="K4722" s="206" t="s">
        <v>121</v>
      </c>
      <c r="L4722" s="206" t="str">
        <v/>
      </c>
      <c r="M4722" s="206" t="str">
        <v/>
      </c>
    </row>
    <row r="4723" spans="1:13" ht="14.4">
      <c r="A4723" s="201"/>
      <c r="B4723" s="209"/>
      <c r="C4723" s="201"/>
      <c r="D4723" s="201"/>
      <c r="E4723" s="202"/>
      <c r="F4723" s="210"/>
      <c r="G4723" s="210"/>
      <c r="H4723" s="206" t="s">
        <v>121</v>
      </c>
      <c r="I4723" s="206" t="s">
        <v>121</v>
      </c>
      <c r="J4723" s="206" t="s">
        <v>121</v>
      </c>
      <c r="K4723" s="206" t="s">
        <v>121</v>
      </c>
      <c r="L4723" s="206" t="str">
        <v/>
      </c>
      <c r="M4723" s="206" t="str">
        <v/>
      </c>
    </row>
    <row r="4724" spans="1:13" ht="14.4">
      <c r="A4724" s="201"/>
      <c r="B4724" s="209"/>
      <c r="C4724" s="201"/>
      <c r="D4724" s="201"/>
      <c r="E4724" s="202"/>
      <c r="F4724" s="210"/>
      <c r="G4724" s="210"/>
      <c r="H4724" s="206" t="s">
        <v>121</v>
      </c>
      <c r="I4724" s="206" t="s">
        <v>121</v>
      </c>
      <c r="J4724" s="206" t="s">
        <v>121</v>
      </c>
      <c r="K4724" s="206" t="s">
        <v>121</v>
      </c>
      <c r="L4724" s="206" t="str">
        <v/>
      </c>
      <c r="M4724" s="206" t="str">
        <v/>
      </c>
    </row>
    <row r="4725" spans="1:13" ht="14.4">
      <c r="A4725" s="201"/>
      <c r="B4725" s="209"/>
      <c r="C4725" s="201"/>
      <c r="D4725" s="201"/>
      <c r="E4725" s="202"/>
      <c r="F4725" s="210"/>
      <c r="G4725" s="210"/>
      <c r="H4725" s="206" t="s">
        <v>121</v>
      </c>
      <c r="I4725" s="206" t="s">
        <v>121</v>
      </c>
      <c r="J4725" s="206" t="s">
        <v>121</v>
      </c>
      <c r="K4725" s="206" t="s">
        <v>121</v>
      </c>
      <c r="L4725" s="206" t="str">
        <v/>
      </c>
      <c r="M4725" s="206" t="str">
        <v/>
      </c>
    </row>
    <row r="4726" spans="1:13" ht="14.4">
      <c r="A4726" s="201"/>
      <c r="B4726" s="209"/>
      <c r="C4726" s="201"/>
      <c r="D4726" s="201"/>
      <c r="E4726" s="202"/>
      <c r="F4726" s="210"/>
      <c r="G4726" s="210"/>
      <c r="H4726" s="206" t="s">
        <v>121</v>
      </c>
      <c r="I4726" s="206" t="s">
        <v>121</v>
      </c>
      <c r="J4726" s="206" t="s">
        <v>121</v>
      </c>
      <c r="K4726" s="206" t="s">
        <v>121</v>
      </c>
      <c r="L4726" s="206" t="str">
        <v/>
      </c>
      <c r="M4726" s="206" t="str">
        <v/>
      </c>
    </row>
    <row r="4727" spans="1:13" ht="14.4">
      <c r="A4727" s="201"/>
      <c r="B4727" s="209"/>
      <c r="C4727" s="201"/>
      <c r="D4727" s="201"/>
      <c r="E4727" s="202"/>
      <c r="F4727" s="210"/>
      <c r="G4727" s="210"/>
      <c r="H4727" s="206" t="s">
        <v>121</v>
      </c>
      <c r="I4727" s="206" t="s">
        <v>121</v>
      </c>
      <c r="J4727" s="206" t="s">
        <v>121</v>
      </c>
      <c r="K4727" s="206" t="s">
        <v>121</v>
      </c>
      <c r="L4727" s="206" t="str">
        <v/>
      </c>
      <c r="M4727" s="206" t="str">
        <v/>
      </c>
    </row>
    <row r="4728" spans="1:13" ht="14.4">
      <c r="A4728" s="201"/>
      <c r="B4728" s="209"/>
      <c r="C4728" s="201"/>
      <c r="D4728" s="201"/>
      <c r="E4728" s="202"/>
      <c r="F4728" s="210"/>
      <c r="G4728" s="210"/>
      <c r="H4728" s="206" t="s">
        <v>121</v>
      </c>
      <c r="I4728" s="206" t="s">
        <v>121</v>
      </c>
      <c r="J4728" s="206" t="s">
        <v>121</v>
      </c>
      <c r="K4728" s="206" t="s">
        <v>121</v>
      </c>
      <c r="L4728" s="206" t="str">
        <v/>
      </c>
      <c r="M4728" s="206" t="str">
        <v/>
      </c>
    </row>
    <row r="4729" spans="1:13" ht="14.4">
      <c r="A4729" s="201"/>
      <c r="B4729" s="209"/>
      <c r="C4729" s="201"/>
      <c r="D4729" s="201"/>
      <c r="E4729" s="202"/>
      <c r="F4729" s="210"/>
      <c r="G4729" s="210"/>
      <c r="H4729" s="206" t="s">
        <v>121</v>
      </c>
      <c r="I4729" s="206" t="s">
        <v>121</v>
      </c>
      <c r="J4729" s="206" t="s">
        <v>121</v>
      </c>
      <c r="K4729" s="206" t="s">
        <v>121</v>
      </c>
      <c r="L4729" s="206" t="str">
        <v/>
      </c>
      <c r="M4729" s="206" t="str">
        <v/>
      </c>
    </row>
    <row r="4730" spans="1:13" ht="14.4">
      <c r="A4730" s="201"/>
      <c r="B4730" s="209"/>
      <c r="C4730" s="201"/>
      <c r="D4730" s="201"/>
      <c r="E4730" s="202"/>
      <c r="F4730" s="210"/>
      <c r="G4730" s="210"/>
      <c r="H4730" s="206" t="s">
        <v>121</v>
      </c>
      <c r="I4730" s="206" t="s">
        <v>121</v>
      </c>
      <c r="J4730" s="206" t="s">
        <v>121</v>
      </c>
      <c r="K4730" s="206" t="s">
        <v>121</v>
      </c>
      <c r="L4730" s="206" t="str">
        <v/>
      </c>
      <c r="M4730" s="206" t="str">
        <v/>
      </c>
    </row>
    <row r="4731" spans="1:13" ht="14.4">
      <c r="A4731" s="201"/>
      <c r="B4731" s="209"/>
      <c r="C4731" s="201"/>
      <c r="D4731" s="201"/>
      <c r="E4731" s="202"/>
      <c r="F4731" s="210"/>
      <c r="G4731" s="210"/>
      <c r="H4731" s="206" t="s">
        <v>121</v>
      </c>
      <c r="I4731" s="206" t="s">
        <v>121</v>
      </c>
      <c r="J4731" s="206" t="s">
        <v>121</v>
      </c>
      <c r="K4731" s="206" t="s">
        <v>121</v>
      </c>
      <c r="L4731" s="206" t="str">
        <v/>
      </c>
      <c r="M4731" s="206" t="str">
        <v/>
      </c>
    </row>
    <row r="4732" spans="1:13" ht="14.4">
      <c r="A4732" s="201"/>
      <c r="B4732" s="209"/>
      <c r="C4732" s="201"/>
      <c r="D4732" s="201"/>
      <c r="E4732" s="202"/>
      <c r="F4732" s="210"/>
      <c r="G4732" s="210"/>
      <c r="H4732" s="206" t="s">
        <v>121</v>
      </c>
      <c r="I4732" s="206" t="s">
        <v>121</v>
      </c>
      <c r="J4732" s="206" t="s">
        <v>121</v>
      </c>
      <c r="K4732" s="206" t="s">
        <v>121</v>
      </c>
      <c r="L4732" s="206" t="str">
        <v/>
      </c>
      <c r="M4732" s="206" t="str">
        <v/>
      </c>
    </row>
    <row r="4733" spans="1:13" ht="14.4">
      <c r="A4733" s="201"/>
      <c r="B4733" s="209"/>
      <c r="C4733" s="201"/>
      <c r="D4733" s="201"/>
      <c r="E4733" s="202"/>
      <c r="F4733" s="210"/>
      <c r="G4733" s="210"/>
      <c r="H4733" s="206" t="s">
        <v>121</v>
      </c>
      <c r="I4733" s="206" t="s">
        <v>121</v>
      </c>
      <c r="J4733" s="206" t="s">
        <v>121</v>
      </c>
      <c r="K4733" s="206" t="s">
        <v>121</v>
      </c>
      <c r="L4733" s="206" t="str">
        <v/>
      </c>
      <c r="M4733" s="206" t="str">
        <v/>
      </c>
    </row>
    <row r="4734" spans="1:13" ht="14.4">
      <c r="A4734" s="201"/>
      <c r="B4734" s="209"/>
      <c r="C4734" s="201"/>
      <c r="D4734" s="201"/>
      <c r="E4734" s="202"/>
      <c r="F4734" s="210"/>
      <c r="G4734" s="210"/>
      <c r="H4734" s="206" t="s">
        <v>121</v>
      </c>
      <c r="I4734" s="206" t="s">
        <v>121</v>
      </c>
      <c r="J4734" s="206" t="s">
        <v>121</v>
      </c>
      <c r="K4734" s="206" t="s">
        <v>121</v>
      </c>
      <c r="L4734" s="206" t="str">
        <v/>
      </c>
      <c r="M4734" s="206" t="str">
        <v/>
      </c>
    </row>
    <row r="4735" spans="1:13" ht="14.4">
      <c r="A4735" s="201"/>
      <c r="B4735" s="209"/>
      <c r="C4735" s="201"/>
      <c r="D4735" s="201"/>
      <c r="E4735" s="202"/>
      <c r="F4735" s="210"/>
      <c r="G4735" s="210"/>
      <c r="H4735" s="206" t="s">
        <v>121</v>
      </c>
      <c r="I4735" s="206" t="s">
        <v>121</v>
      </c>
      <c r="J4735" s="206" t="s">
        <v>121</v>
      </c>
      <c r="K4735" s="206" t="s">
        <v>121</v>
      </c>
      <c r="L4735" s="206" t="str">
        <v/>
      </c>
      <c r="M4735" s="206" t="str">
        <v/>
      </c>
    </row>
    <row r="4736" spans="1:13" ht="14.4">
      <c r="A4736" s="201"/>
      <c r="B4736" s="209"/>
      <c r="C4736" s="201"/>
      <c r="D4736" s="201"/>
      <c r="E4736" s="202"/>
      <c r="F4736" s="210"/>
      <c r="G4736" s="210"/>
      <c r="H4736" s="206" t="s">
        <v>121</v>
      </c>
      <c r="I4736" s="206" t="s">
        <v>121</v>
      </c>
      <c r="J4736" s="206" t="s">
        <v>121</v>
      </c>
      <c r="K4736" s="206" t="s">
        <v>121</v>
      </c>
      <c r="L4736" s="206" t="str">
        <v/>
      </c>
      <c r="M4736" s="206" t="str">
        <v/>
      </c>
    </row>
    <row r="4737" spans="1:13" ht="14.4">
      <c r="A4737" s="201"/>
      <c r="B4737" s="209"/>
      <c r="C4737" s="201"/>
      <c r="D4737" s="201"/>
      <c r="E4737" s="202"/>
      <c r="F4737" s="210"/>
      <c r="G4737" s="210"/>
      <c r="H4737" s="206" t="s">
        <v>121</v>
      </c>
      <c r="I4737" s="206" t="s">
        <v>121</v>
      </c>
      <c r="J4737" s="206" t="s">
        <v>121</v>
      </c>
      <c r="K4737" s="206" t="s">
        <v>121</v>
      </c>
      <c r="L4737" s="206" t="str">
        <v/>
      </c>
      <c r="M4737" s="206" t="str">
        <v/>
      </c>
    </row>
    <row r="4738" spans="1:13" ht="14.4">
      <c r="A4738" s="201"/>
      <c r="B4738" s="209"/>
      <c r="C4738" s="201"/>
      <c r="D4738" s="201"/>
      <c r="E4738" s="202"/>
      <c r="F4738" s="210"/>
      <c r="G4738" s="210"/>
      <c r="H4738" s="206" t="s">
        <v>121</v>
      </c>
      <c r="I4738" s="206" t="s">
        <v>121</v>
      </c>
      <c r="J4738" s="206" t="s">
        <v>121</v>
      </c>
      <c r="K4738" s="206" t="s">
        <v>121</v>
      </c>
      <c r="L4738" s="206" t="str">
        <v/>
      </c>
      <c r="M4738" s="206" t="str">
        <v/>
      </c>
    </row>
    <row r="4739" spans="1:13" ht="14.4">
      <c r="A4739" s="201"/>
      <c r="B4739" s="209"/>
      <c r="C4739" s="201"/>
      <c r="D4739" s="201"/>
      <c r="E4739" s="202"/>
      <c r="F4739" s="210"/>
      <c r="G4739" s="210"/>
      <c r="H4739" s="206" t="s">
        <v>121</v>
      </c>
      <c r="I4739" s="206" t="s">
        <v>121</v>
      </c>
      <c r="J4739" s="206" t="s">
        <v>121</v>
      </c>
      <c r="K4739" s="206" t="s">
        <v>121</v>
      </c>
      <c r="L4739" s="206" t="str">
        <v/>
      </c>
      <c r="M4739" s="206" t="str">
        <v/>
      </c>
    </row>
    <row r="4740" spans="1:13" ht="14.4">
      <c r="A4740" s="201"/>
      <c r="B4740" s="209"/>
      <c r="C4740" s="201"/>
      <c r="D4740" s="201"/>
      <c r="E4740" s="202"/>
      <c r="F4740" s="210"/>
      <c r="G4740" s="210"/>
      <c r="H4740" s="206" t="s">
        <v>121</v>
      </c>
      <c r="I4740" s="206" t="s">
        <v>121</v>
      </c>
      <c r="J4740" s="206" t="s">
        <v>121</v>
      </c>
      <c r="K4740" s="206" t="s">
        <v>121</v>
      </c>
      <c r="L4740" s="206" t="str">
        <v/>
      </c>
      <c r="M4740" s="206" t="str">
        <v/>
      </c>
    </row>
    <row r="4741" spans="1:13" ht="14.4">
      <c r="A4741" s="201"/>
      <c r="B4741" s="209"/>
      <c r="C4741" s="201"/>
      <c r="D4741" s="201"/>
      <c r="E4741" s="202"/>
      <c r="F4741" s="210"/>
      <c r="G4741" s="210"/>
      <c r="H4741" s="206" t="s">
        <v>121</v>
      </c>
      <c r="I4741" s="206" t="s">
        <v>121</v>
      </c>
      <c r="J4741" s="206" t="s">
        <v>121</v>
      </c>
      <c r="K4741" s="206" t="s">
        <v>121</v>
      </c>
      <c r="L4741" s="206" t="str">
        <v/>
      </c>
      <c r="M4741" s="206" t="str">
        <v/>
      </c>
    </row>
    <row r="4742" spans="1:13" ht="14.4">
      <c r="A4742" s="201"/>
      <c r="B4742" s="209"/>
      <c r="C4742" s="201"/>
      <c r="D4742" s="201"/>
      <c r="E4742" s="202"/>
      <c r="F4742" s="210"/>
      <c r="G4742" s="210"/>
      <c r="H4742" s="206" t="s">
        <v>121</v>
      </c>
      <c r="I4742" s="206" t="s">
        <v>121</v>
      </c>
      <c r="J4742" s="206" t="s">
        <v>121</v>
      </c>
      <c r="K4742" s="206" t="s">
        <v>121</v>
      </c>
      <c r="L4742" s="206" t="str">
        <v/>
      </c>
      <c r="M4742" s="206" t="str">
        <v/>
      </c>
    </row>
    <row r="4743" spans="1:13" ht="14.4">
      <c r="A4743" s="201"/>
      <c r="B4743" s="209"/>
      <c r="C4743" s="201"/>
      <c r="D4743" s="201"/>
      <c r="E4743" s="202"/>
      <c r="F4743" s="210"/>
      <c r="G4743" s="210"/>
      <c r="H4743" s="206" t="s">
        <v>121</v>
      </c>
      <c r="I4743" s="206" t="s">
        <v>121</v>
      </c>
      <c r="J4743" s="206" t="s">
        <v>121</v>
      </c>
      <c r="K4743" s="206" t="s">
        <v>121</v>
      </c>
      <c r="L4743" s="206" t="str">
        <v/>
      </c>
      <c r="M4743" s="206" t="str">
        <v/>
      </c>
    </row>
    <row r="4744" spans="1:13" ht="14.4">
      <c r="A4744" s="201"/>
      <c r="B4744" s="209"/>
      <c r="C4744" s="201"/>
      <c r="D4744" s="201"/>
      <c r="E4744" s="202"/>
      <c r="F4744" s="210"/>
      <c r="G4744" s="210"/>
      <c r="H4744" s="206" t="s">
        <v>121</v>
      </c>
      <c r="I4744" s="206" t="s">
        <v>121</v>
      </c>
      <c r="J4744" s="206" t="s">
        <v>121</v>
      </c>
      <c r="K4744" s="206" t="s">
        <v>121</v>
      </c>
      <c r="L4744" s="206" t="str">
        <v/>
      </c>
      <c r="M4744" s="206" t="str">
        <v/>
      </c>
    </row>
    <row r="4745" spans="1:13" ht="14.4">
      <c r="A4745" s="201"/>
      <c r="B4745" s="209"/>
      <c r="C4745" s="201"/>
      <c r="D4745" s="201"/>
      <c r="E4745" s="202"/>
      <c r="F4745" s="210"/>
      <c r="G4745" s="210"/>
      <c r="H4745" s="206" t="s">
        <v>121</v>
      </c>
      <c r="I4745" s="206" t="s">
        <v>121</v>
      </c>
      <c r="J4745" s="206" t="s">
        <v>121</v>
      </c>
      <c r="K4745" s="206" t="s">
        <v>121</v>
      </c>
      <c r="L4745" s="206" t="str">
        <v/>
      </c>
      <c r="M4745" s="206" t="str">
        <v/>
      </c>
    </row>
    <row r="4746" spans="1:13" ht="14.4">
      <c r="A4746" s="201"/>
      <c r="B4746" s="209"/>
      <c r="C4746" s="201"/>
      <c r="D4746" s="201"/>
      <c r="E4746" s="202"/>
      <c r="F4746" s="210"/>
      <c r="G4746" s="210"/>
      <c r="H4746" s="206" t="s">
        <v>121</v>
      </c>
      <c r="I4746" s="206" t="s">
        <v>121</v>
      </c>
      <c r="J4746" s="206" t="s">
        <v>121</v>
      </c>
      <c r="K4746" s="206" t="s">
        <v>121</v>
      </c>
      <c r="L4746" s="206" t="str">
        <v/>
      </c>
      <c r="M4746" s="206" t="str">
        <v/>
      </c>
    </row>
    <row r="4747" spans="1:13" ht="14.4">
      <c r="A4747" s="201"/>
      <c r="B4747" s="209"/>
      <c r="C4747" s="201"/>
      <c r="D4747" s="201"/>
      <c r="E4747" s="202"/>
      <c r="F4747" s="210"/>
      <c r="G4747" s="210"/>
      <c r="H4747" s="206" t="s">
        <v>121</v>
      </c>
      <c r="I4747" s="206" t="s">
        <v>121</v>
      </c>
      <c r="J4747" s="206" t="s">
        <v>121</v>
      </c>
      <c r="K4747" s="206" t="s">
        <v>121</v>
      </c>
      <c r="L4747" s="206" t="str">
        <v/>
      </c>
      <c r="M4747" s="206" t="str">
        <v/>
      </c>
    </row>
    <row r="4748" spans="1:13" ht="14.4">
      <c r="A4748" s="201"/>
      <c r="B4748" s="209"/>
      <c r="C4748" s="201"/>
      <c r="D4748" s="201"/>
      <c r="E4748" s="202"/>
      <c r="F4748" s="210"/>
      <c r="G4748" s="210"/>
      <c r="H4748" s="206" t="s">
        <v>121</v>
      </c>
      <c r="I4748" s="206" t="s">
        <v>121</v>
      </c>
      <c r="J4748" s="206" t="s">
        <v>121</v>
      </c>
      <c r="K4748" s="206" t="s">
        <v>121</v>
      </c>
      <c r="L4748" s="206" t="str">
        <v/>
      </c>
      <c r="M4748" s="206" t="str">
        <v/>
      </c>
    </row>
    <row r="4749" spans="1:13" ht="14.4">
      <c r="A4749" s="201"/>
      <c r="B4749" s="209"/>
      <c r="C4749" s="201"/>
      <c r="D4749" s="201"/>
      <c r="E4749" s="202"/>
      <c r="F4749" s="210"/>
      <c r="G4749" s="210"/>
      <c r="H4749" s="206" t="s">
        <v>121</v>
      </c>
      <c r="I4749" s="206" t="s">
        <v>121</v>
      </c>
      <c r="J4749" s="206" t="s">
        <v>121</v>
      </c>
      <c r="K4749" s="206" t="s">
        <v>121</v>
      </c>
      <c r="L4749" s="206" t="str">
        <v/>
      </c>
      <c r="M4749" s="206" t="str">
        <v/>
      </c>
    </row>
    <row r="4750" spans="1:13" ht="14.4">
      <c r="A4750" s="201"/>
      <c r="B4750" s="209"/>
      <c r="C4750" s="201"/>
      <c r="D4750" s="201"/>
      <c r="E4750" s="202"/>
      <c r="F4750" s="210"/>
      <c r="G4750" s="210"/>
      <c r="H4750" s="206" t="s">
        <v>121</v>
      </c>
      <c r="I4750" s="206" t="s">
        <v>121</v>
      </c>
      <c r="J4750" s="206" t="s">
        <v>121</v>
      </c>
      <c r="K4750" s="206" t="s">
        <v>121</v>
      </c>
      <c r="L4750" s="206" t="str">
        <v/>
      </c>
      <c r="M4750" s="206" t="str">
        <v/>
      </c>
    </row>
    <row r="4751" spans="1:13" ht="14.4">
      <c r="A4751" s="201"/>
      <c r="B4751" s="209"/>
      <c r="C4751" s="201"/>
      <c r="D4751" s="201"/>
      <c r="E4751" s="202"/>
      <c r="F4751" s="210"/>
      <c r="G4751" s="210"/>
      <c r="H4751" s="206" t="s">
        <v>121</v>
      </c>
      <c r="I4751" s="206" t="s">
        <v>121</v>
      </c>
      <c r="J4751" s="206" t="s">
        <v>121</v>
      </c>
      <c r="K4751" s="206" t="s">
        <v>121</v>
      </c>
      <c r="L4751" s="206" t="str">
        <v/>
      </c>
      <c r="M4751" s="206" t="str">
        <v/>
      </c>
    </row>
    <row r="4752" spans="1:13" ht="14.4">
      <c r="A4752" s="201"/>
      <c r="B4752" s="209"/>
      <c r="C4752" s="201"/>
      <c r="D4752" s="201"/>
      <c r="E4752" s="202"/>
      <c r="F4752" s="210"/>
      <c r="G4752" s="210"/>
      <c r="H4752" s="206" t="s">
        <v>121</v>
      </c>
      <c r="I4752" s="206" t="s">
        <v>121</v>
      </c>
      <c r="J4752" s="206" t="s">
        <v>121</v>
      </c>
      <c r="K4752" s="206" t="s">
        <v>121</v>
      </c>
      <c r="L4752" s="206" t="str">
        <v/>
      </c>
      <c r="M4752" s="206" t="str">
        <v/>
      </c>
    </row>
    <row r="4753" spans="1:13" ht="14.4">
      <c r="A4753" s="201"/>
      <c r="B4753" s="209"/>
      <c r="C4753" s="201"/>
      <c r="D4753" s="201"/>
      <c r="E4753" s="202"/>
      <c r="F4753" s="210"/>
      <c r="G4753" s="210"/>
      <c r="H4753" s="206" t="s">
        <v>121</v>
      </c>
      <c r="I4753" s="206" t="s">
        <v>121</v>
      </c>
      <c r="J4753" s="206" t="s">
        <v>121</v>
      </c>
      <c r="K4753" s="206" t="s">
        <v>121</v>
      </c>
      <c r="L4753" s="206" t="str">
        <v/>
      </c>
      <c r="M4753" s="206" t="str">
        <v/>
      </c>
    </row>
    <row r="4754" spans="1:13" ht="14.4">
      <c r="A4754" s="201"/>
      <c r="B4754" s="209"/>
      <c r="C4754" s="201"/>
      <c r="D4754" s="201"/>
      <c r="E4754" s="202"/>
      <c r="F4754" s="210"/>
      <c r="G4754" s="210"/>
      <c r="H4754" s="206" t="s">
        <v>121</v>
      </c>
      <c r="I4754" s="206" t="s">
        <v>121</v>
      </c>
      <c r="J4754" s="206" t="s">
        <v>121</v>
      </c>
      <c r="K4754" s="206" t="s">
        <v>121</v>
      </c>
      <c r="L4754" s="206" t="str">
        <v/>
      </c>
      <c r="M4754" s="206" t="str">
        <v/>
      </c>
    </row>
    <row r="4755" spans="1:13" ht="14.4">
      <c r="A4755" s="201"/>
      <c r="B4755" s="209"/>
      <c r="C4755" s="201"/>
      <c r="D4755" s="201"/>
      <c r="E4755" s="202"/>
      <c r="F4755" s="210"/>
      <c r="G4755" s="210"/>
      <c r="H4755" s="206" t="s">
        <v>121</v>
      </c>
      <c r="I4755" s="206" t="s">
        <v>121</v>
      </c>
      <c r="J4755" s="206" t="s">
        <v>121</v>
      </c>
      <c r="K4755" s="206" t="s">
        <v>121</v>
      </c>
      <c r="L4755" s="206" t="str">
        <v/>
      </c>
      <c r="M4755" s="206" t="str">
        <v/>
      </c>
    </row>
    <row r="4756" spans="1:13" ht="14.4">
      <c r="A4756" s="201"/>
      <c r="B4756" s="209"/>
      <c r="C4756" s="201"/>
      <c r="D4756" s="201"/>
      <c r="E4756" s="202"/>
      <c r="F4756" s="210"/>
      <c r="G4756" s="210"/>
      <c r="H4756" s="206" t="s">
        <v>121</v>
      </c>
      <c r="I4756" s="206" t="s">
        <v>121</v>
      </c>
      <c r="J4756" s="206" t="s">
        <v>121</v>
      </c>
      <c r="K4756" s="206" t="s">
        <v>121</v>
      </c>
      <c r="L4756" s="206" t="str">
        <v/>
      </c>
      <c r="M4756" s="206" t="str">
        <v/>
      </c>
    </row>
    <row r="4757" spans="1:13" ht="14.4">
      <c r="A4757" s="201"/>
      <c r="B4757" s="209"/>
      <c r="C4757" s="201"/>
      <c r="D4757" s="201"/>
      <c r="E4757" s="202"/>
      <c r="F4757" s="210"/>
      <c r="G4757" s="210"/>
      <c r="H4757" s="206" t="s">
        <v>121</v>
      </c>
      <c r="I4757" s="206" t="s">
        <v>121</v>
      </c>
      <c r="J4757" s="206" t="s">
        <v>121</v>
      </c>
      <c r="K4757" s="206" t="s">
        <v>121</v>
      </c>
      <c r="L4757" s="206" t="str">
        <v/>
      </c>
      <c r="M4757" s="206" t="str">
        <v/>
      </c>
    </row>
    <row r="4758" spans="1:13" ht="14.4">
      <c r="A4758" s="201"/>
      <c r="B4758" s="209"/>
      <c r="C4758" s="201"/>
      <c r="D4758" s="201"/>
      <c r="E4758" s="202"/>
      <c r="F4758" s="210"/>
      <c r="G4758" s="210"/>
      <c r="H4758" s="206" t="s">
        <v>121</v>
      </c>
      <c r="I4758" s="206" t="s">
        <v>121</v>
      </c>
      <c r="J4758" s="206" t="s">
        <v>121</v>
      </c>
      <c r="K4758" s="206" t="s">
        <v>121</v>
      </c>
      <c r="L4758" s="206" t="str">
        <v/>
      </c>
      <c r="M4758" s="206" t="str">
        <v/>
      </c>
    </row>
    <row r="4759" spans="1:13" ht="14.4">
      <c r="A4759" s="201"/>
      <c r="B4759" s="209"/>
      <c r="C4759" s="201"/>
      <c r="D4759" s="201"/>
      <c r="E4759" s="202"/>
      <c r="F4759" s="210"/>
      <c r="G4759" s="210"/>
      <c r="H4759" s="206" t="s">
        <v>121</v>
      </c>
      <c r="I4759" s="206" t="s">
        <v>121</v>
      </c>
      <c r="J4759" s="206" t="s">
        <v>121</v>
      </c>
      <c r="K4759" s="206" t="s">
        <v>121</v>
      </c>
      <c r="L4759" s="206" t="str">
        <v/>
      </c>
      <c r="M4759" s="206" t="str">
        <v/>
      </c>
    </row>
    <row r="4760" spans="1:13" ht="14.4">
      <c r="A4760" s="201"/>
      <c r="B4760" s="209"/>
      <c r="C4760" s="201"/>
      <c r="D4760" s="201"/>
      <c r="E4760" s="202"/>
      <c r="F4760" s="210"/>
      <c r="G4760" s="210"/>
      <c r="H4760" s="206" t="s">
        <v>121</v>
      </c>
      <c r="I4760" s="206" t="s">
        <v>121</v>
      </c>
      <c r="J4760" s="206" t="s">
        <v>121</v>
      </c>
      <c r="K4760" s="206" t="s">
        <v>121</v>
      </c>
      <c r="L4760" s="206" t="str">
        <v/>
      </c>
      <c r="M4760" s="206" t="str">
        <v/>
      </c>
    </row>
    <row r="4761" spans="1:13" ht="14.4">
      <c r="A4761" s="201"/>
      <c r="B4761" s="209"/>
      <c r="C4761" s="201"/>
      <c r="D4761" s="201"/>
      <c r="E4761" s="202"/>
      <c r="F4761" s="210"/>
      <c r="G4761" s="210"/>
      <c r="H4761" s="206" t="s">
        <v>121</v>
      </c>
      <c r="I4761" s="206" t="s">
        <v>121</v>
      </c>
      <c r="J4761" s="206" t="s">
        <v>121</v>
      </c>
      <c r="K4761" s="206" t="s">
        <v>121</v>
      </c>
      <c r="L4761" s="206" t="str">
        <v/>
      </c>
      <c r="M4761" s="206" t="str">
        <v/>
      </c>
    </row>
    <row r="4762" spans="1:13" ht="14.4">
      <c r="A4762" s="201"/>
      <c r="B4762" s="209"/>
      <c r="C4762" s="201"/>
      <c r="D4762" s="201"/>
      <c r="E4762" s="202"/>
      <c r="F4762" s="210"/>
      <c r="G4762" s="210"/>
      <c r="H4762" s="206" t="s">
        <v>121</v>
      </c>
      <c r="I4762" s="206" t="s">
        <v>121</v>
      </c>
      <c r="J4762" s="206" t="s">
        <v>121</v>
      </c>
      <c r="K4762" s="206" t="s">
        <v>121</v>
      </c>
      <c r="L4762" s="206" t="str">
        <v/>
      </c>
      <c r="M4762" s="206" t="str">
        <v/>
      </c>
    </row>
    <row r="4763" spans="1:13" ht="14.4">
      <c r="A4763" s="201"/>
      <c r="B4763" s="209"/>
      <c r="C4763" s="201"/>
      <c r="D4763" s="201"/>
      <c r="E4763" s="202"/>
      <c r="F4763" s="210"/>
      <c r="G4763" s="210"/>
      <c r="H4763" s="206" t="s">
        <v>121</v>
      </c>
      <c r="I4763" s="206" t="s">
        <v>121</v>
      </c>
      <c r="J4763" s="206" t="s">
        <v>121</v>
      </c>
      <c r="K4763" s="206" t="s">
        <v>121</v>
      </c>
      <c r="L4763" s="206" t="str">
        <v/>
      </c>
      <c r="M4763" s="206" t="str">
        <v/>
      </c>
    </row>
    <row r="4764" spans="1:13" ht="14.4">
      <c r="A4764" s="201"/>
      <c r="B4764" s="209"/>
      <c r="C4764" s="201"/>
      <c r="D4764" s="201"/>
      <c r="E4764" s="202"/>
      <c r="F4764" s="210"/>
      <c r="G4764" s="210"/>
      <c r="H4764" s="206" t="s">
        <v>121</v>
      </c>
      <c r="I4764" s="206" t="s">
        <v>121</v>
      </c>
      <c r="J4764" s="206" t="s">
        <v>121</v>
      </c>
      <c r="K4764" s="206" t="s">
        <v>121</v>
      </c>
      <c r="L4764" s="206" t="str">
        <v/>
      </c>
      <c r="M4764" s="206" t="str">
        <v/>
      </c>
    </row>
    <row r="4765" spans="1:13" ht="14.4">
      <c r="A4765" s="201"/>
      <c r="B4765" s="209"/>
      <c r="C4765" s="201"/>
      <c r="D4765" s="201"/>
      <c r="E4765" s="202"/>
      <c r="F4765" s="210"/>
      <c r="G4765" s="210"/>
      <c r="H4765" s="206" t="s">
        <v>121</v>
      </c>
      <c r="I4765" s="206" t="s">
        <v>121</v>
      </c>
      <c r="J4765" s="206" t="s">
        <v>121</v>
      </c>
      <c r="K4765" s="206" t="s">
        <v>121</v>
      </c>
      <c r="L4765" s="206" t="str">
        <v/>
      </c>
      <c r="M4765" s="206" t="str">
        <v/>
      </c>
    </row>
    <row r="4766" spans="1:13" ht="14.4">
      <c r="A4766" s="201"/>
      <c r="B4766" s="209"/>
      <c r="C4766" s="201"/>
      <c r="D4766" s="201"/>
      <c r="E4766" s="202"/>
      <c r="F4766" s="210"/>
      <c r="G4766" s="210"/>
      <c r="H4766" s="206" t="s">
        <v>121</v>
      </c>
      <c r="I4766" s="206" t="s">
        <v>121</v>
      </c>
      <c r="J4766" s="206" t="s">
        <v>121</v>
      </c>
      <c r="K4766" s="206" t="s">
        <v>121</v>
      </c>
      <c r="L4766" s="206" t="str">
        <v/>
      </c>
      <c r="M4766" s="206" t="str">
        <v/>
      </c>
    </row>
    <row r="4767" spans="1:13" ht="14.4">
      <c r="A4767" s="201"/>
      <c r="B4767" s="209"/>
      <c r="C4767" s="201"/>
      <c r="D4767" s="201"/>
      <c r="E4767" s="202"/>
      <c r="F4767" s="210"/>
      <c r="G4767" s="210"/>
      <c r="H4767" s="206" t="s">
        <v>121</v>
      </c>
      <c r="I4767" s="206" t="s">
        <v>121</v>
      </c>
      <c r="J4767" s="206" t="s">
        <v>121</v>
      </c>
      <c r="K4767" s="206" t="s">
        <v>121</v>
      </c>
      <c r="L4767" s="206" t="str">
        <v/>
      </c>
      <c r="M4767" s="206" t="str">
        <v/>
      </c>
    </row>
    <row r="4768" spans="1:13" ht="14.4">
      <c r="A4768" s="201"/>
      <c r="B4768" s="209"/>
      <c r="C4768" s="201"/>
      <c r="D4768" s="201"/>
      <c r="E4768" s="202"/>
      <c r="F4768" s="210"/>
      <c r="G4768" s="210"/>
      <c r="H4768" s="206" t="s">
        <v>121</v>
      </c>
      <c r="I4768" s="206" t="s">
        <v>121</v>
      </c>
      <c r="J4768" s="206" t="s">
        <v>121</v>
      </c>
      <c r="K4768" s="206" t="s">
        <v>121</v>
      </c>
      <c r="L4768" s="206" t="str">
        <v/>
      </c>
      <c r="M4768" s="206" t="str">
        <v/>
      </c>
    </row>
    <row r="4769" spans="1:13" ht="14.4">
      <c r="A4769" s="201"/>
      <c r="B4769" s="209"/>
      <c r="C4769" s="201"/>
      <c r="D4769" s="201"/>
      <c r="E4769" s="202"/>
      <c r="F4769" s="210"/>
      <c r="G4769" s="210"/>
      <c r="H4769" s="206" t="s">
        <v>121</v>
      </c>
      <c r="I4769" s="206" t="s">
        <v>121</v>
      </c>
      <c r="J4769" s="206" t="s">
        <v>121</v>
      </c>
      <c r="K4769" s="206" t="s">
        <v>121</v>
      </c>
      <c r="L4769" s="206" t="str">
        <v/>
      </c>
      <c r="M4769" s="206" t="str">
        <v/>
      </c>
    </row>
    <row r="4770" spans="1:13" ht="14.4">
      <c r="A4770" s="201"/>
      <c r="B4770" s="209"/>
      <c r="C4770" s="201"/>
      <c r="D4770" s="201"/>
      <c r="E4770" s="202"/>
      <c r="F4770" s="210"/>
      <c r="G4770" s="210"/>
      <c r="H4770" s="206" t="s">
        <v>121</v>
      </c>
      <c r="I4770" s="206" t="s">
        <v>121</v>
      </c>
      <c r="J4770" s="206" t="s">
        <v>121</v>
      </c>
      <c r="K4770" s="206" t="s">
        <v>121</v>
      </c>
      <c r="L4770" s="206" t="str">
        <v/>
      </c>
      <c r="M4770" s="206" t="str">
        <v/>
      </c>
    </row>
    <row r="4771" spans="1:13" ht="14.4">
      <c r="A4771" s="201"/>
      <c r="B4771" s="209"/>
      <c r="C4771" s="201"/>
      <c r="D4771" s="201"/>
      <c r="E4771" s="202"/>
      <c r="F4771" s="210"/>
      <c r="G4771" s="210"/>
      <c r="H4771" s="206" t="s">
        <v>121</v>
      </c>
      <c r="I4771" s="206" t="s">
        <v>121</v>
      </c>
      <c r="J4771" s="206" t="s">
        <v>121</v>
      </c>
      <c r="K4771" s="206" t="s">
        <v>121</v>
      </c>
      <c r="L4771" s="206" t="str">
        <v/>
      </c>
      <c r="M4771" s="206" t="str">
        <v/>
      </c>
    </row>
    <row r="4772" spans="1:13" ht="14.4">
      <c r="A4772" s="201"/>
      <c r="B4772" s="209"/>
      <c r="C4772" s="201"/>
      <c r="D4772" s="201"/>
      <c r="E4772" s="202"/>
      <c r="F4772" s="210"/>
      <c r="G4772" s="210"/>
      <c r="H4772" s="206" t="s">
        <v>121</v>
      </c>
      <c r="I4772" s="206" t="s">
        <v>121</v>
      </c>
      <c r="J4772" s="206" t="s">
        <v>121</v>
      </c>
      <c r="K4772" s="206" t="s">
        <v>121</v>
      </c>
      <c r="L4772" s="206" t="str">
        <v/>
      </c>
      <c r="M4772" s="206" t="str">
        <v/>
      </c>
    </row>
    <row r="4773" spans="1:13" ht="14.4">
      <c r="A4773" s="201"/>
      <c r="B4773" s="209"/>
      <c r="C4773" s="201"/>
      <c r="D4773" s="201"/>
      <c r="E4773" s="202"/>
      <c r="F4773" s="210"/>
      <c r="G4773" s="210"/>
      <c r="H4773" s="206" t="s">
        <v>121</v>
      </c>
      <c r="I4773" s="206" t="s">
        <v>121</v>
      </c>
      <c r="J4773" s="206" t="s">
        <v>121</v>
      </c>
      <c r="K4773" s="206" t="s">
        <v>121</v>
      </c>
      <c r="L4773" s="206" t="str">
        <v/>
      </c>
      <c r="M4773" s="206" t="str">
        <v/>
      </c>
    </row>
    <row r="4774" spans="1:13" ht="14.4">
      <c r="A4774" s="201"/>
      <c r="B4774" s="209"/>
      <c r="C4774" s="201"/>
      <c r="D4774" s="201"/>
      <c r="E4774" s="202"/>
      <c r="F4774" s="210"/>
      <c r="G4774" s="210"/>
      <c r="H4774" s="206" t="s">
        <v>121</v>
      </c>
      <c r="I4774" s="206" t="s">
        <v>121</v>
      </c>
      <c r="J4774" s="206" t="s">
        <v>121</v>
      </c>
      <c r="K4774" s="206" t="s">
        <v>121</v>
      </c>
      <c r="L4774" s="206" t="str">
        <v/>
      </c>
      <c r="M4774" s="206" t="str">
        <v/>
      </c>
    </row>
    <row r="4775" spans="1:13" ht="14.4">
      <c r="A4775" s="201"/>
      <c r="B4775" s="209"/>
      <c r="C4775" s="201"/>
      <c r="D4775" s="201"/>
      <c r="E4775" s="202"/>
      <c r="F4775" s="210"/>
      <c r="G4775" s="210"/>
      <c r="H4775" s="206" t="s">
        <v>121</v>
      </c>
      <c r="I4775" s="206" t="s">
        <v>121</v>
      </c>
      <c r="J4775" s="206" t="s">
        <v>121</v>
      </c>
      <c r="K4775" s="206" t="s">
        <v>121</v>
      </c>
      <c r="L4775" s="206" t="str">
        <v/>
      </c>
      <c r="M4775" s="206" t="str">
        <v/>
      </c>
    </row>
    <row r="4776" spans="1:13" ht="14.4">
      <c r="A4776" s="201"/>
      <c r="B4776" s="209"/>
      <c r="C4776" s="201"/>
      <c r="D4776" s="201"/>
      <c r="E4776" s="202"/>
      <c r="F4776" s="210"/>
      <c r="G4776" s="210"/>
      <c r="H4776" s="206" t="s">
        <v>121</v>
      </c>
      <c r="I4776" s="206" t="s">
        <v>121</v>
      </c>
      <c r="J4776" s="206" t="s">
        <v>121</v>
      </c>
      <c r="K4776" s="206" t="s">
        <v>121</v>
      </c>
      <c r="L4776" s="206" t="str">
        <v/>
      </c>
      <c r="M4776" s="206" t="str">
        <v/>
      </c>
    </row>
    <row r="4777" spans="1:13" ht="14.4">
      <c r="A4777" s="201"/>
      <c r="B4777" s="209"/>
      <c r="C4777" s="201"/>
      <c r="D4777" s="201"/>
      <c r="E4777" s="202"/>
      <c r="F4777" s="210"/>
      <c r="G4777" s="210"/>
      <c r="H4777" s="206" t="s">
        <v>121</v>
      </c>
      <c r="I4777" s="206" t="s">
        <v>121</v>
      </c>
      <c r="J4777" s="206" t="s">
        <v>121</v>
      </c>
      <c r="K4777" s="206" t="s">
        <v>121</v>
      </c>
      <c r="L4777" s="206" t="str">
        <v/>
      </c>
      <c r="M4777" s="206" t="str">
        <v/>
      </c>
    </row>
    <row r="4778" spans="1:13" ht="14.4">
      <c r="A4778" s="201"/>
      <c r="B4778" s="209"/>
      <c r="C4778" s="201"/>
      <c r="D4778" s="201"/>
      <c r="E4778" s="202"/>
      <c r="F4778" s="210"/>
      <c r="G4778" s="210"/>
      <c r="H4778" s="206" t="s">
        <v>121</v>
      </c>
      <c r="I4778" s="206" t="s">
        <v>121</v>
      </c>
      <c r="J4778" s="206" t="s">
        <v>121</v>
      </c>
      <c r="K4778" s="206" t="s">
        <v>121</v>
      </c>
      <c r="L4778" s="206" t="str">
        <v/>
      </c>
      <c r="M4778" s="206" t="str">
        <v/>
      </c>
    </row>
    <row r="4779" spans="1:13" ht="14.4">
      <c r="A4779" s="201"/>
      <c r="B4779" s="209"/>
      <c r="C4779" s="201"/>
      <c r="D4779" s="201"/>
      <c r="E4779" s="202"/>
      <c r="F4779" s="210"/>
      <c r="G4779" s="210"/>
      <c r="H4779" s="206" t="s">
        <v>121</v>
      </c>
      <c r="I4779" s="206" t="s">
        <v>121</v>
      </c>
      <c r="J4779" s="206" t="s">
        <v>121</v>
      </c>
      <c r="K4779" s="206" t="s">
        <v>121</v>
      </c>
      <c r="L4779" s="206" t="str">
        <v/>
      </c>
      <c r="M4779" s="206" t="str">
        <v/>
      </c>
    </row>
    <row r="4780" spans="1:13" ht="14.4">
      <c r="A4780" s="201"/>
      <c r="B4780" s="209"/>
      <c r="C4780" s="201"/>
      <c r="D4780" s="201"/>
      <c r="E4780" s="202"/>
      <c r="F4780" s="210"/>
      <c r="G4780" s="210"/>
      <c r="H4780" s="206" t="s">
        <v>121</v>
      </c>
      <c r="I4780" s="206" t="s">
        <v>121</v>
      </c>
      <c r="J4780" s="206" t="s">
        <v>121</v>
      </c>
      <c r="K4780" s="206" t="s">
        <v>121</v>
      </c>
      <c r="L4780" s="206" t="str">
        <v/>
      </c>
      <c r="M4780" s="206" t="str">
        <v/>
      </c>
    </row>
    <row r="4781" spans="1:13" ht="14.4">
      <c r="A4781" s="201"/>
      <c r="B4781" s="209"/>
      <c r="C4781" s="201"/>
      <c r="D4781" s="201"/>
      <c r="E4781" s="202"/>
      <c r="F4781" s="210"/>
      <c r="G4781" s="210"/>
      <c r="H4781" s="206" t="s">
        <v>121</v>
      </c>
      <c r="I4781" s="206" t="s">
        <v>121</v>
      </c>
      <c r="J4781" s="206" t="s">
        <v>121</v>
      </c>
      <c r="K4781" s="206" t="s">
        <v>121</v>
      </c>
      <c r="L4781" s="206" t="str">
        <v/>
      </c>
      <c r="M4781" s="206" t="str">
        <v/>
      </c>
    </row>
    <row r="4782" spans="1:13" ht="14.4">
      <c r="A4782" s="201"/>
      <c r="B4782" s="209"/>
      <c r="C4782" s="201"/>
      <c r="D4782" s="201"/>
      <c r="E4782" s="202"/>
      <c r="F4782" s="210"/>
      <c r="G4782" s="210"/>
      <c r="H4782" s="206" t="s">
        <v>121</v>
      </c>
      <c r="I4782" s="206" t="s">
        <v>121</v>
      </c>
      <c r="J4782" s="206" t="s">
        <v>121</v>
      </c>
      <c r="K4782" s="206" t="s">
        <v>121</v>
      </c>
      <c r="L4782" s="206" t="str">
        <v/>
      </c>
      <c r="M4782" s="206" t="str">
        <v/>
      </c>
    </row>
    <row r="4783" spans="1:13" ht="14.4">
      <c r="A4783" s="201"/>
      <c r="B4783" s="209"/>
      <c r="C4783" s="201"/>
      <c r="D4783" s="201"/>
      <c r="E4783" s="202"/>
      <c r="F4783" s="210"/>
      <c r="G4783" s="210"/>
      <c r="H4783" s="206" t="s">
        <v>121</v>
      </c>
      <c r="I4783" s="206" t="s">
        <v>121</v>
      </c>
      <c r="J4783" s="206" t="s">
        <v>121</v>
      </c>
      <c r="K4783" s="206" t="s">
        <v>121</v>
      </c>
      <c r="L4783" s="206" t="str">
        <v/>
      </c>
      <c r="M4783" s="206" t="str">
        <v/>
      </c>
    </row>
    <row r="4784" spans="1:13" ht="14.4">
      <c r="A4784" s="201"/>
      <c r="B4784" s="209"/>
      <c r="C4784" s="201"/>
      <c r="D4784" s="201"/>
      <c r="E4784" s="202"/>
      <c r="F4784" s="210"/>
      <c r="G4784" s="210"/>
      <c r="H4784" s="206" t="s">
        <v>121</v>
      </c>
      <c r="I4784" s="206" t="s">
        <v>121</v>
      </c>
      <c r="J4784" s="206" t="s">
        <v>121</v>
      </c>
      <c r="K4784" s="206" t="s">
        <v>121</v>
      </c>
      <c r="L4784" s="206" t="str">
        <v/>
      </c>
      <c r="M4784" s="206" t="str">
        <v/>
      </c>
    </row>
    <row r="4785" spans="1:13" ht="14.4">
      <c r="A4785" s="201"/>
      <c r="B4785" s="209"/>
      <c r="C4785" s="201"/>
      <c r="D4785" s="201"/>
      <c r="E4785" s="202"/>
      <c r="F4785" s="210"/>
      <c r="G4785" s="210"/>
      <c r="H4785" s="206" t="s">
        <v>121</v>
      </c>
      <c r="I4785" s="206" t="s">
        <v>121</v>
      </c>
      <c r="J4785" s="206" t="s">
        <v>121</v>
      </c>
      <c r="K4785" s="206" t="s">
        <v>121</v>
      </c>
      <c r="L4785" s="206" t="str">
        <v/>
      </c>
      <c r="M4785" s="206" t="str">
        <v/>
      </c>
    </row>
    <row r="4786" spans="1:13" ht="14.4">
      <c r="A4786" s="201"/>
      <c r="B4786" s="209"/>
      <c r="C4786" s="201"/>
      <c r="D4786" s="201"/>
      <c r="E4786" s="202"/>
      <c r="F4786" s="210"/>
      <c r="G4786" s="210"/>
      <c r="H4786" s="206" t="s">
        <v>121</v>
      </c>
      <c r="I4786" s="206" t="s">
        <v>121</v>
      </c>
      <c r="J4786" s="206" t="s">
        <v>121</v>
      </c>
      <c r="K4786" s="206" t="s">
        <v>121</v>
      </c>
      <c r="L4786" s="206" t="str">
        <v/>
      </c>
      <c r="M4786" s="206" t="str">
        <v/>
      </c>
    </row>
    <row r="4787" spans="1:13" ht="14.4">
      <c r="A4787" s="201"/>
      <c r="B4787" s="209"/>
      <c r="C4787" s="201"/>
      <c r="D4787" s="201"/>
      <c r="E4787" s="202"/>
      <c r="F4787" s="210"/>
      <c r="G4787" s="210"/>
      <c r="H4787" s="206" t="s">
        <v>121</v>
      </c>
      <c r="I4787" s="206" t="s">
        <v>121</v>
      </c>
      <c r="J4787" s="206" t="s">
        <v>121</v>
      </c>
      <c r="K4787" s="206" t="s">
        <v>121</v>
      </c>
      <c r="L4787" s="206" t="str">
        <v/>
      </c>
      <c r="M4787" s="206" t="str">
        <v/>
      </c>
    </row>
    <row r="4788" spans="1:13" ht="14.4">
      <c r="A4788" s="201"/>
      <c r="B4788" s="209"/>
      <c r="C4788" s="201"/>
      <c r="D4788" s="201"/>
      <c r="E4788" s="202"/>
      <c r="F4788" s="210"/>
      <c r="G4788" s="210"/>
      <c r="H4788" s="206" t="s">
        <v>121</v>
      </c>
      <c r="I4788" s="206" t="s">
        <v>121</v>
      </c>
      <c r="J4788" s="206" t="s">
        <v>121</v>
      </c>
      <c r="K4788" s="206" t="s">
        <v>121</v>
      </c>
      <c r="L4788" s="206" t="str">
        <v/>
      </c>
      <c r="M4788" s="206" t="str">
        <v/>
      </c>
    </row>
    <row r="4789" spans="1:13" ht="14.4">
      <c r="A4789" s="201"/>
      <c r="B4789" s="209"/>
      <c r="C4789" s="201"/>
      <c r="D4789" s="201"/>
      <c r="E4789" s="202"/>
      <c r="F4789" s="210"/>
      <c r="G4789" s="210"/>
      <c r="H4789" s="206" t="s">
        <v>121</v>
      </c>
      <c r="I4789" s="206" t="s">
        <v>121</v>
      </c>
      <c r="J4789" s="206" t="s">
        <v>121</v>
      </c>
      <c r="K4789" s="206" t="s">
        <v>121</v>
      </c>
      <c r="L4789" s="206" t="str">
        <v/>
      </c>
      <c r="M4789" s="206" t="str">
        <v/>
      </c>
    </row>
    <row r="4790" spans="1:13" ht="14.4">
      <c r="A4790" s="201"/>
      <c r="B4790" s="209"/>
      <c r="C4790" s="201"/>
      <c r="D4790" s="201"/>
      <c r="E4790" s="202"/>
      <c r="F4790" s="210"/>
      <c r="G4790" s="210"/>
      <c r="H4790" s="206" t="s">
        <v>121</v>
      </c>
      <c r="I4790" s="206" t="s">
        <v>121</v>
      </c>
      <c r="J4790" s="206" t="s">
        <v>121</v>
      </c>
      <c r="K4790" s="206" t="s">
        <v>121</v>
      </c>
      <c r="L4790" s="206" t="str">
        <v/>
      </c>
      <c r="M4790" s="206" t="str">
        <v/>
      </c>
    </row>
    <row r="4791" spans="1:13" ht="14.4">
      <c r="A4791" s="201"/>
      <c r="B4791" s="209"/>
      <c r="C4791" s="201"/>
      <c r="D4791" s="201"/>
      <c r="E4791" s="202"/>
      <c r="F4791" s="210"/>
      <c r="G4791" s="210"/>
      <c r="H4791" s="206" t="s">
        <v>121</v>
      </c>
      <c r="I4791" s="206" t="s">
        <v>121</v>
      </c>
      <c r="J4791" s="206" t="s">
        <v>121</v>
      </c>
      <c r="K4791" s="206" t="s">
        <v>121</v>
      </c>
      <c r="L4791" s="206" t="str">
        <v/>
      </c>
      <c r="M4791" s="206" t="str">
        <v/>
      </c>
    </row>
    <row r="4792" spans="1:13" ht="14.4">
      <c r="A4792" s="201"/>
      <c r="B4792" s="209"/>
      <c r="C4792" s="201"/>
      <c r="D4792" s="201"/>
      <c r="E4792" s="202"/>
      <c r="F4792" s="210"/>
      <c r="G4792" s="210"/>
      <c r="H4792" s="206" t="s">
        <v>121</v>
      </c>
      <c r="I4792" s="206" t="s">
        <v>121</v>
      </c>
      <c r="J4792" s="206" t="s">
        <v>121</v>
      </c>
      <c r="K4792" s="206" t="s">
        <v>121</v>
      </c>
      <c r="L4792" s="206" t="str">
        <v/>
      </c>
      <c r="M4792" s="206" t="str">
        <v/>
      </c>
    </row>
    <row r="4793" spans="1:13" ht="14.4">
      <c r="A4793" s="201"/>
      <c r="B4793" s="209"/>
      <c r="C4793" s="201"/>
      <c r="D4793" s="201"/>
      <c r="E4793" s="202"/>
      <c r="F4793" s="210"/>
      <c r="G4793" s="210"/>
      <c r="H4793" s="206" t="s">
        <v>121</v>
      </c>
      <c r="I4793" s="206" t="s">
        <v>121</v>
      </c>
      <c r="J4793" s="206" t="s">
        <v>121</v>
      </c>
      <c r="K4793" s="206" t="s">
        <v>121</v>
      </c>
      <c r="L4793" s="206" t="str">
        <v/>
      </c>
      <c r="M4793" s="206" t="str">
        <v/>
      </c>
    </row>
    <row r="4794" spans="1:13" ht="14.4">
      <c r="A4794" s="201"/>
      <c r="B4794" s="209"/>
      <c r="C4794" s="201"/>
      <c r="D4794" s="201"/>
      <c r="E4794" s="202"/>
      <c r="F4794" s="210"/>
      <c r="G4794" s="210"/>
      <c r="H4794" s="206" t="s">
        <v>121</v>
      </c>
      <c r="I4794" s="206" t="s">
        <v>121</v>
      </c>
      <c r="J4794" s="206" t="s">
        <v>121</v>
      </c>
      <c r="K4794" s="206" t="s">
        <v>121</v>
      </c>
      <c r="L4794" s="206" t="str">
        <v/>
      </c>
      <c r="M4794" s="206" t="str">
        <v/>
      </c>
    </row>
    <row r="4795" spans="1:13" ht="14.4">
      <c r="A4795" s="201"/>
      <c r="B4795" s="209"/>
      <c r="C4795" s="201"/>
      <c r="D4795" s="201"/>
      <c r="E4795" s="202"/>
      <c r="F4795" s="210"/>
      <c r="G4795" s="210"/>
      <c r="H4795" s="206" t="s">
        <v>121</v>
      </c>
      <c r="I4795" s="206" t="s">
        <v>121</v>
      </c>
      <c r="J4795" s="206" t="s">
        <v>121</v>
      </c>
      <c r="K4795" s="206" t="s">
        <v>121</v>
      </c>
      <c r="L4795" s="206" t="str">
        <v/>
      </c>
      <c r="M4795" s="206" t="str">
        <v/>
      </c>
    </row>
    <row r="4796" spans="1:13" ht="14.4">
      <c r="A4796" s="201"/>
      <c r="B4796" s="209"/>
      <c r="C4796" s="201"/>
      <c r="D4796" s="201"/>
      <c r="E4796" s="202"/>
      <c r="F4796" s="210"/>
      <c r="G4796" s="210"/>
      <c r="H4796" s="206" t="s">
        <v>121</v>
      </c>
      <c r="I4796" s="206" t="s">
        <v>121</v>
      </c>
      <c r="J4796" s="206" t="s">
        <v>121</v>
      </c>
      <c r="K4796" s="206" t="s">
        <v>121</v>
      </c>
      <c r="L4796" s="206" t="str">
        <v/>
      </c>
      <c r="M4796" s="206" t="str">
        <v/>
      </c>
    </row>
    <row r="4797" spans="1:13" ht="14.4">
      <c r="A4797" s="201"/>
      <c r="B4797" s="209"/>
      <c r="C4797" s="201"/>
      <c r="D4797" s="201"/>
      <c r="E4797" s="202"/>
      <c r="F4797" s="210"/>
      <c r="G4797" s="210"/>
      <c r="H4797" s="206" t="s">
        <v>121</v>
      </c>
      <c r="I4797" s="206" t="s">
        <v>121</v>
      </c>
      <c r="J4797" s="206" t="s">
        <v>121</v>
      </c>
      <c r="K4797" s="206" t="s">
        <v>121</v>
      </c>
      <c r="L4797" s="206" t="str">
        <v/>
      </c>
      <c r="M4797" s="206" t="str">
        <v/>
      </c>
    </row>
    <row r="4798" spans="1:13" ht="14.4">
      <c r="A4798" s="201"/>
      <c r="B4798" s="209"/>
      <c r="C4798" s="201"/>
      <c r="D4798" s="201"/>
      <c r="E4798" s="202"/>
      <c r="F4798" s="210"/>
      <c r="G4798" s="210"/>
      <c r="H4798" s="206" t="s">
        <v>121</v>
      </c>
      <c r="I4798" s="206" t="s">
        <v>121</v>
      </c>
      <c r="J4798" s="206" t="s">
        <v>121</v>
      </c>
      <c r="K4798" s="206" t="s">
        <v>121</v>
      </c>
      <c r="L4798" s="206" t="str">
        <v/>
      </c>
      <c r="M4798" s="206" t="str">
        <v/>
      </c>
    </row>
    <row r="4799" spans="1:13" ht="14.4">
      <c r="A4799" s="201"/>
      <c r="B4799" s="209"/>
      <c r="C4799" s="201"/>
      <c r="D4799" s="201"/>
      <c r="E4799" s="202"/>
      <c r="F4799" s="210"/>
      <c r="G4799" s="210"/>
      <c r="H4799" s="206" t="s">
        <v>121</v>
      </c>
      <c r="I4799" s="206" t="s">
        <v>121</v>
      </c>
      <c r="J4799" s="206" t="s">
        <v>121</v>
      </c>
      <c r="K4799" s="206" t="s">
        <v>121</v>
      </c>
      <c r="L4799" s="206" t="str">
        <v/>
      </c>
      <c r="M4799" s="206" t="str">
        <v/>
      </c>
    </row>
    <row r="4800" spans="1:13" ht="14.4">
      <c r="A4800" s="201"/>
      <c r="B4800" s="209"/>
      <c r="C4800" s="201"/>
      <c r="D4800" s="201"/>
      <c r="E4800" s="202"/>
      <c r="F4800" s="210"/>
      <c r="G4800" s="210"/>
      <c r="H4800" s="206" t="s">
        <v>121</v>
      </c>
      <c r="I4800" s="206" t="s">
        <v>121</v>
      </c>
      <c r="J4800" s="206" t="s">
        <v>121</v>
      </c>
      <c r="K4800" s="206" t="s">
        <v>121</v>
      </c>
      <c r="L4800" s="206" t="str">
        <v/>
      </c>
      <c r="M4800" s="206" t="str">
        <v/>
      </c>
    </row>
    <row r="4801" spans="1:13" ht="14.4">
      <c r="A4801" s="201"/>
      <c r="B4801" s="209"/>
      <c r="C4801" s="201"/>
      <c r="D4801" s="201"/>
      <c r="E4801" s="202"/>
      <c r="F4801" s="210"/>
      <c r="G4801" s="210"/>
      <c r="H4801" s="206" t="s">
        <v>121</v>
      </c>
      <c r="I4801" s="206" t="s">
        <v>121</v>
      </c>
      <c r="J4801" s="206" t="s">
        <v>121</v>
      </c>
      <c r="K4801" s="206" t="s">
        <v>121</v>
      </c>
      <c r="L4801" s="206" t="str">
        <v/>
      </c>
      <c r="M4801" s="206" t="str">
        <v/>
      </c>
    </row>
    <row r="4802" spans="1:13" ht="14.4">
      <c r="A4802" s="201"/>
      <c r="B4802" s="209"/>
      <c r="C4802" s="201"/>
      <c r="D4802" s="201"/>
      <c r="E4802" s="202"/>
      <c r="F4802" s="210"/>
      <c r="G4802" s="210"/>
      <c r="H4802" s="206" t="s">
        <v>121</v>
      </c>
      <c r="I4802" s="206" t="s">
        <v>121</v>
      </c>
      <c r="J4802" s="206" t="s">
        <v>121</v>
      </c>
      <c r="K4802" s="206" t="s">
        <v>121</v>
      </c>
      <c r="L4802" s="206" t="str">
        <v/>
      </c>
      <c r="M4802" s="206" t="str">
        <v/>
      </c>
    </row>
    <row r="4803" spans="1:13" ht="14.4">
      <c r="A4803" s="201"/>
      <c r="B4803" s="209"/>
      <c r="C4803" s="201"/>
      <c r="D4803" s="201"/>
      <c r="E4803" s="202"/>
      <c r="F4803" s="210"/>
      <c r="G4803" s="210"/>
      <c r="H4803" s="206" t="s">
        <v>121</v>
      </c>
      <c r="I4803" s="206" t="s">
        <v>121</v>
      </c>
      <c r="J4803" s="206" t="s">
        <v>121</v>
      </c>
      <c r="K4803" s="206" t="s">
        <v>121</v>
      </c>
      <c r="L4803" s="206" t="str">
        <v/>
      </c>
      <c r="M4803" s="206" t="str">
        <v/>
      </c>
    </row>
    <row r="4804" spans="1:13" ht="14.4">
      <c r="A4804" s="201"/>
      <c r="B4804" s="209"/>
      <c r="C4804" s="201"/>
      <c r="D4804" s="201"/>
      <c r="E4804" s="202"/>
      <c r="F4804" s="210"/>
      <c r="G4804" s="210"/>
      <c r="H4804" s="206" t="s">
        <v>121</v>
      </c>
      <c r="I4804" s="206" t="s">
        <v>121</v>
      </c>
      <c r="J4804" s="206" t="s">
        <v>121</v>
      </c>
      <c r="K4804" s="206" t="s">
        <v>121</v>
      </c>
      <c r="L4804" s="206" t="str">
        <v/>
      </c>
      <c r="M4804" s="206" t="str">
        <v/>
      </c>
    </row>
    <row r="4805" spans="1:13" ht="14.4">
      <c r="A4805" s="201"/>
      <c r="B4805" s="209"/>
      <c r="C4805" s="201"/>
      <c r="D4805" s="201"/>
      <c r="E4805" s="202"/>
      <c r="F4805" s="210"/>
      <c r="G4805" s="210"/>
      <c r="H4805" s="206" t="s">
        <v>121</v>
      </c>
      <c r="I4805" s="206" t="s">
        <v>121</v>
      </c>
      <c r="J4805" s="206" t="s">
        <v>121</v>
      </c>
      <c r="K4805" s="206" t="s">
        <v>121</v>
      </c>
      <c r="L4805" s="206" t="str">
        <v/>
      </c>
      <c r="M4805" s="206" t="str">
        <v/>
      </c>
    </row>
    <row r="4806" spans="1:13" ht="14.4">
      <c r="A4806" s="201"/>
      <c r="B4806" s="209"/>
      <c r="C4806" s="201"/>
      <c r="D4806" s="201"/>
      <c r="E4806" s="202"/>
      <c r="F4806" s="210"/>
      <c r="G4806" s="210"/>
      <c r="H4806" s="206" t="s">
        <v>121</v>
      </c>
      <c r="I4806" s="206" t="s">
        <v>121</v>
      </c>
      <c r="J4806" s="206" t="s">
        <v>121</v>
      </c>
      <c r="K4806" s="206" t="s">
        <v>121</v>
      </c>
      <c r="L4806" s="206" t="str">
        <v/>
      </c>
      <c r="M4806" s="206" t="str">
        <v/>
      </c>
    </row>
    <row r="4807" spans="1:13" ht="14.4">
      <c r="A4807" s="201"/>
      <c r="B4807" s="209"/>
      <c r="C4807" s="201"/>
      <c r="D4807" s="201"/>
      <c r="E4807" s="202"/>
      <c r="F4807" s="210"/>
      <c r="G4807" s="210"/>
      <c r="H4807" s="206" t="s">
        <v>121</v>
      </c>
      <c r="I4807" s="206" t="s">
        <v>121</v>
      </c>
      <c r="J4807" s="206" t="s">
        <v>121</v>
      </c>
      <c r="K4807" s="206" t="s">
        <v>121</v>
      </c>
      <c r="L4807" s="206" t="str">
        <v/>
      </c>
      <c r="M4807" s="206" t="str">
        <v/>
      </c>
    </row>
    <row r="4808" spans="1:13" ht="14.4">
      <c r="A4808" s="201"/>
      <c r="B4808" s="209"/>
      <c r="C4808" s="201"/>
      <c r="D4808" s="201"/>
      <c r="E4808" s="202"/>
      <c r="F4808" s="210"/>
      <c r="G4808" s="210"/>
      <c r="H4808" s="206" t="s">
        <v>121</v>
      </c>
      <c r="I4808" s="206" t="s">
        <v>121</v>
      </c>
      <c r="J4808" s="206" t="s">
        <v>121</v>
      </c>
      <c r="K4808" s="206" t="s">
        <v>121</v>
      </c>
      <c r="L4808" s="206" t="str">
        <v/>
      </c>
      <c r="M4808" s="206" t="str">
        <v/>
      </c>
    </row>
    <row r="4809" spans="1:13" ht="14.4">
      <c r="A4809" s="201"/>
      <c r="B4809" s="209"/>
      <c r="C4809" s="201"/>
      <c r="D4809" s="201"/>
      <c r="E4809" s="202"/>
      <c r="F4809" s="210"/>
      <c r="G4809" s="210"/>
      <c r="H4809" s="206" t="s">
        <v>121</v>
      </c>
      <c r="I4809" s="206" t="s">
        <v>121</v>
      </c>
      <c r="J4809" s="206" t="s">
        <v>121</v>
      </c>
      <c r="K4809" s="206" t="s">
        <v>121</v>
      </c>
      <c r="L4809" s="206" t="str">
        <v/>
      </c>
      <c r="M4809" s="206" t="str">
        <v/>
      </c>
    </row>
    <row r="4810" spans="1:13" ht="14.4">
      <c r="A4810" s="201"/>
      <c r="B4810" s="209"/>
      <c r="C4810" s="201"/>
      <c r="D4810" s="201"/>
      <c r="E4810" s="202"/>
      <c r="F4810" s="210"/>
      <c r="G4810" s="210"/>
      <c r="H4810" s="206" t="s">
        <v>121</v>
      </c>
      <c r="I4810" s="206" t="s">
        <v>121</v>
      </c>
      <c r="J4810" s="206" t="s">
        <v>121</v>
      </c>
      <c r="K4810" s="206" t="s">
        <v>121</v>
      </c>
      <c r="L4810" s="206" t="str">
        <v/>
      </c>
      <c r="M4810" s="206" t="str">
        <v/>
      </c>
    </row>
    <row r="4811" spans="1:13" ht="14.4">
      <c r="A4811" s="201"/>
      <c r="B4811" s="209"/>
      <c r="C4811" s="201"/>
      <c r="D4811" s="201"/>
      <c r="E4811" s="202"/>
      <c r="F4811" s="210"/>
      <c r="G4811" s="210"/>
      <c r="H4811" s="206" t="s">
        <v>121</v>
      </c>
      <c r="I4811" s="206" t="s">
        <v>121</v>
      </c>
      <c r="J4811" s="206" t="s">
        <v>121</v>
      </c>
      <c r="K4811" s="206" t="s">
        <v>121</v>
      </c>
      <c r="L4811" s="206" t="str">
        <v/>
      </c>
      <c r="M4811" s="206" t="str">
        <v/>
      </c>
    </row>
    <row r="4812" spans="1:13" ht="14.4">
      <c r="A4812" s="201"/>
      <c r="B4812" s="209"/>
      <c r="C4812" s="201"/>
      <c r="D4812" s="201"/>
      <c r="E4812" s="202"/>
      <c r="F4812" s="210"/>
      <c r="G4812" s="210"/>
      <c r="H4812" s="206" t="s">
        <v>121</v>
      </c>
      <c r="I4812" s="206" t="s">
        <v>121</v>
      </c>
      <c r="J4812" s="206" t="s">
        <v>121</v>
      </c>
      <c r="K4812" s="206" t="s">
        <v>121</v>
      </c>
      <c r="L4812" s="206" t="str">
        <v/>
      </c>
      <c r="M4812" s="206" t="str">
        <v/>
      </c>
    </row>
    <row r="4813" spans="1:13" ht="14.4">
      <c r="A4813" s="201"/>
      <c r="B4813" s="209"/>
      <c r="C4813" s="201"/>
      <c r="D4813" s="201"/>
      <c r="E4813" s="202"/>
      <c r="F4813" s="210"/>
      <c r="G4813" s="210"/>
      <c r="H4813" s="206" t="s">
        <v>121</v>
      </c>
      <c r="I4813" s="206" t="s">
        <v>121</v>
      </c>
      <c r="J4813" s="206" t="s">
        <v>121</v>
      </c>
      <c r="K4813" s="206" t="s">
        <v>121</v>
      </c>
      <c r="L4813" s="206" t="str">
        <v/>
      </c>
      <c r="M4813" s="206" t="str">
        <v/>
      </c>
    </row>
    <row r="4814" spans="1:13" ht="14.4">
      <c r="A4814" s="201"/>
      <c r="B4814" s="209"/>
      <c r="C4814" s="201"/>
      <c r="D4814" s="201"/>
      <c r="E4814" s="202"/>
      <c r="F4814" s="210"/>
      <c r="G4814" s="210"/>
      <c r="H4814" s="206" t="s">
        <v>121</v>
      </c>
      <c r="I4814" s="206" t="s">
        <v>121</v>
      </c>
      <c r="J4814" s="206" t="s">
        <v>121</v>
      </c>
      <c r="K4814" s="206" t="s">
        <v>121</v>
      </c>
      <c r="L4814" s="206" t="str">
        <v/>
      </c>
      <c r="M4814" s="206" t="str">
        <v/>
      </c>
    </row>
    <row r="4815" spans="1:13" ht="14.4">
      <c r="A4815" s="201"/>
      <c r="B4815" s="209"/>
      <c r="C4815" s="201"/>
      <c r="D4815" s="201"/>
      <c r="E4815" s="202"/>
      <c r="F4815" s="210"/>
      <c r="G4815" s="210"/>
      <c r="H4815" s="206" t="s">
        <v>121</v>
      </c>
      <c r="I4815" s="206" t="s">
        <v>121</v>
      </c>
      <c r="J4815" s="206" t="s">
        <v>121</v>
      </c>
      <c r="K4815" s="206" t="s">
        <v>121</v>
      </c>
      <c r="L4815" s="206" t="str">
        <v/>
      </c>
      <c r="M4815" s="206" t="str">
        <v/>
      </c>
    </row>
    <row r="4816" spans="1:13" ht="14.4">
      <c r="A4816" s="201"/>
      <c r="B4816" s="209"/>
      <c r="C4816" s="201"/>
      <c r="D4816" s="201"/>
      <c r="E4816" s="202"/>
      <c r="F4816" s="210"/>
      <c r="G4816" s="210"/>
      <c r="H4816" s="206" t="s">
        <v>121</v>
      </c>
      <c r="I4816" s="206" t="s">
        <v>121</v>
      </c>
      <c r="J4816" s="206" t="s">
        <v>121</v>
      </c>
      <c r="K4816" s="206" t="s">
        <v>121</v>
      </c>
      <c r="L4816" s="206" t="str">
        <v/>
      </c>
      <c r="M4816" s="206" t="str">
        <v/>
      </c>
    </row>
    <row r="4817" spans="1:13" ht="14.4">
      <c r="A4817" s="201"/>
      <c r="B4817" s="209"/>
      <c r="C4817" s="201"/>
      <c r="D4817" s="201"/>
      <c r="E4817" s="202"/>
      <c r="F4817" s="210"/>
      <c r="G4817" s="210"/>
      <c r="H4817" s="206" t="s">
        <v>121</v>
      </c>
      <c r="I4817" s="206" t="s">
        <v>121</v>
      </c>
      <c r="J4817" s="206" t="s">
        <v>121</v>
      </c>
      <c r="K4817" s="206" t="s">
        <v>121</v>
      </c>
      <c r="L4817" s="206" t="str">
        <v/>
      </c>
      <c r="M4817" s="206" t="str">
        <v/>
      </c>
    </row>
    <row r="4818" spans="1:13" ht="14.4">
      <c r="A4818" s="201"/>
      <c r="B4818" s="209"/>
      <c r="C4818" s="201"/>
      <c r="D4818" s="201"/>
      <c r="E4818" s="202"/>
      <c r="F4818" s="210"/>
      <c r="G4818" s="210"/>
      <c r="H4818" s="206" t="s">
        <v>121</v>
      </c>
      <c r="I4818" s="206" t="s">
        <v>121</v>
      </c>
      <c r="J4818" s="206" t="s">
        <v>121</v>
      </c>
      <c r="K4818" s="206" t="s">
        <v>121</v>
      </c>
      <c r="L4818" s="206" t="str">
        <v/>
      </c>
      <c r="M4818" s="206" t="str">
        <v/>
      </c>
    </row>
    <row r="4819" spans="1:13" ht="14.4">
      <c r="A4819" s="201"/>
      <c r="B4819" s="209"/>
      <c r="C4819" s="201"/>
      <c r="D4819" s="201"/>
      <c r="E4819" s="202"/>
      <c r="F4819" s="210"/>
      <c r="G4819" s="210"/>
      <c r="H4819" s="206" t="s">
        <v>121</v>
      </c>
      <c r="I4819" s="206" t="s">
        <v>121</v>
      </c>
      <c r="J4819" s="206" t="s">
        <v>121</v>
      </c>
      <c r="K4819" s="206" t="s">
        <v>121</v>
      </c>
      <c r="L4819" s="206" t="str">
        <v/>
      </c>
      <c r="M4819" s="206" t="str">
        <v/>
      </c>
    </row>
    <row r="4820" spans="1:13" ht="14.4">
      <c r="A4820" s="201"/>
      <c r="B4820" s="209"/>
      <c r="C4820" s="201"/>
      <c r="D4820" s="201"/>
      <c r="E4820" s="202"/>
      <c r="F4820" s="210"/>
      <c r="G4820" s="210"/>
      <c r="H4820" s="206" t="s">
        <v>121</v>
      </c>
      <c r="I4820" s="206" t="s">
        <v>121</v>
      </c>
      <c r="J4820" s="206" t="s">
        <v>121</v>
      </c>
      <c r="K4820" s="206" t="s">
        <v>121</v>
      </c>
      <c r="L4820" s="206" t="str">
        <v/>
      </c>
      <c r="M4820" s="206" t="str">
        <v/>
      </c>
    </row>
    <row r="4821" spans="1:13" ht="14.4">
      <c r="A4821" s="201"/>
      <c r="B4821" s="209"/>
      <c r="C4821" s="201"/>
      <c r="D4821" s="201"/>
      <c r="E4821" s="202"/>
      <c r="F4821" s="210"/>
      <c r="G4821" s="210"/>
      <c r="H4821" s="206" t="s">
        <v>121</v>
      </c>
      <c r="I4821" s="206" t="s">
        <v>121</v>
      </c>
      <c r="J4821" s="206" t="s">
        <v>121</v>
      </c>
      <c r="K4821" s="206" t="s">
        <v>121</v>
      </c>
      <c r="L4821" s="206" t="str">
        <v/>
      </c>
      <c r="M4821" s="206" t="str">
        <v/>
      </c>
    </row>
    <row r="4822" spans="1:13" ht="14.4">
      <c r="A4822" s="201"/>
      <c r="B4822" s="209"/>
      <c r="C4822" s="201"/>
      <c r="D4822" s="201"/>
      <c r="E4822" s="202"/>
      <c r="F4822" s="210"/>
      <c r="G4822" s="210"/>
      <c r="H4822" s="206" t="s">
        <v>121</v>
      </c>
      <c r="I4822" s="206" t="s">
        <v>121</v>
      </c>
      <c r="J4822" s="206" t="s">
        <v>121</v>
      </c>
      <c r="K4822" s="206" t="s">
        <v>121</v>
      </c>
      <c r="L4822" s="206" t="str">
        <v/>
      </c>
      <c r="M4822" s="206" t="str">
        <v/>
      </c>
    </row>
    <row r="4823" spans="1:13" ht="14.4">
      <c r="A4823" s="201"/>
      <c r="B4823" s="209"/>
      <c r="C4823" s="201"/>
      <c r="D4823" s="201"/>
      <c r="E4823" s="202"/>
      <c r="F4823" s="210"/>
      <c r="G4823" s="210"/>
      <c r="H4823" s="206" t="s">
        <v>121</v>
      </c>
      <c r="I4823" s="206" t="s">
        <v>121</v>
      </c>
      <c r="J4823" s="206" t="s">
        <v>121</v>
      </c>
      <c r="K4823" s="206" t="s">
        <v>121</v>
      </c>
      <c r="L4823" s="206" t="str">
        <v/>
      </c>
      <c r="M4823" s="206" t="str">
        <v/>
      </c>
    </row>
    <row r="4824" spans="1:13" ht="14.4">
      <c r="A4824" s="201"/>
      <c r="B4824" s="209"/>
      <c r="C4824" s="201"/>
      <c r="D4824" s="201"/>
      <c r="E4824" s="202"/>
      <c r="F4824" s="210"/>
      <c r="G4824" s="210"/>
      <c r="H4824" s="206" t="s">
        <v>121</v>
      </c>
      <c r="I4824" s="206" t="s">
        <v>121</v>
      </c>
      <c r="J4824" s="206" t="s">
        <v>121</v>
      </c>
      <c r="K4824" s="206" t="s">
        <v>121</v>
      </c>
      <c r="L4824" s="206" t="str">
        <v/>
      </c>
      <c r="M4824" s="206" t="str">
        <v/>
      </c>
    </row>
    <row r="4825" spans="1:13" ht="14.4">
      <c r="A4825" s="201"/>
      <c r="B4825" s="209"/>
      <c r="C4825" s="201"/>
      <c r="D4825" s="201"/>
      <c r="E4825" s="202"/>
      <c r="F4825" s="210"/>
      <c r="G4825" s="210"/>
      <c r="H4825" s="206" t="s">
        <v>121</v>
      </c>
      <c r="I4825" s="206" t="s">
        <v>121</v>
      </c>
      <c r="J4825" s="206" t="s">
        <v>121</v>
      </c>
      <c r="K4825" s="206" t="s">
        <v>121</v>
      </c>
      <c r="L4825" s="206" t="str">
        <v/>
      </c>
      <c r="M4825" s="206" t="str">
        <v/>
      </c>
    </row>
    <row r="4826" spans="1:13" ht="14.4">
      <c r="A4826" s="201"/>
      <c r="B4826" s="209"/>
      <c r="C4826" s="201"/>
      <c r="D4826" s="201"/>
      <c r="E4826" s="202"/>
      <c r="F4826" s="210"/>
      <c r="G4826" s="210"/>
      <c r="H4826" s="206" t="s">
        <v>121</v>
      </c>
      <c r="I4826" s="206" t="s">
        <v>121</v>
      </c>
      <c r="J4826" s="206" t="s">
        <v>121</v>
      </c>
      <c r="K4826" s="206" t="s">
        <v>121</v>
      </c>
      <c r="L4826" s="206" t="str">
        <v/>
      </c>
      <c r="M4826" s="206" t="str">
        <v/>
      </c>
    </row>
    <row r="4827" spans="1:13" ht="14.4">
      <c r="A4827" s="201"/>
      <c r="B4827" s="209"/>
      <c r="C4827" s="201"/>
      <c r="D4827" s="201"/>
      <c r="E4827" s="202"/>
      <c r="F4827" s="210"/>
      <c r="G4827" s="210"/>
      <c r="H4827" s="206" t="s">
        <v>121</v>
      </c>
      <c r="I4827" s="206" t="s">
        <v>121</v>
      </c>
      <c r="J4827" s="206" t="s">
        <v>121</v>
      </c>
      <c r="K4827" s="206" t="s">
        <v>121</v>
      </c>
      <c r="L4827" s="206" t="str">
        <v/>
      </c>
      <c r="M4827" s="206" t="str">
        <v/>
      </c>
    </row>
    <row r="4828" spans="1:13" ht="14.4">
      <c r="A4828" s="201"/>
      <c r="B4828" s="209"/>
      <c r="C4828" s="201"/>
      <c r="D4828" s="201"/>
      <c r="E4828" s="202"/>
      <c r="F4828" s="210"/>
      <c r="G4828" s="210"/>
      <c r="H4828" s="206" t="s">
        <v>121</v>
      </c>
      <c r="I4828" s="206" t="s">
        <v>121</v>
      </c>
      <c r="J4828" s="206" t="s">
        <v>121</v>
      </c>
      <c r="K4828" s="206" t="s">
        <v>121</v>
      </c>
      <c r="L4828" s="206" t="str">
        <v/>
      </c>
      <c r="M4828" s="206" t="str">
        <v/>
      </c>
    </row>
    <row r="4829" spans="1:13" ht="14.4">
      <c r="A4829" s="201"/>
      <c r="B4829" s="209"/>
      <c r="C4829" s="201"/>
      <c r="D4829" s="201"/>
      <c r="E4829" s="202"/>
      <c r="F4829" s="210"/>
      <c r="G4829" s="210"/>
      <c r="H4829" s="206" t="s">
        <v>121</v>
      </c>
      <c r="I4829" s="206" t="s">
        <v>121</v>
      </c>
      <c r="J4829" s="206" t="s">
        <v>121</v>
      </c>
      <c r="K4829" s="206" t="s">
        <v>121</v>
      </c>
      <c r="L4829" s="206" t="str">
        <v/>
      </c>
      <c r="M4829" s="206" t="str">
        <v/>
      </c>
    </row>
    <row r="4830" spans="1:13" ht="14.4">
      <c r="A4830" s="201"/>
      <c r="B4830" s="209"/>
      <c r="C4830" s="201"/>
      <c r="D4830" s="201"/>
      <c r="E4830" s="202"/>
      <c r="F4830" s="210"/>
      <c r="G4830" s="210"/>
      <c r="H4830" s="206" t="s">
        <v>121</v>
      </c>
      <c r="I4830" s="206" t="s">
        <v>121</v>
      </c>
      <c r="J4830" s="206" t="s">
        <v>121</v>
      </c>
      <c r="K4830" s="206" t="s">
        <v>121</v>
      </c>
      <c r="L4830" s="206" t="str">
        <v/>
      </c>
      <c r="M4830" s="206" t="str">
        <v/>
      </c>
    </row>
    <row r="4831" spans="1:13" ht="14.4">
      <c r="A4831" s="201"/>
      <c r="B4831" s="209"/>
      <c r="C4831" s="201"/>
      <c r="D4831" s="201"/>
      <c r="E4831" s="202"/>
      <c r="F4831" s="210"/>
      <c r="G4831" s="210"/>
      <c r="H4831" s="206" t="s">
        <v>121</v>
      </c>
      <c r="I4831" s="206" t="s">
        <v>121</v>
      </c>
      <c r="J4831" s="206" t="s">
        <v>121</v>
      </c>
      <c r="K4831" s="206" t="s">
        <v>121</v>
      </c>
      <c r="L4831" s="206" t="str">
        <v/>
      </c>
      <c r="M4831" s="206" t="str">
        <v/>
      </c>
    </row>
    <row r="4832" spans="1:13" ht="14.4">
      <c r="A4832" s="201"/>
      <c r="B4832" s="209"/>
      <c r="C4832" s="201"/>
      <c r="D4832" s="201"/>
      <c r="E4832" s="202"/>
      <c r="F4832" s="210"/>
      <c r="G4832" s="210"/>
      <c r="H4832" s="206" t="s">
        <v>121</v>
      </c>
      <c r="I4832" s="206" t="s">
        <v>121</v>
      </c>
      <c r="J4832" s="206" t="s">
        <v>121</v>
      </c>
      <c r="K4832" s="206" t="s">
        <v>121</v>
      </c>
      <c r="L4832" s="206" t="str">
        <v/>
      </c>
      <c r="M4832" s="206" t="str">
        <v/>
      </c>
    </row>
    <row r="4833" spans="1:13" ht="14.4">
      <c r="A4833" s="201"/>
      <c r="B4833" s="209"/>
      <c r="C4833" s="201"/>
      <c r="D4833" s="201"/>
      <c r="E4833" s="202"/>
      <c r="F4833" s="210"/>
      <c r="G4833" s="210"/>
      <c r="H4833" s="206" t="s">
        <v>121</v>
      </c>
      <c r="I4833" s="206" t="s">
        <v>121</v>
      </c>
      <c r="J4833" s="206" t="s">
        <v>121</v>
      </c>
      <c r="K4833" s="206" t="s">
        <v>121</v>
      </c>
      <c r="L4833" s="206" t="str">
        <v/>
      </c>
      <c r="M4833" s="206" t="str">
        <v/>
      </c>
    </row>
    <row r="4834" spans="1:13" ht="14.4">
      <c r="A4834" s="201"/>
      <c r="B4834" s="209"/>
      <c r="C4834" s="201"/>
      <c r="D4834" s="201"/>
      <c r="E4834" s="202"/>
      <c r="F4834" s="210"/>
      <c r="G4834" s="210"/>
      <c r="H4834" s="206" t="s">
        <v>121</v>
      </c>
      <c r="I4834" s="206" t="s">
        <v>121</v>
      </c>
      <c r="J4834" s="206" t="s">
        <v>121</v>
      </c>
      <c r="K4834" s="206" t="s">
        <v>121</v>
      </c>
      <c r="L4834" s="206" t="str">
        <v/>
      </c>
      <c r="M4834" s="206" t="str">
        <v/>
      </c>
    </row>
    <row r="4835" spans="1:13" ht="14.4">
      <c r="A4835" s="201"/>
      <c r="B4835" s="209"/>
      <c r="C4835" s="201"/>
      <c r="D4835" s="201"/>
      <c r="E4835" s="202"/>
      <c r="F4835" s="210"/>
      <c r="G4835" s="210"/>
      <c r="H4835" s="206" t="s">
        <v>121</v>
      </c>
      <c r="I4835" s="206" t="s">
        <v>121</v>
      </c>
      <c r="J4835" s="206" t="s">
        <v>121</v>
      </c>
      <c r="K4835" s="206" t="s">
        <v>121</v>
      </c>
      <c r="L4835" s="206" t="str">
        <v/>
      </c>
      <c r="M4835" s="206" t="str">
        <v/>
      </c>
    </row>
    <row r="4836" spans="1:13" ht="14.4">
      <c r="A4836" s="201"/>
      <c r="B4836" s="209"/>
      <c r="C4836" s="201"/>
      <c r="D4836" s="201"/>
      <c r="E4836" s="202"/>
      <c r="F4836" s="210"/>
      <c r="G4836" s="210"/>
      <c r="H4836" s="206" t="s">
        <v>121</v>
      </c>
      <c r="I4836" s="206" t="s">
        <v>121</v>
      </c>
      <c r="J4836" s="206" t="s">
        <v>121</v>
      </c>
      <c r="K4836" s="206" t="s">
        <v>121</v>
      </c>
      <c r="L4836" s="206" t="str">
        <v/>
      </c>
      <c r="M4836" s="206" t="str">
        <v/>
      </c>
    </row>
    <row r="4837" spans="1:13" ht="14.4">
      <c r="A4837" s="201"/>
      <c r="B4837" s="209"/>
      <c r="C4837" s="201"/>
      <c r="D4837" s="201"/>
      <c r="E4837" s="202"/>
      <c r="F4837" s="210"/>
      <c r="G4837" s="210"/>
      <c r="H4837" s="206" t="s">
        <v>121</v>
      </c>
      <c r="I4837" s="206" t="s">
        <v>121</v>
      </c>
      <c r="J4837" s="206" t="s">
        <v>121</v>
      </c>
      <c r="K4837" s="206" t="s">
        <v>121</v>
      </c>
      <c r="L4837" s="206" t="str">
        <v/>
      </c>
      <c r="M4837" s="206" t="str">
        <v/>
      </c>
    </row>
    <row r="4838" spans="1:13" ht="14.4">
      <c r="A4838" s="201"/>
      <c r="B4838" s="209"/>
      <c r="C4838" s="201"/>
      <c r="D4838" s="201"/>
      <c r="E4838" s="202"/>
      <c r="F4838" s="210"/>
      <c r="G4838" s="210"/>
      <c r="H4838" s="206" t="s">
        <v>121</v>
      </c>
      <c r="I4838" s="206" t="s">
        <v>121</v>
      </c>
      <c r="J4838" s="206" t="s">
        <v>121</v>
      </c>
      <c r="K4838" s="206" t="s">
        <v>121</v>
      </c>
      <c r="L4838" s="206" t="str">
        <v/>
      </c>
      <c r="M4838" s="206" t="str">
        <v/>
      </c>
    </row>
    <row r="4839" spans="1:13" ht="14.4">
      <c r="A4839" s="201"/>
      <c r="B4839" s="209"/>
      <c r="C4839" s="201"/>
      <c r="D4839" s="201"/>
      <c r="E4839" s="202"/>
      <c r="F4839" s="210"/>
      <c r="G4839" s="210"/>
      <c r="H4839" s="206" t="s">
        <v>121</v>
      </c>
      <c r="I4839" s="206" t="s">
        <v>121</v>
      </c>
      <c r="J4839" s="206" t="s">
        <v>121</v>
      </c>
      <c r="K4839" s="206" t="s">
        <v>121</v>
      </c>
      <c r="L4839" s="206" t="str">
        <v/>
      </c>
      <c r="M4839" s="206" t="str">
        <v/>
      </c>
    </row>
    <row r="4840" spans="1:13" ht="14.4">
      <c r="A4840" s="201"/>
      <c r="B4840" s="209"/>
      <c r="C4840" s="201"/>
      <c r="D4840" s="201"/>
      <c r="E4840" s="202"/>
      <c r="F4840" s="210"/>
      <c r="G4840" s="210"/>
      <c r="H4840" s="206" t="s">
        <v>121</v>
      </c>
      <c r="I4840" s="206" t="s">
        <v>121</v>
      </c>
      <c r="J4840" s="206" t="s">
        <v>121</v>
      </c>
      <c r="K4840" s="206" t="s">
        <v>121</v>
      </c>
      <c r="L4840" s="206" t="str">
        <v/>
      </c>
      <c r="M4840" s="206" t="str">
        <v/>
      </c>
    </row>
    <row r="4841" spans="1:13" ht="14.4">
      <c r="A4841" s="201"/>
      <c r="B4841" s="209"/>
      <c r="C4841" s="201"/>
      <c r="D4841" s="201"/>
      <c r="E4841" s="202"/>
      <c r="F4841" s="210"/>
      <c r="G4841" s="210"/>
      <c r="H4841" s="206" t="s">
        <v>121</v>
      </c>
      <c r="I4841" s="206" t="s">
        <v>121</v>
      </c>
      <c r="J4841" s="206" t="s">
        <v>121</v>
      </c>
      <c r="K4841" s="206" t="s">
        <v>121</v>
      </c>
      <c r="L4841" s="206" t="str">
        <v/>
      </c>
      <c r="M4841" s="206" t="str">
        <v/>
      </c>
    </row>
    <row r="4842" spans="1:13" ht="14.4">
      <c r="A4842" s="201"/>
      <c r="B4842" s="209"/>
      <c r="C4842" s="201"/>
      <c r="D4842" s="201"/>
      <c r="E4842" s="202"/>
      <c r="F4842" s="210"/>
      <c r="G4842" s="210"/>
      <c r="H4842" s="206" t="s">
        <v>121</v>
      </c>
      <c r="I4842" s="206" t="s">
        <v>121</v>
      </c>
      <c r="J4842" s="206" t="s">
        <v>121</v>
      </c>
      <c r="K4842" s="206" t="s">
        <v>121</v>
      </c>
      <c r="L4842" s="206" t="str">
        <v/>
      </c>
      <c r="M4842" s="206" t="str">
        <v/>
      </c>
    </row>
    <row r="4843" spans="1:13" ht="14.4">
      <c r="A4843" s="201"/>
      <c r="B4843" s="209"/>
      <c r="C4843" s="201"/>
      <c r="D4843" s="201"/>
      <c r="E4843" s="202"/>
      <c r="F4843" s="210"/>
      <c r="G4843" s="210"/>
      <c r="H4843" s="206" t="s">
        <v>121</v>
      </c>
      <c r="I4843" s="206" t="s">
        <v>121</v>
      </c>
      <c r="J4843" s="206" t="s">
        <v>121</v>
      </c>
      <c r="K4843" s="206" t="s">
        <v>121</v>
      </c>
      <c r="L4843" s="206" t="str">
        <v/>
      </c>
      <c r="M4843" s="206" t="str">
        <v/>
      </c>
    </row>
    <row r="4844" spans="1:13" ht="14.4">
      <c r="A4844" s="201"/>
      <c r="B4844" s="209"/>
      <c r="C4844" s="201"/>
      <c r="D4844" s="201"/>
      <c r="E4844" s="202"/>
      <c r="F4844" s="210"/>
      <c r="G4844" s="210"/>
      <c r="H4844" s="206" t="s">
        <v>121</v>
      </c>
      <c r="I4844" s="206" t="s">
        <v>121</v>
      </c>
      <c r="J4844" s="206" t="s">
        <v>121</v>
      </c>
      <c r="K4844" s="206" t="s">
        <v>121</v>
      </c>
      <c r="L4844" s="206" t="str">
        <v/>
      </c>
      <c r="M4844" s="206" t="str">
        <v/>
      </c>
    </row>
    <row r="4845" spans="1:13" ht="14.4">
      <c r="A4845" s="201"/>
      <c r="B4845" s="209"/>
      <c r="C4845" s="201"/>
      <c r="D4845" s="201"/>
      <c r="E4845" s="202"/>
      <c r="F4845" s="210"/>
      <c r="G4845" s="210"/>
      <c r="H4845" s="206" t="s">
        <v>121</v>
      </c>
      <c r="I4845" s="206" t="s">
        <v>121</v>
      </c>
      <c r="J4845" s="206" t="s">
        <v>121</v>
      </c>
      <c r="K4845" s="206" t="s">
        <v>121</v>
      </c>
      <c r="L4845" s="206" t="str">
        <v/>
      </c>
      <c r="M4845" s="206" t="str">
        <v/>
      </c>
    </row>
    <row r="4846" spans="1:13" ht="14.4">
      <c r="A4846" s="201"/>
      <c r="B4846" s="209"/>
      <c r="C4846" s="201"/>
      <c r="D4846" s="201"/>
      <c r="E4846" s="202"/>
      <c r="F4846" s="210"/>
      <c r="G4846" s="210"/>
      <c r="H4846" s="206" t="s">
        <v>121</v>
      </c>
      <c r="I4846" s="206" t="s">
        <v>121</v>
      </c>
      <c r="J4846" s="206" t="s">
        <v>121</v>
      </c>
      <c r="K4846" s="206" t="s">
        <v>121</v>
      </c>
      <c r="L4846" s="206" t="str">
        <v/>
      </c>
      <c r="M4846" s="206" t="str">
        <v/>
      </c>
    </row>
    <row r="4847" spans="1:13" ht="14.4">
      <c r="A4847" s="201"/>
      <c r="B4847" s="209"/>
      <c r="C4847" s="201"/>
      <c r="D4847" s="201"/>
      <c r="E4847" s="202"/>
      <c r="F4847" s="210"/>
      <c r="G4847" s="210"/>
      <c r="H4847" s="206" t="s">
        <v>121</v>
      </c>
      <c r="I4847" s="206" t="s">
        <v>121</v>
      </c>
      <c r="J4847" s="206" t="s">
        <v>121</v>
      </c>
      <c r="K4847" s="206" t="s">
        <v>121</v>
      </c>
      <c r="L4847" s="206" t="str">
        <v/>
      </c>
      <c r="M4847" s="206" t="str">
        <v/>
      </c>
    </row>
    <row r="4848" spans="1:13" ht="14.4">
      <c r="A4848" s="201"/>
      <c r="B4848" s="209"/>
      <c r="C4848" s="201"/>
      <c r="D4848" s="201"/>
      <c r="E4848" s="202"/>
      <c r="F4848" s="210"/>
      <c r="G4848" s="210"/>
      <c r="H4848" s="206" t="s">
        <v>121</v>
      </c>
      <c r="I4848" s="206" t="s">
        <v>121</v>
      </c>
      <c r="J4848" s="206" t="s">
        <v>121</v>
      </c>
      <c r="K4848" s="206" t="s">
        <v>121</v>
      </c>
      <c r="L4848" s="206" t="str">
        <v/>
      </c>
      <c r="M4848" s="206" t="str">
        <v/>
      </c>
    </row>
    <row r="4849" spans="1:13" ht="14.4">
      <c r="A4849" s="201"/>
      <c r="B4849" s="209"/>
      <c r="C4849" s="201"/>
      <c r="D4849" s="201"/>
      <c r="E4849" s="202"/>
      <c r="F4849" s="210"/>
      <c r="G4849" s="210"/>
      <c r="H4849" s="206" t="s">
        <v>121</v>
      </c>
      <c r="I4849" s="206" t="s">
        <v>121</v>
      </c>
      <c r="J4849" s="206" t="s">
        <v>121</v>
      </c>
      <c r="K4849" s="206" t="s">
        <v>121</v>
      </c>
      <c r="L4849" s="206" t="str">
        <v/>
      </c>
      <c r="M4849" s="206" t="str">
        <v/>
      </c>
    </row>
    <row r="4850" spans="1:13" ht="14.4">
      <c r="A4850" s="201"/>
      <c r="B4850" s="209"/>
      <c r="C4850" s="201"/>
      <c r="D4850" s="201"/>
      <c r="E4850" s="202"/>
      <c r="F4850" s="210"/>
      <c r="G4850" s="210"/>
      <c r="H4850" s="206" t="s">
        <v>121</v>
      </c>
      <c r="I4850" s="206" t="s">
        <v>121</v>
      </c>
      <c r="J4850" s="206" t="s">
        <v>121</v>
      </c>
      <c r="K4850" s="206" t="s">
        <v>121</v>
      </c>
      <c r="L4850" s="206" t="str">
        <v/>
      </c>
      <c r="M4850" s="206" t="str">
        <v/>
      </c>
    </row>
    <row r="4851" spans="1:13" ht="14.4">
      <c r="A4851" s="201"/>
      <c r="B4851" s="209"/>
      <c r="C4851" s="201"/>
      <c r="D4851" s="201"/>
      <c r="E4851" s="202"/>
      <c r="F4851" s="210"/>
      <c r="G4851" s="210"/>
      <c r="H4851" s="206" t="s">
        <v>121</v>
      </c>
      <c r="I4851" s="206" t="s">
        <v>121</v>
      </c>
      <c r="J4851" s="206" t="s">
        <v>121</v>
      </c>
      <c r="K4851" s="206" t="s">
        <v>121</v>
      </c>
      <c r="L4851" s="206" t="str">
        <v/>
      </c>
      <c r="M4851" s="206" t="str">
        <v/>
      </c>
    </row>
    <row r="4852" spans="1:13" ht="14.4">
      <c r="A4852" s="201"/>
      <c r="B4852" s="209"/>
      <c r="C4852" s="201"/>
      <c r="D4852" s="201"/>
      <c r="E4852" s="202"/>
      <c r="F4852" s="210"/>
      <c r="G4852" s="210"/>
      <c r="H4852" s="206" t="s">
        <v>121</v>
      </c>
      <c r="I4852" s="206" t="s">
        <v>121</v>
      </c>
      <c r="J4852" s="206" t="s">
        <v>121</v>
      </c>
      <c r="K4852" s="206" t="s">
        <v>121</v>
      </c>
      <c r="L4852" s="206" t="str">
        <v/>
      </c>
      <c r="M4852" s="206" t="str">
        <v/>
      </c>
    </row>
    <row r="4853" spans="1:13" ht="14.4">
      <c r="A4853" s="201"/>
      <c r="B4853" s="209"/>
      <c r="C4853" s="201"/>
      <c r="D4853" s="201"/>
      <c r="E4853" s="202"/>
      <c r="F4853" s="210"/>
      <c r="G4853" s="210"/>
      <c r="H4853" s="206" t="s">
        <v>121</v>
      </c>
      <c r="I4853" s="206" t="s">
        <v>121</v>
      </c>
      <c r="J4853" s="206" t="s">
        <v>121</v>
      </c>
      <c r="K4853" s="206" t="s">
        <v>121</v>
      </c>
      <c r="L4853" s="206" t="str">
        <v/>
      </c>
      <c r="M4853" s="206" t="str">
        <v/>
      </c>
    </row>
    <row r="4854" spans="1:13" ht="14.4">
      <c r="A4854" s="201"/>
      <c r="B4854" s="209"/>
      <c r="C4854" s="201"/>
      <c r="D4854" s="201"/>
      <c r="E4854" s="202"/>
      <c r="F4854" s="210"/>
      <c r="G4854" s="210"/>
      <c r="H4854" s="206" t="s">
        <v>121</v>
      </c>
      <c r="I4854" s="206" t="s">
        <v>121</v>
      </c>
      <c r="J4854" s="206" t="s">
        <v>121</v>
      </c>
      <c r="K4854" s="206" t="s">
        <v>121</v>
      </c>
      <c r="L4854" s="206" t="str">
        <v/>
      </c>
      <c r="M4854" s="206" t="str">
        <v/>
      </c>
    </row>
    <row r="4855" spans="1:13" ht="14.4">
      <c r="A4855" s="201"/>
      <c r="B4855" s="209"/>
      <c r="C4855" s="201"/>
      <c r="D4855" s="201"/>
      <c r="E4855" s="202"/>
      <c r="F4855" s="210"/>
      <c r="G4855" s="210"/>
      <c r="H4855" s="206" t="s">
        <v>121</v>
      </c>
      <c r="I4855" s="206" t="s">
        <v>121</v>
      </c>
      <c r="J4855" s="206" t="s">
        <v>121</v>
      </c>
      <c r="K4855" s="206" t="s">
        <v>121</v>
      </c>
      <c r="L4855" s="206" t="str">
        <v/>
      </c>
      <c r="M4855" s="206" t="str">
        <v/>
      </c>
    </row>
    <row r="4856" spans="1:13" ht="14.4">
      <c r="A4856" s="201"/>
      <c r="B4856" s="209"/>
      <c r="C4856" s="201"/>
      <c r="D4856" s="201"/>
      <c r="E4856" s="202"/>
      <c r="F4856" s="210"/>
      <c r="G4856" s="210"/>
      <c r="H4856" s="206" t="s">
        <v>121</v>
      </c>
      <c r="I4856" s="206" t="s">
        <v>121</v>
      </c>
      <c r="J4856" s="206" t="s">
        <v>121</v>
      </c>
      <c r="K4856" s="206" t="s">
        <v>121</v>
      </c>
      <c r="L4856" s="206" t="str">
        <v/>
      </c>
      <c r="M4856" s="206" t="str">
        <v/>
      </c>
    </row>
    <row r="4857" spans="1:13" ht="14.4">
      <c r="A4857" s="201"/>
      <c r="B4857" s="209"/>
      <c r="C4857" s="201"/>
      <c r="D4857" s="201"/>
      <c r="E4857" s="202"/>
      <c r="F4857" s="210"/>
      <c r="G4857" s="210"/>
      <c r="H4857" s="206" t="s">
        <v>121</v>
      </c>
      <c r="I4857" s="206" t="s">
        <v>121</v>
      </c>
      <c r="J4857" s="206" t="s">
        <v>121</v>
      </c>
      <c r="K4857" s="206" t="s">
        <v>121</v>
      </c>
      <c r="L4857" s="206" t="str">
        <v/>
      </c>
      <c r="M4857" s="206" t="str">
        <v/>
      </c>
    </row>
    <row r="4858" spans="1:13" ht="14.4">
      <c r="A4858" s="201"/>
      <c r="B4858" s="209"/>
      <c r="C4858" s="201"/>
      <c r="D4858" s="201"/>
      <c r="E4858" s="202"/>
      <c r="F4858" s="210"/>
      <c r="G4858" s="210"/>
      <c r="H4858" s="206" t="s">
        <v>121</v>
      </c>
      <c r="I4858" s="206" t="s">
        <v>121</v>
      </c>
      <c r="J4858" s="206" t="s">
        <v>121</v>
      </c>
      <c r="K4858" s="206" t="s">
        <v>121</v>
      </c>
      <c r="L4858" s="206" t="str">
        <v/>
      </c>
      <c r="M4858" s="206" t="str">
        <v/>
      </c>
    </row>
    <row r="4859" spans="1:13" ht="14.4">
      <c r="A4859" s="201"/>
      <c r="B4859" s="209"/>
      <c r="C4859" s="201"/>
      <c r="D4859" s="201"/>
      <c r="E4859" s="202"/>
      <c r="F4859" s="210"/>
      <c r="G4859" s="210"/>
      <c r="H4859" s="206" t="s">
        <v>121</v>
      </c>
      <c r="I4859" s="206" t="s">
        <v>121</v>
      </c>
      <c r="J4859" s="206" t="s">
        <v>121</v>
      </c>
      <c r="K4859" s="206" t="s">
        <v>121</v>
      </c>
      <c r="L4859" s="206" t="str">
        <v/>
      </c>
      <c r="M4859" s="206" t="str">
        <v/>
      </c>
    </row>
    <row r="4860" spans="1:13" ht="14.4">
      <c r="A4860" s="201"/>
      <c r="B4860" s="209"/>
      <c r="C4860" s="201"/>
      <c r="D4860" s="201"/>
      <c r="E4860" s="202"/>
      <c r="F4860" s="210"/>
      <c r="G4860" s="210"/>
      <c r="H4860" s="206" t="s">
        <v>121</v>
      </c>
      <c r="I4860" s="206" t="s">
        <v>121</v>
      </c>
      <c r="J4860" s="206" t="s">
        <v>121</v>
      </c>
      <c r="K4860" s="206" t="s">
        <v>121</v>
      </c>
      <c r="L4860" s="206" t="str">
        <v/>
      </c>
      <c r="M4860" s="206" t="str">
        <v/>
      </c>
    </row>
    <row r="4861" spans="1:13" ht="14.4">
      <c r="A4861" s="201"/>
      <c r="B4861" s="209"/>
      <c r="C4861" s="201"/>
      <c r="D4861" s="201"/>
      <c r="E4861" s="202"/>
      <c r="F4861" s="210"/>
      <c r="G4861" s="210"/>
      <c r="H4861" s="206" t="s">
        <v>121</v>
      </c>
      <c r="I4861" s="206" t="s">
        <v>121</v>
      </c>
      <c r="J4861" s="206" t="s">
        <v>121</v>
      </c>
      <c r="K4861" s="206" t="s">
        <v>121</v>
      </c>
      <c r="L4861" s="206" t="str">
        <v/>
      </c>
      <c r="M4861" s="206" t="str">
        <v/>
      </c>
    </row>
    <row r="4862" spans="1:13" ht="14.4">
      <c r="A4862" s="201"/>
      <c r="B4862" s="209"/>
      <c r="C4862" s="201"/>
      <c r="D4862" s="201"/>
      <c r="E4862" s="202"/>
      <c r="F4862" s="210"/>
      <c r="G4862" s="210"/>
      <c r="H4862" s="206" t="s">
        <v>121</v>
      </c>
      <c r="I4862" s="206" t="s">
        <v>121</v>
      </c>
      <c r="J4862" s="206" t="s">
        <v>121</v>
      </c>
      <c r="K4862" s="206" t="s">
        <v>121</v>
      </c>
      <c r="L4862" s="206" t="str">
        <v/>
      </c>
      <c r="M4862" s="206" t="str">
        <v/>
      </c>
    </row>
    <row r="4863" spans="1:13" ht="14.4">
      <c r="A4863" s="201"/>
      <c r="B4863" s="209"/>
      <c r="C4863" s="201"/>
      <c r="D4863" s="201"/>
      <c r="E4863" s="202"/>
      <c r="F4863" s="210"/>
      <c r="G4863" s="210"/>
      <c r="H4863" s="206" t="s">
        <v>121</v>
      </c>
      <c r="I4863" s="206" t="s">
        <v>121</v>
      </c>
      <c r="J4863" s="206" t="s">
        <v>121</v>
      </c>
      <c r="K4863" s="206" t="s">
        <v>121</v>
      </c>
      <c r="L4863" s="206" t="str">
        <v/>
      </c>
      <c r="M4863" s="206" t="str">
        <v/>
      </c>
    </row>
    <row r="4864" spans="1:13" ht="14.4">
      <c r="A4864" s="201"/>
      <c r="B4864" s="209"/>
      <c r="C4864" s="201"/>
      <c r="D4864" s="201"/>
      <c r="E4864" s="202"/>
      <c r="F4864" s="210"/>
      <c r="G4864" s="210"/>
      <c r="H4864" s="206" t="s">
        <v>121</v>
      </c>
      <c r="I4864" s="206" t="s">
        <v>121</v>
      </c>
      <c r="J4864" s="206" t="s">
        <v>121</v>
      </c>
      <c r="K4864" s="206" t="s">
        <v>121</v>
      </c>
      <c r="L4864" s="206" t="str">
        <v/>
      </c>
      <c r="M4864" s="206" t="str">
        <v/>
      </c>
    </row>
    <row r="4865" spans="1:13" ht="14.4">
      <c r="A4865" s="201"/>
      <c r="B4865" s="209"/>
      <c r="C4865" s="201"/>
      <c r="D4865" s="201"/>
      <c r="E4865" s="202"/>
      <c r="F4865" s="210"/>
      <c r="G4865" s="210"/>
      <c r="H4865" s="206" t="s">
        <v>121</v>
      </c>
      <c r="I4865" s="206" t="s">
        <v>121</v>
      </c>
      <c r="J4865" s="206" t="s">
        <v>121</v>
      </c>
      <c r="K4865" s="206" t="s">
        <v>121</v>
      </c>
      <c r="L4865" s="206" t="str">
        <v/>
      </c>
      <c r="M4865" s="206" t="str">
        <v/>
      </c>
    </row>
    <row r="4866" spans="1:13" ht="14.4">
      <c r="A4866" s="201"/>
      <c r="B4866" s="209"/>
      <c r="C4866" s="201"/>
      <c r="D4866" s="201"/>
      <c r="E4866" s="202"/>
      <c r="F4866" s="210"/>
      <c r="G4866" s="210"/>
      <c r="H4866" s="206" t="s">
        <v>121</v>
      </c>
      <c r="I4866" s="206" t="s">
        <v>121</v>
      </c>
      <c r="J4866" s="206" t="s">
        <v>121</v>
      </c>
      <c r="K4866" s="206" t="s">
        <v>121</v>
      </c>
      <c r="L4866" s="206" t="str">
        <v/>
      </c>
      <c r="M4866" s="206" t="str">
        <v/>
      </c>
    </row>
    <row r="4867" spans="1:13" ht="14.4">
      <c r="A4867" s="201"/>
      <c r="B4867" s="209"/>
      <c r="C4867" s="201"/>
      <c r="D4867" s="201"/>
      <c r="E4867" s="202"/>
      <c r="F4867" s="210"/>
      <c r="G4867" s="210"/>
      <c r="H4867" s="206" t="s">
        <v>121</v>
      </c>
      <c r="I4867" s="206" t="s">
        <v>121</v>
      </c>
      <c r="J4867" s="206" t="s">
        <v>121</v>
      </c>
      <c r="K4867" s="206" t="s">
        <v>121</v>
      </c>
      <c r="L4867" s="206" t="str">
        <v/>
      </c>
      <c r="M4867" s="206" t="str">
        <v/>
      </c>
    </row>
    <row r="4868" spans="1:13" ht="14.4">
      <c r="A4868" s="201"/>
      <c r="B4868" s="209"/>
      <c r="C4868" s="201"/>
      <c r="D4868" s="201"/>
      <c r="E4868" s="202"/>
      <c r="F4868" s="210"/>
      <c r="G4868" s="210"/>
      <c r="H4868" s="206" t="s">
        <v>121</v>
      </c>
      <c r="I4868" s="206" t="s">
        <v>121</v>
      </c>
      <c r="J4868" s="206" t="s">
        <v>121</v>
      </c>
      <c r="K4868" s="206" t="s">
        <v>121</v>
      </c>
      <c r="L4868" s="206" t="str">
        <v/>
      </c>
      <c r="M4868" s="206" t="str">
        <v/>
      </c>
    </row>
    <row r="4869" spans="1:13" ht="14.4">
      <c r="A4869" s="201"/>
      <c r="B4869" s="209"/>
      <c r="C4869" s="201"/>
      <c r="D4869" s="201"/>
      <c r="E4869" s="202"/>
      <c r="F4869" s="210"/>
      <c r="G4869" s="210"/>
      <c r="H4869" s="206" t="s">
        <v>121</v>
      </c>
      <c r="I4869" s="206" t="s">
        <v>121</v>
      </c>
      <c r="J4869" s="206" t="s">
        <v>121</v>
      </c>
      <c r="K4869" s="206" t="s">
        <v>121</v>
      </c>
      <c r="L4869" s="206" t="str">
        <v/>
      </c>
      <c r="M4869" s="206" t="str">
        <v/>
      </c>
    </row>
    <row r="4870" spans="1:13" ht="14.4">
      <c r="A4870" s="201"/>
      <c r="B4870" s="209"/>
      <c r="C4870" s="201"/>
      <c r="D4870" s="201"/>
      <c r="E4870" s="202"/>
      <c r="F4870" s="210"/>
      <c r="G4870" s="210"/>
      <c r="H4870" s="206" t="s">
        <v>121</v>
      </c>
      <c r="I4870" s="206" t="s">
        <v>121</v>
      </c>
      <c r="J4870" s="206" t="s">
        <v>121</v>
      </c>
      <c r="K4870" s="206" t="s">
        <v>121</v>
      </c>
      <c r="L4870" s="206" t="str">
        <v/>
      </c>
      <c r="M4870" s="206" t="str">
        <v/>
      </c>
    </row>
    <row r="4871" spans="1:13" ht="14.4">
      <c r="A4871" s="201"/>
      <c r="B4871" s="209"/>
      <c r="C4871" s="201"/>
      <c r="D4871" s="201"/>
      <c r="E4871" s="202"/>
      <c r="F4871" s="210"/>
      <c r="G4871" s="210"/>
      <c r="H4871" s="206" t="s">
        <v>121</v>
      </c>
      <c r="I4871" s="206" t="s">
        <v>121</v>
      </c>
      <c r="J4871" s="206" t="s">
        <v>121</v>
      </c>
      <c r="K4871" s="206" t="s">
        <v>121</v>
      </c>
      <c r="L4871" s="206" t="str">
        <v/>
      </c>
      <c r="M4871" s="206" t="str">
        <v/>
      </c>
    </row>
    <row r="4872" spans="1:13" ht="14.4">
      <c r="A4872" s="201"/>
      <c r="B4872" s="209"/>
      <c r="C4872" s="201"/>
      <c r="D4872" s="201"/>
      <c r="E4872" s="202"/>
      <c r="F4872" s="210"/>
      <c r="G4872" s="210"/>
      <c r="H4872" s="206" t="s">
        <v>121</v>
      </c>
      <c r="I4872" s="206" t="s">
        <v>121</v>
      </c>
      <c r="J4872" s="206" t="s">
        <v>121</v>
      </c>
      <c r="K4872" s="206" t="s">
        <v>121</v>
      </c>
      <c r="L4872" s="206" t="str">
        <v/>
      </c>
      <c r="M4872" s="206" t="str">
        <v/>
      </c>
    </row>
    <row r="4873" spans="1:13" ht="14.4">
      <c r="A4873" s="201"/>
      <c r="B4873" s="209"/>
      <c r="C4873" s="201"/>
      <c r="D4873" s="201"/>
      <c r="E4873" s="202"/>
      <c r="F4873" s="210"/>
      <c r="G4873" s="210"/>
      <c r="H4873" s="206" t="s">
        <v>121</v>
      </c>
      <c r="I4873" s="206" t="s">
        <v>121</v>
      </c>
      <c r="J4873" s="206" t="s">
        <v>121</v>
      </c>
      <c r="K4873" s="206" t="s">
        <v>121</v>
      </c>
      <c r="L4873" s="206" t="str">
        <v/>
      </c>
      <c r="M4873" s="206" t="str">
        <v/>
      </c>
    </row>
    <row r="4874" spans="1:13" ht="14.4">
      <c r="A4874" s="201"/>
      <c r="B4874" s="209"/>
      <c r="C4874" s="201"/>
      <c r="D4874" s="201"/>
      <c r="E4874" s="202"/>
      <c r="F4874" s="210"/>
      <c r="G4874" s="210"/>
      <c r="H4874" s="206" t="s">
        <v>121</v>
      </c>
      <c r="I4874" s="206" t="s">
        <v>121</v>
      </c>
      <c r="J4874" s="206" t="s">
        <v>121</v>
      </c>
      <c r="K4874" s="206" t="s">
        <v>121</v>
      </c>
      <c r="L4874" s="206" t="str">
        <v/>
      </c>
      <c r="M4874" s="206" t="str">
        <v/>
      </c>
    </row>
    <row r="4875" spans="1:13" ht="14.4">
      <c r="A4875" s="201"/>
      <c r="B4875" s="209"/>
      <c r="C4875" s="201"/>
      <c r="D4875" s="201"/>
      <c r="E4875" s="202"/>
      <c r="F4875" s="210"/>
      <c r="G4875" s="210"/>
      <c r="H4875" s="206" t="s">
        <v>121</v>
      </c>
      <c r="I4875" s="206" t="s">
        <v>121</v>
      </c>
      <c r="J4875" s="206" t="s">
        <v>121</v>
      </c>
      <c r="K4875" s="206" t="s">
        <v>121</v>
      </c>
      <c r="L4875" s="206" t="str">
        <v/>
      </c>
      <c r="M4875" s="206" t="str">
        <v/>
      </c>
    </row>
    <row r="4876" spans="1:13" ht="14.4">
      <c r="A4876" s="201"/>
      <c r="B4876" s="209"/>
      <c r="C4876" s="201"/>
      <c r="D4876" s="201"/>
      <c r="E4876" s="202"/>
      <c r="F4876" s="210"/>
      <c r="G4876" s="210"/>
      <c r="H4876" s="206" t="s">
        <v>121</v>
      </c>
      <c r="I4876" s="206" t="s">
        <v>121</v>
      </c>
      <c r="J4876" s="206" t="s">
        <v>121</v>
      </c>
      <c r="K4876" s="206" t="s">
        <v>121</v>
      </c>
      <c r="L4876" s="206" t="str">
        <v/>
      </c>
      <c r="M4876" s="206" t="str">
        <v/>
      </c>
    </row>
    <row r="4877" spans="1:13" ht="14.4">
      <c r="A4877" s="201"/>
      <c r="B4877" s="209"/>
      <c r="C4877" s="201"/>
      <c r="D4877" s="201"/>
      <c r="E4877" s="202"/>
      <c r="F4877" s="210"/>
      <c r="G4877" s="210"/>
      <c r="H4877" s="206" t="s">
        <v>121</v>
      </c>
      <c r="I4877" s="206" t="s">
        <v>121</v>
      </c>
      <c r="J4877" s="206" t="s">
        <v>121</v>
      </c>
      <c r="K4877" s="206" t="s">
        <v>121</v>
      </c>
      <c r="L4877" s="206" t="str">
        <v/>
      </c>
      <c r="M4877" s="206" t="str">
        <v/>
      </c>
    </row>
    <row r="4878" spans="1:13" ht="14.4">
      <c r="A4878" s="201"/>
      <c r="B4878" s="209"/>
      <c r="C4878" s="201"/>
      <c r="D4878" s="201"/>
      <c r="E4878" s="202"/>
      <c r="F4878" s="210"/>
      <c r="G4878" s="210"/>
      <c r="H4878" s="206" t="s">
        <v>121</v>
      </c>
      <c r="I4878" s="206" t="s">
        <v>121</v>
      </c>
      <c r="J4878" s="206" t="s">
        <v>121</v>
      </c>
      <c r="K4878" s="206" t="s">
        <v>121</v>
      </c>
      <c r="L4878" s="206" t="str">
        <v/>
      </c>
      <c r="M4878" s="206" t="str">
        <v/>
      </c>
    </row>
    <row r="4879" spans="1:13" ht="14.4">
      <c r="A4879" s="201"/>
      <c r="B4879" s="209"/>
      <c r="C4879" s="201"/>
      <c r="D4879" s="201"/>
      <c r="E4879" s="202"/>
      <c r="F4879" s="210"/>
      <c r="G4879" s="210"/>
      <c r="H4879" s="206" t="s">
        <v>121</v>
      </c>
      <c r="I4879" s="206" t="s">
        <v>121</v>
      </c>
      <c r="J4879" s="206" t="s">
        <v>121</v>
      </c>
      <c r="K4879" s="206" t="s">
        <v>121</v>
      </c>
      <c r="L4879" s="206" t="str">
        <v/>
      </c>
      <c r="M4879" s="206" t="str">
        <v/>
      </c>
    </row>
    <row r="4880" spans="1:13" ht="14.4">
      <c r="A4880" s="201"/>
      <c r="B4880" s="209"/>
      <c r="C4880" s="201"/>
      <c r="D4880" s="201"/>
      <c r="E4880" s="202"/>
      <c r="F4880" s="210"/>
      <c r="G4880" s="210"/>
      <c r="H4880" s="206" t="s">
        <v>121</v>
      </c>
      <c r="I4880" s="206" t="s">
        <v>121</v>
      </c>
      <c r="J4880" s="206" t="s">
        <v>121</v>
      </c>
      <c r="K4880" s="206" t="s">
        <v>121</v>
      </c>
      <c r="L4880" s="206" t="str">
        <v/>
      </c>
      <c r="M4880" s="206" t="str">
        <v/>
      </c>
    </row>
    <row r="4881" spans="1:13" ht="14.4">
      <c r="A4881" s="201"/>
      <c r="B4881" s="209"/>
      <c r="C4881" s="201"/>
      <c r="D4881" s="201"/>
      <c r="E4881" s="202"/>
      <c r="F4881" s="210"/>
      <c r="G4881" s="210"/>
      <c r="H4881" s="206" t="s">
        <v>121</v>
      </c>
      <c r="I4881" s="206" t="s">
        <v>121</v>
      </c>
      <c r="J4881" s="206" t="s">
        <v>121</v>
      </c>
      <c r="K4881" s="206" t="s">
        <v>121</v>
      </c>
      <c r="L4881" s="206" t="str">
        <v/>
      </c>
      <c r="M4881" s="206" t="str">
        <v/>
      </c>
    </row>
    <row r="4882" spans="1:13" ht="14.4">
      <c r="A4882" s="201"/>
      <c r="B4882" s="209"/>
      <c r="C4882" s="201"/>
      <c r="D4882" s="201"/>
      <c r="E4882" s="202"/>
      <c r="F4882" s="210"/>
      <c r="G4882" s="210"/>
      <c r="H4882" s="206" t="s">
        <v>121</v>
      </c>
      <c r="I4882" s="206" t="s">
        <v>121</v>
      </c>
      <c r="J4882" s="206" t="s">
        <v>121</v>
      </c>
      <c r="K4882" s="206" t="s">
        <v>121</v>
      </c>
      <c r="L4882" s="206" t="str">
        <v/>
      </c>
      <c r="M4882" s="206" t="str">
        <v/>
      </c>
    </row>
    <row r="4883" spans="1:13" ht="14.4">
      <c r="A4883" s="201"/>
      <c r="B4883" s="209"/>
      <c r="C4883" s="201"/>
      <c r="D4883" s="201"/>
      <c r="E4883" s="202"/>
      <c r="F4883" s="210"/>
      <c r="G4883" s="210"/>
      <c r="H4883" s="206" t="s">
        <v>121</v>
      </c>
      <c r="I4883" s="206" t="s">
        <v>121</v>
      </c>
      <c r="J4883" s="206" t="s">
        <v>121</v>
      </c>
      <c r="K4883" s="206" t="s">
        <v>121</v>
      </c>
      <c r="L4883" s="206" t="str">
        <v/>
      </c>
      <c r="M4883" s="206" t="str">
        <v/>
      </c>
    </row>
    <row r="4884" spans="1:13" ht="14.4">
      <c r="A4884" s="201"/>
      <c r="B4884" s="209"/>
      <c r="C4884" s="201"/>
      <c r="D4884" s="201"/>
      <c r="E4884" s="202"/>
      <c r="F4884" s="210"/>
      <c r="G4884" s="210"/>
      <c r="H4884" s="206" t="s">
        <v>121</v>
      </c>
      <c r="I4884" s="206" t="s">
        <v>121</v>
      </c>
      <c r="J4884" s="206" t="s">
        <v>121</v>
      </c>
      <c r="K4884" s="206" t="s">
        <v>121</v>
      </c>
      <c r="L4884" s="206" t="str">
        <v/>
      </c>
      <c r="M4884" s="206" t="str">
        <v/>
      </c>
    </row>
    <row r="4885" spans="1:13" ht="14.4">
      <c r="A4885" s="201"/>
      <c r="B4885" s="209"/>
      <c r="C4885" s="201"/>
      <c r="D4885" s="201"/>
      <c r="E4885" s="202"/>
      <c r="F4885" s="210"/>
      <c r="G4885" s="210"/>
      <c r="H4885" s="206" t="s">
        <v>121</v>
      </c>
      <c r="I4885" s="206" t="s">
        <v>121</v>
      </c>
      <c r="J4885" s="206" t="s">
        <v>121</v>
      </c>
      <c r="K4885" s="206" t="s">
        <v>121</v>
      </c>
      <c r="L4885" s="206" t="str">
        <v/>
      </c>
      <c r="M4885" s="206" t="str">
        <v/>
      </c>
    </row>
    <row r="4886" spans="1:13" ht="14.4">
      <c r="A4886" s="201"/>
      <c r="B4886" s="209"/>
      <c r="C4886" s="201"/>
      <c r="D4886" s="201"/>
      <c r="E4886" s="202"/>
      <c r="F4886" s="210"/>
      <c r="G4886" s="210"/>
      <c r="H4886" s="206" t="s">
        <v>121</v>
      </c>
      <c r="I4886" s="206" t="s">
        <v>121</v>
      </c>
      <c r="J4886" s="206" t="s">
        <v>121</v>
      </c>
      <c r="K4886" s="206" t="s">
        <v>121</v>
      </c>
      <c r="L4886" s="206" t="str">
        <v/>
      </c>
      <c r="M4886" s="206" t="str">
        <v/>
      </c>
    </row>
    <row r="4887" spans="1:13" ht="14.4">
      <c r="A4887" s="201"/>
      <c r="B4887" s="209"/>
      <c r="C4887" s="201"/>
      <c r="D4887" s="201"/>
      <c r="E4887" s="202"/>
      <c r="F4887" s="210"/>
      <c r="G4887" s="210"/>
      <c r="H4887" s="206" t="s">
        <v>121</v>
      </c>
      <c r="I4887" s="206" t="s">
        <v>121</v>
      </c>
      <c r="J4887" s="206" t="s">
        <v>121</v>
      </c>
      <c r="K4887" s="206" t="s">
        <v>121</v>
      </c>
      <c r="L4887" s="206" t="str">
        <v/>
      </c>
      <c r="M4887" s="206" t="str">
        <v/>
      </c>
    </row>
    <row r="4888" spans="1:13" ht="14.4">
      <c r="A4888" s="201"/>
      <c r="B4888" s="209"/>
      <c r="C4888" s="201"/>
      <c r="D4888" s="201"/>
      <c r="E4888" s="202"/>
      <c r="F4888" s="210"/>
      <c r="G4888" s="210"/>
      <c r="H4888" s="206" t="s">
        <v>121</v>
      </c>
      <c r="I4888" s="206" t="s">
        <v>121</v>
      </c>
      <c r="J4888" s="206" t="s">
        <v>121</v>
      </c>
      <c r="K4888" s="206" t="s">
        <v>121</v>
      </c>
      <c r="L4888" s="206" t="str">
        <v/>
      </c>
      <c r="M4888" s="206" t="str">
        <v/>
      </c>
    </row>
    <row r="4889" spans="1:13" ht="14.4">
      <c r="A4889" s="201"/>
      <c r="B4889" s="209"/>
      <c r="C4889" s="201"/>
      <c r="D4889" s="201"/>
      <c r="E4889" s="202"/>
      <c r="F4889" s="210"/>
      <c r="G4889" s="210"/>
      <c r="H4889" s="206" t="s">
        <v>121</v>
      </c>
      <c r="I4889" s="206" t="s">
        <v>121</v>
      </c>
      <c r="J4889" s="206" t="s">
        <v>121</v>
      </c>
      <c r="K4889" s="206" t="s">
        <v>121</v>
      </c>
      <c r="L4889" s="206" t="str">
        <v/>
      </c>
      <c r="M4889" s="206" t="str">
        <v/>
      </c>
    </row>
    <row r="4890" spans="1:13" ht="14.4">
      <c r="A4890" s="201"/>
      <c r="B4890" s="209"/>
      <c r="C4890" s="201"/>
      <c r="D4890" s="201"/>
      <c r="E4890" s="202"/>
      <c r="F4890" s="210"/>
      <c r="G4890" s="210"/>
      <c r="H4890" s="206" t="s">
        <v>121</v>
      </c>
      <c r="I4890" s="206" t="s">
        <v>121</v>
      </c>
      <c r="J4890" s="206" t="s">
        <v>121</v>
      </c>
      <c r="K4890" s="206" t="s">
        <v>121</v>
      </c>
      <c r="L4890" s="206" t="str">
        <v/>
      </c>
      <c r="M4890" s="206" t="str">
        <v/>
      </c>
    </row>
    <row r="4891" spans="1:13" ht="14.4">
      <c r="A4891" s="201"/>
      <c r="B4891" s="209"/>
      <c r="C4891" s="201"/>
      <c r="D4891" s="201"/>
      <c r="E4891" s="202"/>
      <c r="F4891" s="210"/>
      <c r="G4891" s="210"/>
      <c r="H4891" s="206" t="s">
        <v>121</v>
      </c>
      <c r="I4891" s="206" t="s">
        <v>121</v>
      </c>
      <c r="J4891" s="206" t="s">
        <v>121</v>
      </c>
      <c r="K4891" s="206" t="s">
        <v>121</v>
      </c>
      <c r="L4891" s="206" t="str">
        <v/>
      </c>
      <c r="M4891" s="206" t="str">
        <v/>
      </c>
    </row>
    <row r="4892" spans="1:13" ht="14.4">
      <c r="A4892" s="201"/>
      <c r="B4892" s="209"/>
      <c r="C4892" s="201"/>
      <c r="D4892" s="201"/>
      <c r="E4892" s="202"/>
      <c r="F4892" s="210"/>
      <c r="G4892" s="210"/>
      <c r="H4892" s="206" t="s">
        <v>121</v>
      </c>
      <c r="I4892" s="206" t="s">
        <v>121</v>
      </c>
      <c r="J4892" s="206" t="s">
        <v>121</v>
      </c>
      <c r="K4892" s="206" t="s">
        <v>121</v>
      </c>
      <c r="L4892" s="206" t="str">
        <v/>
      </c>
      <c r="M4892" s="206" t="str">
        <v/>
      </c>
    </row>
    <row r="4893" spans="1:13" ht="14.4">
      <c r="A4893" s="201"/>
      <c r="B4893" s="209"/>
      <c r="C4893" s="201"/>
      <c r="D4893" s="201"/>
      <c r="E4893" s="202"/>
      <c r="F4893" s="210"/>
      <c r="G4893" s="210"/>
      <c r="H4893" s="206" t="s">
        <v>121</v>
      </c>
      <c r="I4893" s="206" t="s">
        <v>121</v>
      </c>
      <c r="J4893" s="206" t="s">
        <v>121</v>
      </c>
      <c r="K4893" s="206" t="s">
        <v>121</v>
      </c>
      <c r="L4893" s="206" t="str">
        <v/>
      </c>
      <c r="M4893" s="206" t="str">
        <v/>
      </c>
    </row>
    <row r="4894" spans="1:13" ht="14.4">
      <c r="A4894" s="201"/>
      <c r="B4894" s="209"/>
      <c r="C4894" s="201"/>
      <c r="D4894" s="201"/>
      <c r="E4894" s="202"/>
      <c r="F4894" s="210"/>
      <c r="G4894" s="210"/>
      <c r="H4894" s="206" t="s">
        <v>121</v>
      </c>
      <c r="I4894" s="206" t="s">
        <v>121</v>
      </c>
      <c r="J4894" s="206" t="s">
        <v>121</v>
      </c>
      <c r="K4894" s="206" t="s">
        <v>121</v>
      </c>
      <c r="L4894" s="206" t="str">
        <v/>
      </c>
      <c r="M4894" s="206" t="str">
        <v/>
      </c>
    </row>
    <row r="4895" spans="1:13" ht="14.4">
      <c r="A4895" s="201"/>
      <c r="B4895" s="209"/>
      <c r="C4895" s="201"/>
      <c r="D4895" s="201"/>
      <c r="E4895" s="202"/>
      <c r="F4895" s="210"/>
      <c r="G4895" s="210"/>
      <c r="H4895" s="206" t="s">
        <v>121</v>
      </c>
      <c r="I4895" s="206" t="s">
        <v>121</v>
      </c>
      <c r="J4895" s="206" t="s">
        <v>121</v>
      </c>
      <c r="K4895" s="206" t="s">
        <v>121</v>
      </c>
      <c r="L4895" s="206" t="str">
        <v/>
      </c>
      <c r="M4895" s="206" t="str">
        <v/>
      </c>
    </row>
    <row r="4896" spans="1:13" ht="14.4">
      <c r="A4896" s="201"/>
      <c r="B4896" s="209"/>
      <c r="C4896" s="201"/>
      <c r="D4896" s="201"/>
      <c r="E4896" s="202"/>
      <c r="F4896" s="210"/>
      <c r="G4896" s="210"/>
      <c r="H4896" s="206" t="s">
        <v>121</v>
      </c>
      <c r="I4896" s="206" t="s">
        <v>121</v>
      </c>
      <c r="J4896" s="206" t="s">
        <v>121</v>
      </c>
      <c r="K4896" s="206" t="s">
        <v>121</v>
      </c>
      <c r="L4896" s="206" t="str">
        <v/>
      </c>
      <c r="M4896" s="206" t="str">
        <v/>
      </c>
    </row>
    <row r="4897" spans="1:13" ht="14.4">
      <c r="A4897" s="201"/>
      <c r="B4897" s="209"/>
      <c r="C4897" s="201"/>
      <c r="D4897" s="201"/>
      <c r="E4897" s="202"/>
      <c r="F4897" s="210"/>
      <c r="G4897" s="210"/>
      <c r="H4897" s="206" t="s">
        <v>121</v>
      </c>
      <c r="I4897" s="206" t="s">
        <v>121</v>
      </c>
      <c r="J4897" s="206" t="s">
        <v>121</v>
      </c>
      <c r="K4897" s="206" t="s">
        <v>121</v>
      </c>
      <c r="L4897" s="206" t="str">
        <v/>
      </c>
      <c r="M4897" s="206" t="str">
        <v/>
      </c>
    </row>
    <row r="4898" spans="1:13" ht="14.4">
      <c r="A4898" s="201"/>
      <c r="B4898" s="209"/>
      <c r="C4898" s="201"/>
      <c r="D4898" s="201"/>
      <c r="E4898" s="202"/>
      <c r="F4898" s="210"/>
      <c r="G4898" s="210"/>
      <c r="H4898" s="206" t="s">
        <v>121</v>
      </c>
      <c r="I4898" s="206" t="s">
        <v>121</v>
      </c>
      <c r="J4898" s="206" t="s">
        <v>121</v>
      </c>
      <c r="K4898" s="206" t="s">
        <v>121</v>
      </c>
      <c r="L4898" s="206" t="str">
        <v/>
      </c>
      <c r="M4898" s="206" t="str">
        <v/>
      </c>
    </row>
    <row r="4899" spans="1:13" ht="14.4">
      <c r="A4899" s="201"/>
      <c r="B4899" s="209"/>
      <c r="C4899" s="201"/>
      <c r="D4899" s="201"/>
      <c r="E4899" s="202"/>
      <c r="F4899" s="210"/>
      <c r="G4899" s="210"/>
      <c r="H4899" s="206" t="s">
        <v>121</v>
      </c>
      <c r="I4899" s="206" t="s">
        <v>121</v>
      </c>
      <c r="J4899" s="206" t="s">
        <v>121</v>
      </c>
      <c r="K4899" s="206" t="s">
        <v>121</v>
      </c>
      <c r="L4899" s="206" t="str">
        <v/>
      </c>
      <c r="M4899" s="206" t="str">
        <v/>
      </c>
    </row>
    <row r="4900" spans="1:13" ht="14.4">
      <c r="A4900" s="201"/>
      <c r="B4900" s="209"/>
      <c r="C4900" s="201"/>
      <c r="D4900" s="201"/>
      <c r="E4900" s="202"/>
      <c r="F4900" s="210"/>
      <c r="G4900" s="210"/>
      <c r="H4900" s="206" t="s">
        <v>121</v>
      </c>
      <c r="I4900" s="206" t="s">
        <v>121</v>
      </c>
      <c r="J4900" s="206" t="s">
        <v>121</v>
      </c>
      <c r="K4900" s="206" t="s">
        <v>121</v>
      </c>
      <c r="L4900" s="206" t="str">
        <v/>
      </c>
      <c r="M4900" s="206" t="str">
        <v/>
      </c>
    </row>
    <row r="4901" spans="1:13" ht="14.4">
      <c r="A4901" s="201"/>
      <c r="B4901" s="209"/>
      <c r="C4901" s="201"/>
      <c r="D4901" s="201"/>
      <c r="E4901" s="202"/>
      <c r="F4901" s="210"/>
      <c r="G4901" s="210"/>
      <c r="H4901" s="206" t="s">
        <v>121</v>
      </c>
      <c r="I4901" s="206" t="s">
        <v>121</v>
      </c>
      <c r="J4901" s="206" t="s">
        <v>121</v>
      </c>
      <c r="K4901" s="206" t="s">
        <v>121</v>
      </c>
      <c r="L4901" s="206" t="str">
        <v/>
      </c>
      <c r="M4901" s="206" t="str">
        <v/>
      </c>
    </row>
    <row r="4902" spans="1:13" ht="14.4">
      <c r="A4902" s="201"/>
      <c r="B4902" s="209"/>
      <c r="C4902" s="201"/>
      <c r="D4902" s="201"/>
      <c r="E4902" s="202"/>
      <c r="F4902" s="210"/>
      <c r="G4902" s="210"/>
      <c r="H4902" s="206" t="s">
        <v>121</v>
      </c>
      <c r="I4902" s="206" t="s">
        <v>121</v>
      </c>
      <c r="J4902" s="206" t="s">
        <v>121</v>
      </c>
      <c r="K4902" s="206" t="s">
        <v>121</v>
      </c>
      <c r="L4902" s="206" t="str">
        <v/>
      </c>
      <c r="M4902" s="206" t="str">
        <v/>
      </c>
    </row>
    <row r="4903" spans="1:13" ht="14.4">
      <c r="A4903" s="201"/>
      <c r="B4903" s="209"/>
      <c r="C4903" s="201"/>
      <c r="D4903" s="201"/>
      <c r="E4903" s="202"/>
      <c r="F4903" s="210"/>
      <c r="G4903" s="210"/>
      <c r="H4903" s="206" t="s">
        <v>121</v>
      </c>
      <c r="I4903" s="206" t="s">
        <v>121</v>
      </c>
      <c r="J4903" s="206" t="s">
        <v>121</v>
      </c>
      <c r="K4903" s="206" t="s">
        <v>121</v>
      </c>
      <c r="L4903" s="206" t="str">
        <v/>
      </c>
      <c r="M4903" s="206" t="str">
        <v/>
      </c>
    </row>
    <row r="4904" spans="1:13" ht="14.4">
      <c r="A4904" s="201"/>
      <c r="B4904" s="209"/>
      <c r="C4904" s="201"/>
      <c r="D4904" s="201"/>
      <c r="E4904" s="202"/>
      <c r="F4904" s="210"/>
      <c r="G4904" s="210"/>
      <c r="H4904" s="206" t="s">
        <v>121</v>
      </c>
      <c r="I4904" s="206" t="s">
        <v>121</v>
      </c>
      <c r="J4904" s="206" t="s">
        <v>121</v>
      </c>
      <c r="K4904" s="206" t="s">
        <v>121</v>
      </c>
      <c r="L4904" s="206" t="str">
        <v/>
      </c>
      <c r="M4904" s="206" t="str">
        <v/>
      </c>
    </row>
    <row r="4905" spans="1:13" ht="14.4">
      <c r="A4905" s="201"/>
      <c r="B4905" s="209"/>
      <c r="C4905" s="201"/>
      <c r="D4905" s="201"/>
      <c r="E4905" s="202"/>
      <c r="F4905" s="210"/>
      <c r="G4905" s="210"/>
      <c r="H4905" s="206" t="s">
        <v>121</v>
      </c>
      <c r="I4905" s="206" t="s">
        <v>121</v>
      </c>
      <c r="J4905" s="206" t="s">
        <v>121</v>
      </c>
      <c r="K4905" s="206" t="s">
        <v>121</v>
      </c>
      <c r="L4905" s="206" t="str">
        <v/>
      </c>
      <c r="M4905" s="206" t="str">
        <v/>
      </c>
    </row>
    <row r="4906" spans="1:13" ht="14.4">
      <c r="A4906" s="201"/>
      <c r="B4906" s="209"/>
      <c r="C4906" s="201"/>
      <c r="D4906" s="201"/>
      <c r="E4906" s="202"/>
      <c r="F4906" s="210"/>
      <c r="G4906" s="210"/>
      <c r="H4906" s="206" t="s">
        <v>121</v>
      </c>
      <c r="I4906" s="206" t="s">
        <v>121</v>
      </c>
      <c r="J4906" s="206" t="s">
        <v>121</v>
      </c>
      <c r="K4906" s="206" t="s">
        <v>121</v>
      </c>
      <c r="L4906" s="206" t="str">
        <v/>
      </c>
      <c r="M4906" s="206" t="str">
        <v/>
      </c>
    </row>
    <row r="4907" spans="1:13" ht="14.4">
      <c r="A4907" s="201"/>
      <c r="B4907" s="209"/>
      <c r="C4907" s="201"/>
      <c r="D4907" s="201"/>
      <c r="E4907" s="202"/>
      <c r="F4907" s="210"/>
      <c r="G4907" s="210"/>
      <c r="H4907" s="206" t="s">
        <v>121</v>
      </c>
      <c r="I4907" s="206" t="s">
        <v>121</v>
      </c>
      <c r="J4907" s="206" t="s">
        <v>121</v>
      </c>
      <c r="K4907" s="206" t="s">
        <v>121</v>
      </c>
      <c r="L4907" s="206" t="str">
        <v/>
      </c>
      <c r="M4907" s="206" t="str">
        <v/>
      </c>
    </row>
    <row r="4908" spans="1:13" ht="14.4">
      <c r="A4908" s="201"/>
      <c r="B4908" s="209"/>
      <c r="C4908" s="201"/>
      <c r="D4908" s="201"/>
      <c r="E4908" s="202"/>
      <c r="F4908" s="210"/>
      <c r="G4908" s="210"/>
      <c r="H4908" s="206" t="s">
        <v>121</v>
      </c>
      <c r="I4908" s="206" t="s">
        <v>121</v>
      </c>
      <c r="J4908" s="206" t="s">
        <v>121</v>
      </c>
      <c r="K4908" s="206" t="s">
        <v>121</v>
      </c>
      <c r="L4908" s="206" t="str">
        <v/>
      </c>
      <c r="M4908" s="206" t="str">
        <v/>
      </c>
    </row>
    <row r="4909" spans="1:13" ht="14.4">
      <c r="A4909" s="201"/>
      <c r="B4909" s="209"/>
      <c r="C4909" s="201"/>
      <c r="D4909" s="201"/>
      <c r="E4909" s="202"/>
      <c r="F4909" s="210"/>
      <c r="G4909" s="210"/>
      <c r="H4909" s="206" t="s">
        <v>121</v>
      </c>
      <c r="I4909" s="206" t="s">
        <v>121</v>
      </c>
      <c r="J4909" s="206" t="s">
        <v>121</v>
      </c>
      <c r="K4909" s="206" t="s">
        <v>121</v>
      </c>
      <c r="L4909" s="206" t="str">
        <v/>
      </c>
      <c r="M4909" s="206" t="str">
        <v/>
      </c>
    </row>
    <row r="4910" spans="1:13" ht="14.4">
      <c r="A4910" s="201"/>
      <c r="B4910" s="209"/>
      <c r="C4910" s="201"/>
      <c r="D4910" s="201"/>
      <c r="E4910" s="202"/>
      <c r="F4910" s="210"/>
      <c r="G4910" s="210"/>
      <c r="H4910" s="206" t="s">
        <v>121</v>
      </c>
      <c r="I4910" s="206" t="s">
        <v>121</v>
      </c>
      <c r="J4910" s="206" t="s">
        <v>121</v>
      </c>
      <c r="K4910" s="206" t="s">
        <v>121</v>
      </c>
      <c r="L4910" s="206" t="str">
        <v/>
      </c>
      <c r="M4910" s="206" t="str">
        <v/>
      </c>
    </row>
    <row r="4911" spans="1:13" ht="14.4">
      <c r="A4911" s="201"/>
      <c r="B4911" s="209"/>
      <c r="C4911" s="201"/>
      <c r="D4911" s="201"/>
      <c r="E4911" s="202"/>
      <c r="F4911" s="210"/>
      <c r="G4911" s="210"/>
      <c r="H4911" s="206" t="s">
        <v>121</v>
      </c>
      <c r="I4911" s="206" t="s">
        <v>121</v>
      </c>
      <c r="J4911" s="206" t="s">
        <v>121</v>
      </c>
      <c r="K4911" s="206" t="s">
        <v>121</v>
      </c>
      <c r="L4911" s="206" t="str">
        <v/>
      </c>
      <c r="M4911" s="206" t="str">
        <v/>
      </c>
    </row>
    <row r="4912" spans="1:13" ht="14.4">
      <c r="A4912" s="201"/>
      <c r="B4912" s="209"/>
      <c r="C4912" s="201"/>
      <c r="D4912" s="201"/>
      <c r="E4912" s="202"/>
      <c r="F4912" s="210"/>
      <c r="G4912" s="210"/>
      <c r="H4912" s="206" t="s">
        <v>121</v>
      </c>
      <c r="I4912" s="206" t="s">
        <v>121</v>
      </c>
      <c r="J4912" s="206" t="s">
        <v>121</v>
      </c>
      <c r="K4912" s="206" t="s">
        <v>121</v>
      </c>
      <c r="L4912" s="206" t="str">
        <v/>
      </c>
      <c r="M4912" s="206" t="str">
        <v/>
      </c>
    </row>
    <row r="4913" spans="1:13" ht="14.4">
      <c r="A4913" s="201"/>
      <c r="B4913" s="209"/>
      <c r="C4913" s="201"/>
      <c r="D4913" s="201"/>
      <c r="E4913" s="202"/>
      <c r="F4913" s="210"/>
      <c r="G4913" s="210"/>
      <c r="H4913" s="206" t="s">
        <v>121</v>
      </c>
      <c r="I4913" s="206" t="s">
        <v>121</v>
      </c>
      <c r="J4913" s="206" t="s">
        <v>121</v>
      </c>
      <c r="K4913" s="206" t="s">
        <v>121</v>
      </c>
      <c r="L4913" s="206" t="str">
        <v/>
      </c>
      <c r="M4913" s="206" t="str">
        <v/>
      </c>
    </row>
    <row r="4914" spans="1:13" ht="14.4">
      <c r="A4914" s="201"/>
      <c r="B4914" s="209"/>
      <c r="C4914" s="201"/>
      <c r="D4914" s="201"/>
      <c r="E4914" s="202"/>
      <c r="F4914" s="210"/>
      <c r="G4914" s="210"/>
      <c r="H4914" s="206" t="s">
        <v>121</v>
      </c>
      <c r="I4914" s="206" t="s">
        <v>121</v>
      </c>
      <c r="J4914" s="206" t="s">
        <v>121</v>
      </c>
      <c r="K4914" s="206" t="s">
        <v>121</v>
      </c>
      <c r="L4914" s="206" t="str">
        <v/>
      </c>
      <c r="M4914" s="206" t="str">
        <v/>
      </c>
    </row>
    <row r="4915" spans="1:13" ht="14.4">
      <c r="A4915" s="201"/>
      <c r="B4915" s="209"/>
      <c r="C4915" s="201"/>
      <c r="D4915" s="201"/>
      <c r="E4915" s="202"/>
      <c r="F4915" s="210"/>
      <c r="G4915" s="210"/>
      <c r="H4915" s="206" t="s">
        <v>121</v>
      </c>
      <c r="I4915" s="206" t="s">
        <v>121</v>
      </c>
      <c r="J4915" s="206" t="s">
        <v>121</v>
      </c>
      <c r="K4915" s="206" t="s">
        <v>121</v>
      </c>
      <c r="L4915" s="206" t="str">
        <v/>
      </c>
      <c r="M4915" s="206" t="str">
        <v/>
      </c>
    </row>
    <row r="4916" spans="1:13" ht="14.4">
      <c r="A4916" s="201"/>
      <c r="B4916" s="209"/>
      <c r="C4916" s="201"/>
      <c r="D4916" s="201"/>
      <c r="E4916" s="202"/>
      <c r="F4916" s="210"/>
      <c r="G4916" s="210"/>
      <c r="H4916" s="206" t="s">
        <v>121</v>
      </c>
      <c r="I4916" s="206" t="s">
        <v>121</v>
      </c>
      <c r="J4916" s="206" t="s">
        <v>121</v>
      </c>
      <c r="K4916" s="206" t="s">
        <v>121</v>
      </c>
      <c r="L4916" s="206" t="str">
        <v/>
      </c>
      <c r="M4916" s="206" t="str">
        <v/>
      </c>
    </row>
    <row r="4917" spans="1:13" ht="14.4">
      <c r="A4917" s="201"/>
      <c r="B4917" s="209"/>
      <c r="C4917" s="201"/>
      <c r="D4917" s="201"/>
      <c r="E4917" s="202"/>
      <c r="F4917" s="210"/>
      <c r="G4917" s="210"/>
      <c r="H4917" s="206" t="s">
        <v>121</v>
      </c>
      <c r="I4917" s="206" t="s">
        <v>121</v>
      </c>
      <c r="J4917" s="206" t="s">
        <v>121</v>
      </c>
      <c r="K4917" s="206" t="s">
        <v>121</v>
      </c>
      <c r="L4917" s="206" t="str">
        <v/>
      </c>
      <c r="M4917" s="206" t="str">
        <v/>
      </c>
    </row>
    <row r="4918" spans="1:13" ht="14.4">
      <c r="A4918" s="201"/>
      <c r="B4918" s="209"/>
      <c r="C4918" s="201"/>
      <c r="D4918" s="201"/>
      <c r="E4918" s="202"/>
      <c r="F4918" s="210"/>
      <c r="G4918" s="210"/>
      <c r="H4918" s="206" t="s">
        <v>121</v>
      </c>
      <c r="I4918" s="206" t="s">
        <v>121</v>
      </c>
      <c r="J4918" s="206" t="s">
        <v>121</v>
      </c>
      <c r="K4918" s="206" t="s">
        <v>121</v>
      </c>
      <c r="L4918" s="206" t="str">
        <v/>
      </c>
      <c r="M4918" s="206" t="str">
        <v/>
      </c>
    </row>
    <row r="4919" spans="1:13" ht="14.4">
      <c r="A4919" s="201"/>
      <c r="B4919" s="209"/>
      <c r="C4919" s="201"/>
      <c r="D4919" s="201"/>
      <c r="E4919" s="202"/>
      <c r="F4919" s="210"/>
      <c r="G4919" s="210"/>
      <c r="H4919" s="206" t="s">
        <v>121</v>
      </c>
      <c r="I4919" s="206" t="s">
        <v>121</v>
      </c>
      <c r="J4919" s="206" t="s">
        <v>121</v>
      </c>
      <c r="K4919" s="206" t="s">
        <v>121</v>
      </c>
      <c r="L4919" s="206" t="str">
        <v/>
      </c>
      <c r="M4919" s="206" t="str">
        <v/>
      </c>
    </row>
    <row r="4920" spans="1:13" ht="14.4">
      <c r="A4920" s="201"/>
      <c r="B4920" s="209"/>
      <c r="C4920" s="201"/>
      <c r="D4920" s="201"/>
      <c r="E4920" s="202"/>
      <c r="F4920" s="210"/>
      <c r="G4920" s="210"/>
      <c r="H4920" s="206" t="s">
        <v>121</v>
      </c>
      <c r="I4920" s="206" t="s">
        <v>121</v>
      </c>
      <c r="J4920" s="206" t="s">
        <v>121</v>
      </c>
      <c r="K4920" s="206" t="s">
        <v>121</v>
      </c>
      <c r="L4920" s="206" t="str">
        <v/>
      </c>
      <c r="M4920" s="206" t="str">
        <v/>
      </c>
    </row>
    <row r="4921" spans="1:13" ht="14.4">
      <c r="A4921" s="201"/>
      <c r="B4921" s="209"/>
      <c r="C4921" s="201"/>
      <c r="D4921" s="201"/>
      <c r="E4921" s="202"/>
      <c r="F4921" s="210"/>
      <c r="G4921" s="210"/>
      <c r="H4921" s="206" t="s">
        <v>121</v>
      </c>
      <c r="I4921" s="206" t="s">
        <v>121</v>
      </c>
      <c r="J4921" s="206" t="s">
        <v>121</v>
      </c>
      <c r="K4921" s="206" t="s">
        <v>121</v>
      </c>
      <c r="L4921" s="206" t="str">
        <v/>
      </c>
      <c r="M4921" s="206" t="str">
        <v/>
      </c>
    </row>
    <row r="4922" spans="1:13" ht="14.4">
      <c r="A4922" s="201"/>
      <c r="B4922" s="209"/>
      <c r="C4922" s="201"/>
      <c r="D4922" s="201"/>
      <c r="E4922" s="202"/>
      <c r="F4922" s="210"/>
      <c r="G4922" s="210"/>
      <c r="H4922" s="206" t="s">
        <v>121</v>
      </c>
      <c r="I4922" s="206" t="s">
        <v>121</v>
      </c>
      <c r="J4922" s="206" t="s">
        <v>121</v>
      </c>
      <c r="K4922" s="206" t="s">
        <v>121</v>
      </c>
      <c r="L4922" s="206" t="str">
        <v/>
      </c>
      <c r="M4922" s="206" t="str">
        <v/>
      </c>
    </row>
    <row r="4923" spans="1:13" ht="14.4">
      <c r="A4923" s="201"/>
      <c r="B4923" s="209"/>
      <c r="C4923" s="201"/>
      <c r="D4923" s="201"/>
      <c r="E4923" s="202"/>
      <c r="F4923" s="210"/>
      <c r="G4923" s="210"/>
      <c r="H4923" s="206" t="s">
        <v>121</v>
      </c>
      <c r="I4923" s="206" t="s">
        <v>121</v>
      </c>
      <c r="J4923" s="206" t="s">
        <v>121</v>
      </c>
      <c r="K4923" s="206" t="s">
        <v>121</v>
      </c>
      <c r="L4923" s="206" t="str">
        <v/>
      </c>
      <c r="M4923" s="206" t="str">
        <v/>
      </c>
    </row>
    <row r="4924" spans="1:13" ht="14.4">
      <c r="A4924" s="201"/>
      <c r="B4924" s="209"/>
      <c r="C4924" s="201"/>
      <c r="D4924" s="201"/>
      <c r="E4924" s="202"/>
      <c r="F4924" s="210"/>
      <c r="G4924" s="210"/>
      <c r="H4924" s="206" t="s">
        <v>121</v>
      </c>
      <c r="I4924" s="206" t="s">
        <v>121</v>
      </c>
      <c r="J4924" s="206" t="s">
        <v>121</v>
      </c>
      <c r="K4924" s="206" t="s">
        <v>121</v>
      </c>
      <c r="L4924" s="206" t="str">
        <v/>
      </c>
      <c r="M4924" s="206" t="str">
        <v/>
      </c>
    </row>
    <row r="4925" spans="1:13" ht="14.4">
      <c r="A4925" s="201"/>
      <c r="B4925" s="209"/>
      <c r="C4925" s="201"/>
      <c r="D4925" s="201"/>
      <c r="E4925" s="202"/>
      <c r="F4925" s="210"/>
      <c r="G4925" s="210"/>
      <c r="H4925" s="206" t="s">
        <v>121</v>
      </c>
      <c r="I4925" s="206" t="s">
        <v>121</v>
      </c>
      <c r="J4925" s="206" t="s">
        <v>121</v>
      </c>
      <c r="K4925" s="206" t="s">
        <v>121</v>
      </c>
      <c r="L4925" s="206" t="str">
        <v/>
      </c>
      <c r="M4925" s="206" t="str">
        <v/>
      </c>
    </row>
    <row r="4926" spans="1:13" ht="14.4">
      <c r="A4926" s="201"/>
      <c r="B4926" s="209"/>
      <c r="C4926" s="201"/>
      <c r="D4926" s="201"/>
      <c r="E4926" s="202"/>
      <c r="F4926" s="210"/>
      <c r="G4926" s="210"/>
      <c r="H4926" s="206" t="s">
        <v>121</v>
      </c>
      <c r="I4926" s="206" t="s">
        <v>121</v>
      </c>
      <c r="J4926" s="206" t="s">
        <v>121</v>
      </c>
      <c r="K4926" s="206" t="s">
        <v>121</v>
      </c>
      <c r="L4926" s="206" t="str">
        <v/>
      </c>
      <c r="M4926" s="206" t="str">
        <v/>
      </c>
    </row>
    <row r="4927" spans="1:13" ht="14.4">
      <c r="A4927" s="201"/>
      <c r="B4927" s="209"/>
      <c r="C4927" s="201"/>
      <c r="D4927" s="201"/>
      <c r="E4927" s="202"/>
      <c r="F4927" s="210"/>
      <c r="G4927" s="210"/>
      <c r="H4927" s="206" t="s">
        <v>121</v>
      </c>
      <c r="I4927" s="206" t="s">
        <v>121</v>
      </c>
      <c r="J4927" s="206" t="s">
        <v>121</v>
      </c>
      <c r="K4927" s="206" t="s">
        <v>121</v>
      </c>
      <c r="L4927" s="206" t="str">
        <v/>
      </c>
      <c r="M4927" s="206" t="str">
        <v/>
      </c>
    </row>
    <row r="4928" spans="1:13" ht="14.4">
      <c r="A4928" s="201"/>
      <c r="B4928" s="209"/>
      <c r="C4928" s="201"/>
      <c r="D4928" s="201"/>
      <c r="E4928" s="202"/>
      <c r="F4928" s="210"/>
      <c r="G4928" s="210"/>
      <c r="H4928" s="206" t="s">
        <v>121</v>
      </c>
      <c r="I4928" s="206" t="s">
        <v>121</v>
      </c>
      <c r="J4928" s="206" t="s">
        <v>121</v>
      </c>
      <c r="K4928" s="206" t="s">
        <v>121</v>
      </c>
      <c r="L4928" s="206" t="str">
        <v/>
      </c>
      <c r="M4928" s="206" t="str">
        <v/>
      </c>
    </row>
    <row r="4929" spans="1:13" ht="14.4">
      <c r="A4929" s="201"/>
      <c r="B4929" s="209"/>
      <c r="C4929" s="201"/>
      <c r="D4929" s="201"/>
      <c r="E4929" s="202"/>
      <c r="F4929" s="210"/>
      <c r="G4929" s="210"/>
      <c r="H4929" s="206" t="s">
        <v>121</v>
      </c>
      <c r="I4929" s="206" t="s">
        <v>121</v>
      </c>
      <c r="J4929" s="206" t="s">
        <v>121</v>
      </c>
      <c r="K4929" s="206" t="s">
        <v>121</v>
      </c>
      <c r="L4929" s="206" t="str">
        <v/>
      </c>
      <c r="M4929" s="206" t="str">
        <v/>
      </c>
    </row>
    <row r="4930" spans="1:13" ht="14.4">
      <c r="A4930" s="201"/>
      <c r="B4930" s="209"/>
      <c r="C4930" s="201"/>
      <c r="D4930" s="201"/>
      <c r="E4930" s="202"/>
      <c r="F4930" s="210"/>
      <c r="G4930" s="210"/>
      <c r="H4930" s="206" t="s">
        <v>121</v>
      </c>
      <c r="I4930" s="206" t="s">
        <v>121</v>
      </c>
      <c r="J4930" s="206" t="s">
        <v>121</v>
      </c>
      <c r="K4930" s="206" t="s">
        <v>121</v>
      </c>
      <c r="L4930" s="206" t="str">
        <v/>
      </c>
      <c r="M4930" s="206" t="str">
        <v/>
      </c>
    </row>
    <row r="4931" spans="1:13" ht="14.4">
      <c r="A4931" s="201"/>
      <c r="B4931" s="209"/>
      <c r="C4931" s="201"/>
      <c r="D4931" s="201"/>
      <c r="E4931" s="202"/>
      <c r="F4931" s="210"/>
      <c r="G4931" s="210"/>
      <c r="H4931" s="206" t="s">
        <v>121</v>
      </c>
      <c r="I4931" s="206" t="s">
        <v>121</v>
      </c>
      <c r="J4931" s="206" t="s">
        <v>121</v>
      </c>
      <c r="K4931" s="206" t="s">
        <v>121</v>
      </c>
      <c r="L4931" s="206" t="str">
        <v/>
      </c>
      <c r="M4931" s="206" t="str">
        <v/>
      </c>
    </row>
    <row r="4932" spans="1:13" ht="14.4">
      <c r="A4932" s="201"/>
      <c r="B4932" s="209"/>
      <c r="C4932" s="201"/>
      <c r="D4932" s="201"/>
      <c r="E4932" s="202"/>
      <c r="F4932" s="210"/>
      <c r="G4932" s="210"/>
      <c r="H4932" s="206" t="s">
        <v>121</v>
      </c>
      <c r="I4932" s="206" t="s">
        <v>121</v>
      </c>
      <c r="J4932" s="206" t="s">
        <v>121</v>
      </c>
      <c r="K4932" s="206" t="s">
        <v>121</v>
      </c>
      <c r="L4932" s="206" t="str">
        <v/>
      </c>
      <c r="M4932" s="206" t="str">
        <v/>
      </c>
    </row>
    <row r="4933" spans="1:13" ht="14.4">
      <c r="A4933" s="201"/>
      <c r="B4933" s="209"/>
      <c r="C4933" s="201"/>
      <c r="D4933" s="201"/>
      <c r="E4933" s="202"/>
      <c r="F4933" s="210"/>
      <c r="G4933" s="210"/>
      <c r="H4933" s="206" t="s">
        <v>121</v>
      </c>
      <c r="I4933" s="206" t="s">
        <v>121</v>
      </c>
      <c r="J4933" s="206" t="s">
        <v>121</v>
      </c>
      <c r="K4933" s="206" t="s">
        <v>121</v>
      </c>
      <c r="L4933" s="206" t="str">
        <v/>
      </c>
      <c r="M4933" s="206" t="str">
        <v/>
      </c>
    </row>
    <row r="4934" spans="1:13" ht="14.4">
      <c r="A4934" s="201"/>
      <c r="B4934" s="209"/>
      <c r="C4934" s="201"/>
      <c r="D4934" s="201"/>
      <c r="E4934" s="202"/>
      <c r="F4934" s="210"/>
      <c r="G4934" s="210"/>
      <c r="H4934" s="206" t="s">
        <v>121</v>
      </c>
      <c r="I4934" s="206" t="s">
        <v>121</v>
      </c>
      <c r="J4934" s="206" t="s">
        <v>121</v>
      </c>
      <c r="K4934" s="206" t="s">
        <v>121</v>
      </c>
      <c r="L4934" s="206" t="str">
        <v/>
      </c>
      <c r="M4934" s="206" t="str">
        <v/>
      </c>
    </row>
    <row r="4935" spans="1:13" ht="14.4">
      <c r="A4935" s="201"/>
      <c r="B4935" s="209"/>
      <c r="C4935" s="201"/>
      <c r="D4935" s="201"/>
      <c r="E4935" s="202"/>
      <c r="F4935" s="210"/>
      <c r="G4935" s="210"/>
      <c r="H4935" s="206" t="s">
        <v>121</v>
      </c>
      <c r="I4935" s="206" t="s">
        <v>121</v>
      </c>
      <c r="J4935" s="206" t="s">
        <v>121</v>
      </c>
      <c r="K4935" s="206" t="s">
        <v>121</v>
      </c>
      <c r="L4935" s="206" t="str">
        <v/>
      </c>
      <c r="M4935" s="206" t="str">
        <v/>
      </c>
    </row>
    <row r="4936" spans="1:13" ht="14.4">
      <c r="A4936" s="201"/>
      <c r="B4936" s="209"/>
      <c r="C4936" s="201"/>
      <c r="D4936" s="201"/>
      <c r="E4936" s="202"/>
      <c r="F4936" s="210"/>
      <c r="G4936" s="210"/>
      <c r="H4936" s="206" t="s">
        <v>121</v>
      </c>
      <c r="I4936" s="206" t="s">
        <v>121</v>
      </c>
      <c r="J4936" s="206" t="s">
        <v>121</v>
      </c>
      <c r="K4936" s="206" t="s">
        <v>121</v>
      </c>
      <c r="L4936" s="206" t="str">
        <v/>
      </c>
      <c r="M4936" s="206" t="str">
        <v/>
      </c>
    </row>
    <row r="4937" spans="1:13" ht="14.4">
      <c r="A4937" s="201"/>
      <c r="B4937" s="209"/>
      <c r="C4937" s="201"/>
      <c r="D4937" s="201"/>
      <c r="E4937" s="202"/>
      <c r="F4937" s="210"/>
      <c r="G4937" s="210"/>
      <c r="H4937" s="206" t="s">
        <v>121</v>
      </c>
      <c r="I4937" s="206" t="s">
        <v>121</v>
      </c>
      <c r="J4937" s="206" t="s">
        <v>121</v>
      </c>
      <c r="K4937" s="206" t="s">
        <v>121</v>
      </c>
      <c r="L4937" s="206" t="str">
        <v/>
      </c>
      <c r="M4937" s="206" t="str">
        <v/>
      </c>
    </row>
    <row r="4938" spans="1:13" ht="14.4">
      <c r="A4938" s="201"/>
      <c r="B4938" s="209"/>
      <c r="C4938" s="201"/>
      <c r="D4938" s="201"/>
      <c r="E4938" s="202"/>
      <c r="F4938" s="210"/>
      <c r="G4938" s="210"/>
      <c r="H4938" s="206" t="s">
        <v>121</v>
      </c>
      <c r="I4938" s="206" t="s">
        <v>121</v>
      </c>
      <c r="J4938" s="206" t="s">
        <v>121</v>
      </c>
      <c r="K4938" s="206" t="s">
        <v>121</v>
      </c>
      <c r="L4938" s="206" t="str">
        <v/>
      </c>
      <c r="M4938" s="206" t="str">
        <v/>
      </c>
    </row>
    <row r="4939" spans="1:13" ht="14.4">
      <c r="A4939" s="201"/>
      <c r="B4939" s="209"/>
      <c r="C4939" s="201"/>
      <c r="D4939" s="201"/>
      <c r="E4939" s="202"/>
      <c r="F4939" s="210"/>
      <c r="G4939" s="210"/>
      <c r="H4939" s="206" t="s">
        <v>121</v>
      </c>
      <c r="I4939" s="206" t="s">
        <v>121</v>
      </c>
      <c r="J4939" s="206" t="s">
        <v>121</v>
      </c>
      <c r="K4939" s="206" t="s">
        <v>121</v>
      </c>
      <c r="L4939" s="206" t="str">
        <v/>
      </c>
      <c r="M4939" s="206" t="str">
        <v/>
      </c>
    </row>
    <row r="4940" spans="1:13" ht="14.4">
      <c r="A4940" s="201"/>
      <c r="B4940" s="209"/>
      <c r="C4940" s="201"/>
      <c r="D4940" s="201"/>
      <c r="E4940" s="202"/>
      <c r="F4940" s="210"/>
      <c r="G4940" s="210"/>
      <c r="H4940" s="206" t="s">
        <v>121</v>
      </c>
      <c r="I4940" s="206" t="s">
        <v>121</v>
      </c>
      <c r="J4940" s="206" t="s">
        <v>121</v>
      </c>
      <c r="K4940" s="206" t="s">
        <v>121</v>
      </c>
      <c r="L4940" s="206" t="str">
        <v/>
      </c>
      <c r="M4940" s="206" t="str">
        <v/>
      </c>
    </row>
    <row r="4941" spans="1:13" ht="14.4">
      <c r="A4941" s="201"/>
      <c r="B4941" s="209"/>
      <c r="C4941" s="201"/>
      <c r="D4941" s="201"/>
      <c r="E4941" s="202"/>
      <c r="F4941" s="210"/>
      <c r="G4941" s="210"/>
      <c r="H4941" s="206" t="s">
        <v>121</v>
      </c>
      <c r="I4941" s="206" t="s">
        <v>121</v>
      </c>
      <c r="J4941" s="206" t="s">
        <v>121</v>
      </c>
      <c r="K4941" s="206" t="s">
        <v>121</v>
      </c>
      <c r="L4941" s="206" t="str">
        <v/>
      </c>
      <c r="M4941" s="206" t="str">
        <v/>
      </c>
    </row>
    <row r="4942" spans="1:13" ht="14.4">
      <c r="A4942" s="201"/>
      <c r="B4942" s="209"/>
      <c r="C4942" s="201"/>
      <c r="D4942" s="201"/>
      <c r="E4942" s="202"/>
      <c r="F4942" s="210"/>
      <c r="G4942" s="210"/>
      <c r="H4942" s="206" t="s">
        <v>121</v>
      </c>
      <c r="I4942" s="206" t="s">
        <v>121</v>
      </c>
      <c r="J4942" s="206" t="s">
        <v>121</v>
      </c>
      <c r="K4942" s="206" t="s">
        <v>121</v>
      </c>
      <c r="L4942" s="206" t="str">
        <v/>
      </c>
      <c r="M4942" s="206" t="str">
        <v/>
      </c>
    </row>
    <row r="4943" spans="1:13" ht="14.4">
      <c r="A4943" s="201"/>
      <c r="B4943" s="209"/>
      <c r="C4943" s="201"/>
      <c r="D4943" s="201"/>
      <c r="E4943" s="202"/>
      <c r="F4943" s="210"/>
      <c r="G4943" s="210"/>
      <c r="H4943" s="206" t="s">
        <v>121</v>
      </c>
      <c r="I4943" s="206" t="s">
        <v>121</v>
      </c>
      <c r="J4943" s="206" t="s">
        <v>121</v>
      </c>
      <c r="K4943" s="206" t="s">
        <v>121</v>
      </c>
      <c r="L4943" s="206" t="str">
        <v/>
      </c>
      <c r="M4943" s="206" t="str">
        <v/>
      </c>
    </row>
    <row r="4944" spans="1:13" ht="14.4">
      <c r="A4944" s="201"/>
      <c r="B4944" s="209"/>
      <c r="C4944" s="201"/>
      <c r="D4944" s="201"/>
      <c r="E4944" s="202"/>
      <c r="F4944" s="210"/>
      <c r="G4944" s="210"/>
      <c r="H4944" s="206" t="s">
        <v>121</v>
      </c>
      <c r="I4944" s="206" t="s">
        <v>121</v>
      </c>
      <c r="J4944" s="206" t="s">
        <v>121</v>
      </c>
      <c r="K4944" s="206" t="s">
        <v>121</v>
      </c>
      <c r="L4944" s="206" t="str">
        <v/>
      </c>
      <c r="M4944" s="206" t="str">
        <v/>
      </c>
    </row>
    <row r="4945" spans="1:13" ht="14.4">
      <c r="A4945" s="201"/>
      <c r="B4945" s="209"/>
      <c r="C4945" s="201"/>
      <c r="D4945" s="201"/>
      <c r="E4945" s="202"/>
      <c r="F4945" s="210"/>
      <c r="G4945" s="210"/>
      <c r="H4945" s="206" t="s">
        <v>121</v>
      </c>
      <c r="I4945" s="206" t="s">
        <v>121</v>
      </c>
      <c r="J4945" s="206" t="s">
        <v>121</v>
      </c>
      <c r="K4945" s="206" t="s">
        <v>121</v>
      </c>
      <c r="L4945" s="206" t="str">
        <v/>
      </c>
      <c r="M4945" s="206" t="str">
        <v/>
      </c>
    </row>
    <row r="4946" spans="1:13" ht="14.4">
      <c r="A4946" s="201"/>
      <c r="B4946" s="209"/>
      <c r="C4946" s="201"/>
      <c r="D4946" s="201"/>
      <c r="E4946" s="202"/>
      <c r="F4946" s="210"/>
      <c r="G4946" s="210"/>
      <c r="H4946" s="206" t="s">
        <v>121</v>
      </c>
      <c r="I4946" s="206" t="s">
        <v>121</v>
      </c>
      <c r="J4946" s="206" t="s">
        <v>121</v>
      </c>
      <c r="K4946" s="206" t="s">
        <v>121</v>
      </c>
      <c r="L4946" s="206" t="str">
        <v/>
      </c>
      <c r="M4946" s="206" t="str">
        <v/>
      </c>
    </row>
    <row r="4947" spans="1:13" ht="14.4">
      <c r="A4947" s="201"/>
      <c r="B4947" s="209"/>
      <c r="C4947" s="201"/>
      <c r="D4947" s="201"/>
      <c r="E4947" s="202"/>
      <c r="F4947" s="210"/>
      <c r="G4947" s="210"/>
      <c r="H4947" s="206" t="s">
        <v>121</v>
      </c>
      <c r="I4947" s="206" t="s">
        <v>121</v>
      </c>
      <c r="J4947" s="206" t="s">
        <v>121</v>
      </c>
      <c r="K4947" s="206" t="s">
        <v>121</v>
      </c>
      <c r="L4947" s="206" t="str">
        <v/>
      </c>
      <c r="M4947" s="206" t="str">
        <v/>
      </c>
    </row>
    <row r="4948" spans="1:13" ht="14.4">
      <c r="A4948" s="201"/>
      <c r="B4948" s="209"/>
      <c r="C4948" s="201"/>
      <c r="D4948" s="201"/>
      <c r="E4948" s="202"/>
      <c r="F4948" s="210"/>
      <c r="G4948" s="210"/>
      <c r="H4948" s="206" t="s">
        <v>121</v>
      </c>
      <c r="I4948" s="206" t="s">
        <v>121</v>
      </c>
      <c r="J4948" s="206" t="s">
        <v>121</v>
      </c>
      <c r="K4948" s="206" t="s">
        <v>121</v>
      </c>
      <c r="L4948" s="206" t="str">
        <v/>
      </c>
      <c r="M4948" s="206" t="str">
        <v/>
      </c>
    </row>
    <row r="4949" spans="1:13" ht="14.4">
      <c r="A4949" s="201"/>
      <c r="B4949" s="209"/>
      <c r="C4949" s="201"/>
      <c r="D4949" s="201"/>
      <c r="E4949" s="202"/>
      <c r="F4949" s="210"/>
      <c r="G4949" s="210"/>
      <c r="H4949" s="206" t="s">
        <v>121</v>
      </c>
      <c r="I4949" s="206" t="s">
        <v>121</v>
      </c>
      <c r="J4949" s="206" t="s">
        <v>121</v>
      </c>
      <c r="K4949" s="206" t="s">
        <v>121</v>
      </c>
      <c r="L4949" s="206" t="str">
        <v/>
      </c>
      <c r="M4949" s="206" t="str">
        <v/>
      </c>
    </row>
    <row r="4950" spans="1:13" ht="14.4">
      <c r="A4950" s="201"/>
      <c r="B4950" s="209"/>
      <c r="C4950" s="201"/>
      <c r="D4950" s="201"/>
      <c r="E4950" s="202"/>
      <c r="F4950" s="210"/>
      <c r="G4950" s="210"/>
      <c r="H4950" s="206" t="s">
        <v>121</v>
      </c>
      <c r="I4950" s="206" t="s">
        <v>121</v>
      </c>
      <c r="J4950" s="206" t="s">
        <v>121</v>
      </c>
      <c r="K4950" s="206" t="s">
        <v>121</v>
      </c>
      <c r="L4950" s="206" t="str">
        <v/>
      </c>
      <c r="M4950" s="206" t="str">
        <v/>
      </c>
    </row>
    <row r="4951" spans="1:13" ht="14.4">
      <c r="A4951" s="201"/>
      <c r="B4951" s="209"/>
      <c r="C4951" s="201"/>
      <c r="D4951" s="201"/>
      <c r="E4951" s="202"/>
      <c r="F4951" s="210"/>
      <c r="G4951" s="210"/>
      <c r="H4951" s="206" t="s">
        <v>121</v>
      </c>
      <c r="I4951" s="206" t="s">
        <v>121</v>
      </c>
      <c r="J4951" s="206" t="s">
        <v>121</v>
      </c>
      <c r="K4951" s="206" t="s">
        <v>121</v>
      </c>
      <c r="L4951" s="206" t="str">
        <v/>
      </c>
      <c r="M4951" s="206" t="str">
        <v/>
      </c>
    </row>
    <row r="4952" spans="1:13" ht="14.4">
      <c r="A4952" s="201"/>
      <c r="B4952" s="209"/>
      <c r="C4952" s="201"/>
      <c r="D4952" s="201"/>
      <c r="E4952" s="202"/>
      <c r="F4952" s="210"/>
      <c r="G4952" s="210"/>
      <c r="H4952" s="206" t="s">
        <v>121</v>
      </c>
      <c r="I4952" s="206" t="s">
        <v>121</v>
      </c>
      <c r="J4952" s="206" t="s">
        <v>121</v>
      </c>
      <c r="K4952" s="206" t="s">
        <v>121</v>
      </c>
      <c r="L4952" s="206" t="str">
        <v/>
      </c>
      <c r="M4952" s="206" t="str">
        <v/>
      </c>
    </row>
    <row r="4953" spans="1:13" ht="14.4">
      <c r="A4953" s="201"/>
      <c r="B4953" s="209"/>
      <c r="C4953" s="201"/>
      <c r="D4953" s="201"/>
      <c r="E4953" s="202"/>
      <c r="F4953" s="210"/>
      <c r="G4953" s="210"/>
      <c r="H4953" s="206" t="s">
        <v>121</v>
      </c>
      <c r="I4953" s="206" t="s">
        <v>121</v>
      </c>
      <c r="J4953" s="206" t="s">
        <v>121</v>
      </c>
      <c r="K4953" s="206" t="s">
        <v>121</v>
      </c>
      <c r="L4953" s="206" t="str">
        <v/>
      </c>
      <c r="M4953" s="206" t="str">
        <v/>
      </c>
    </row>
    <row r="4954" spans="1:13" ht="14.4">
      <c r="A4954" s="201"/>
      <c r="B4954" s="209"/>
      <c r="C4954" s="201"/>
      <c r="D4954" s="201"/>
      <c r="E4954" s="202"/>
      <c r="F4954" s="210"/>
      <c r="G4954" s="210"/>
      <c r="H4954" s="206" t="s">
        <v>121</v>
      </c>
      <c r="I4954" s="206" t="s">
        <v>121</v>
      </c>
      <c r="J4954" s="206" t="s">
        <v>121</v>
      </c>
      <c r="K4954" s="206" t="s">
        <v>121</v>
      </c>
      <c r="L4954" s="206" t="str">
        <v/>
      </c>
      <c r="M4954" s="206" t="str">
        <v/>
      </c>
    </row>
    <row r="4955" spans="1:13" ht="14.4">
      <c r="A4955" s="201"/>
      <c r="B4955" s="209"/>
      <c r="C4955" s="201"/>
      <c r="D4955" s="201"/>
      <c r="E4955" s="202"/>
      <c r="F4955" s="210"/>
      <c r="G4955" s="210"/>
      <c r="H4955" s="206" t="s">
        <v>121</v>
      </c>
      <c r="I4955" s="206" t="s">
        <v>121</v>
      </c>
      <c r="J4955" s="206" t="s">
        <v>121</v>
      </c>
      <c r="K4955" s="206" t="s">
        <v>121</v>
      </c>
      <c r="L4955" s="206" t="str">
        <v/>
      </c>
      <c r="M4955" s="206" t="str">
        <v/>
      </c>
    </row>
    <row r="4956" spans="1:13" ht="14.4">
      <c r="A4956" s="201"/>
      <c r="B4956" s="209"/>
      <c r="C4956" s="201"/>
      <c r="D4956" s="201"/>
      <c r="E4956" s="202"/>
      <c r="F4956" s="210"/>
      <c r="G4956" s="210"/>
      <c r="H4956" s="206" t="s">
        <v>121</v>
      </c>
      <c r="I4956" s="206" t="s">
        <v>121</v>
      </c>
      <c r="J4956" s="206" t="s">
        <v>121</v>
      </c>
      <c r="K4956" s="206" t="s">
        <v>121</v>
      </c>
      <c r="L4956" s="206" t="str">
        <v/>
      </c>
      <c r="M4956" s="206" t="str">
        <v/>
      </c>
    </row>
    <row r="4957" spans="1:13" ht="14.4">
      <c r="A4957" s="201"/>
      <c r="B4957" s="209"/>
      <c r="C4957" s="201"/>
      <c r="D4957" s="201"/>
      <c r="E4957" s="202"/>
      <c r="F4957" s="210"/>
      <c r="G4957" s="210"/>
      <c r="H4957" s="206" t="s">
        <v>121</v>
      </c>
      <c r="I4957" s="206" t="s">
        <v>121</v>
      </c>
      <c r="J4957" s="206" t="s">
        <v>121</v>
      </c>
      <c r="K4957" s="206" t="s">
        <v>121</v>
      </c>
      <c r="L4957" s="206" t="str">
        <v/>
      </c>
      <c r="M4957" s="206" t="str">
        <v/>
      </c>
    </row>
    <row r="4958" spans="1:13" ht="14.4">
      <c r="A4958" s="201"/>
      <c r="B4958" s="209"/>
      <c r="C4958" s="201"/>
      <c r="D4958" s="201"/>
      <c r="E4958" s="202"/>
      <c r="F4958" s="210"/>
      <c r="G4958" s="210"/>
      <c r="H4958" s="206" t="s">
        <v>121</v>
      </c>
      <c r="I4958" s="206" t="s">
        <v>121</v>
      </c>
      <c r="J4958" s="206" t="s">
        <v>121</v>
      </c>
      <c r="K4958" s="206" t="s">
        <v>121</v>
      </c>
      <c r="L4958" s="206" t="str">
        <v/>
      </c>
      <c r="M4958" s="206" t="str">
        <v/>
      </c>
    </row>
    <row r="4959" spans="1:13" ht="14.4">
      <c r="A4959" s="201"/>
      <c r="B4959" s="209"/>
      <c r="C4959" s="201"/>
      <c r="D4959" s="201"/>
      <c r="E4959" s="202"/>
      <c r="F4959" s="210"/>
      <c r="G4959" s="210"/>
      <c r="H4959" s="206" t="s">
        <v>121</v>
      </c>
      <c r="I4959" s="206" t="s">
        <v>121</v>
      </c>
      <c r="J4959" s="206" t="s">
        <v>121</v>
      </c>
      <c r="K4959" s="206" t="s">
        <v>121</v>
      </c>
      <c r="L4959" s="206" t="str">
        <v/>
      </c>
      <c r="M4959" s="206" t="str">
        <v/>
      </c>
    </row>
    <row r="4960" spans="1:13" ht="14.4">
      <c r="A4960" s="201"/>
      <c r="B4960" s="209"/>
      <c r="C4960" s="201"/>
      <c r="D4960" s="201"/>
      <c r="E4960" s="202"/>
      <c r="F4960" s="210"/>
      <c r="G4960" s="210"/>
      <c r="H4960" s="206" t="s">
        <v>121</v>
      </c>
      <c r="I4960" s="206" t="s">
        <v>121</v>
      </c>
      <c r="J4960" s="206" t="s">
        <v>121</v>
      </c>
      <c r="K4960" s="206" t="s">
        <v>121</v>
      </c>
      <c r="L4960" s="206" t="str">
        <v/>
      </c>
      <c r="M4960" s="206" t="str">
        <v/>
      </c>
    </row>
    <row r="4961" spans="1:13" ht="14.4">
      <c r="A4961" s="201"/>
      <c r="B4961" s="209"/>
      <c r="C4961" s="201"/>
      <c r="D4961" s="201"/>
      <c r="E4961" s="202"/>
      <c r="F4961" s="210"/>
      <c r="G4961" s="210"/>
      <c r="H4961" s="206" t="s">
        <v>121</v>
      </c>
      <c r="I4961" s="206" t="s">
        <v>121</v>
      </c>
      <c r="J4961" s="206" t="s">
        <v>121</v>
      </c>
      <c r="K4961" s="206" t="s">
        <v>121</v>
      </c>
      <c r="L4961" s="206" t="str">
        <v/>
      </c>
      <c r="M4961" s="206" t="str">
        <v/>
      </c>
    </row>
    <row r="4962" spans="1:13" ht="14.4">
      <c r="A4962" s="201"/>
      <c r="B4962" s="209"/>
      <c r="C4962" s="201"/>
      <c r="D4962" s="201"/>
      <c r="E4962" s="202"/>
      <c r="F4962" s="210"/>
      <c r="G4962" s="210"/>
      <c r="H4962" s="206" t="s">
        <v>121</v>
      </c>
      <c r="I4962" s="206" t="s">
        <v>121</v>
      </c>
      <c r="J4962" s="206" t="s">
        <v>121</v>
      </c>
      <c r="K4962" s="206" t="s">
        <v>121</v>
      </c>
      <c r="L4962" s="206" t="str">
        <v/>
      </c>
      <c r="M4962" s="206" t="str">
        <v/>
      </c>
    </row>
    <row r="4963" spans="1:13" ht="14.4">
      <c r="A4963" s="201"/>
      <c r="B4963" s="209"/>
      <c r="C4963" s="201"/>
      <c r="D4963" s="201"/>
      <c r="E4963" s="202"/>
      <c r="F4963" s="210"/>
      <c r="G4963" s="210"/>
      <c r="H4963" s="206" t="s">
        <v>121</v>
      </c>
      <c r="I4963" s="206" t="s">
        <v>121</v>
      </c>
      <c r="J4963" s="206" t="s">
        <v>121</v>
      </c>
      <c r="K4963" s="206" t="s">
        <v>121</v>
      </c>
      <c r="L4963" s="206" t="str">
        <v/>
      </c>
      <c r="M4963" s="206" t="str">
        <v/>
      </c>
    </row>
    <row r="4964" spans="1:13" ht="14.4">
      <c r="A4964" s="201"/>
      <c r="B4964" s="209"/>
      <c r="C4964" s="201"/>
      <c r="D4964" s="201"/>
      <c r="E4964" s="202"/>
      <c r="F4964" s="210"/>
      <c r="G4964" s="210"/>
      <c r="H4964" s="206" t="s">
        <v>121</v>
      </c>
      <c r="I4964" s="206" t="s">
        <v>121</v>
      </c>
      <c r="J4964" s="206" t="s">
        <v>121</v>
      </c>
      <c r="K4964" s="206" t="s">
        <v>121</v>
      </c>
      <c r="L4964" s="206" t="str">
        <v/>
      </c>
      <c r="M4964" s="206" t="str">
        <v/>
      </c>
    </row>
    <row r="4965" spans="1:13" ht="14.4">
      <c r="A4965" s="201"/>
      <c r="B4965" s="209"/>
      <c r="C4965" s="201"/>
      <c r="D4965" s="201"/>
      <c r="E4965" s="202"/>
      <c r="F4965" s="210"/>
      <c r="G4965" s="210"/>
      <c r="H4965" s="206" t="s">
        <v>121</v>
      </c>
      <c r="I4965" s="206" t="s">
        <v>121</v>
      </c>
      <c r="J4965" s="206" t="s">
        <v>121</v>
      </c>
      <c r="K4965" s="206" t="s">
        <v>121</v>
      </c>
      <c r="L4965" s="206" t="str">
        <v/>
      </c>
      <c r="M4965" s="206" t="str">
        <v/>
      </c>
    </row>
    <row r="4966" spans="1:13" ht="14.4">
      <c r="A4966" s="201"/>
      <c r="B4966" s="209"/>
      <c r="C4966" s="201"/>
      <c r="D4966" s="201"/>
      <c r="E4966" s="202"/>
      <c r="F4966" s="210"/>
      <c r="G4966" s="210"/>
      <c r="H4966" s="206" t="s">
        <v>121</v>
      </c>
      <c r="I4966" s="206" t="s">
        <v>121</v>
      </c>
      <c r="J4966" s="206" t="s">
        <v>121</v>
      </c>
      <c r="K4966" s="206" t="s">
        <v>121</v>
      </c>
      <c r="L4966" s="206" t="str">
        <v/>
      </c>
      <c r="M4966" s="206" t="str">
        <v/>
      </c>
    </row>
    <row r="4967" spans="1:13" ht="14.4">
      <c r="A4967" s="201"/>
      <c r="B4967" s="209"/>
      <c r="C4967" s="201"/>
      <c r="D4967" s="201"/>
      <c r="E4967" s="202"/>
      <c r="F4967" s="210"/>
      <c r="G4967" s="210"/>
      <c r="H4967" s="206" t="s">
        <v>121</v>
      </c>
      <c r="I4967" s="206" t="s">
        <v>121</v>
      </c>
      <c r="J4967" s="206" t="s">
        <v>121</v>
      </c>
      <c r="K4967" s="206" t="s">
        <v>121</v>
      </c>
      <c r="L4967" s="206" t="str">
        <v/>
      </c>
      <c r="M4967" s="206" t="str">
        <v/>
      </c>
    </row>
    <row r="4968" spans="1:13" ht="14.4">
      <c r="A4968" s="201"/>
      <c r="B4968" s="209"/>
      <c r="C4968" s="201"/>
      <c r="D4968" s="201"/>
      <c r="E4968" s="202"/>
      <c r="F4968" s="210"/>
      <c r="G4968" s="210"/>
      <c r="H4968" s="206" t="s">
        <v>121</v>
      </c>
      <c r="I4968" s="206" t="s">
        <v>121</v>
      </c>
      <c r="J4968" s="206" t="s">
        <v>121</v>
      </c>
      <c r="K4968" s="206" t="s">
        <v>121</v>
      </c>
      <c r="L4968" s="206" t="str">
        <v/>
      </c>
      <c r="M4968" s="206" t="str">
        <v/>
      </c>
    </row>
    <row r="4969" spans="1:13" ht="14.4">
      <c r="A4969" s="201"/>
      <c r="B4969" s="209"/>
      <c r="C4969" s="201"/>
      <c r="D4969" s="201"/>
      <c r="E4969" s="202"/>
      <c r="F4969" s="210"/>
      <c r="G4969" s="210"/>
      <c r="H4969" s="206" t="s">
        <v>121</v>
      </c>
      <c r="I4969" s="206" t="s">
        <v>121</v>
      </c>
      <c r="J4969" s="206" t="s">
        <v>121</v>
      </c>
      <c r="K4969" s="206" t="s">
        <v>121</v>
      </c>
      <c r="L4969" s="206" t="str">
        <v/>
      </c>
      <c r="M4969" s="206" t="str">
        <v/>
      </c>
    </row>
    <row r="4970" spans="1:13" ht="14.4">
      <c r="A4970" s="201"/>
      <c r="B4970" s="209"/>
      <c r="C4970" s="201"/>
      <c r="D4970" s="201"/>
      <c r="E4970" s="202"/>
      <c r="F4970" s="210"/>
      <c r="G4970" s="210"/>
      <c r="H4970" s="206" t="s">
        <v>121</v>
      </c>
      <c r="I4970" s="206" t="s">
        <v>121</v>
      </c>
      <c r="J4970" s="206" t="s">
        <v>121</v>
      </c>
      <c r="K4970" s="206" t="s">
        <v>121</v>
      </c>
      <c r="L4970" s="206" t="str">
        <v/>
      </c>
      <c r="M4970" s="206" t="str">
        <v/>
      </c>
    </row>
    <row r="4971" spans="1:13" ht="14.4">
      <c r="A4971" s="201"/>
      <c r="B4971" s="209"/>
      <c r="C4971" s="201"/>
      <c r="D4971" s="201"/>
      <c r="E4971" s="202"/>
      <c r="F4971" s="210"/>
      <c r="G4971" s="210"/>
      <c r="H4971" s="206" t="s">
        <v>121</v>
      </c>
      <c r="I4971" s="206" t="s">
        <v>121</v>
      </c>
      <c r="J4971" s="206" t="s">
        <v>121</v>
      </c>
      <c r="K4971" s="206" t="s">
        <v>121</v>
      </c>
      <c r="L4971" s="206" t="str">
        <v/>
      </c>
      <c r="M4971" s="206" t="str">
        <v/>
      </c>
    </row>
    <row r="4972" spans="1:13" ht="14.4">
      <c r="A4972" s="201"/>
      <c r="B4972" s="209"/>
      <c r="C4972" s="201"/>
      <c r="D4972" s="201"/>
      <c r="E4972" s="202"/>
      <c r="F4972" s="210"/>
      <c r="G4972" s="210"/>
      <c r="H4972" s="206" t="s">
        <v>121</v>
      </c>
      <c r="I4972" s="206" t="s">
        <v>121</v>
      </c>
      <c r="J4972" s="206" t="s">
        <v>121</v>
      </c>
      <c r="K4972" s="206" t="s">
        <v>121</v>
      </c>
      <c r="L4972" s="206" t="str">
        <v/>
      </c>
      <c r="M4972" s="206" t="str">
        <v/>
      </c>
    </row>
    <row r="4973" spans="1:13" ht="14.4">
      <c r="A4973" s="201"/>
      <c r="B4973" s="209"/>
      <c r="C4973" s="201"/>
      <c r="D4973" s="201"/>
      <c r="E4973" s="202"/>
      <c r="F4973" s="210"/>
      <c r="G4973" s="210"/>
      <c r="H4973" s="206" t="s">
        <v>121</v>
      </c>
      <c r="I4973" s="206" t="s">
        <v>121</v>
      </c>
      <c r="J4973" s="206" t="s">
        <v>121</v>
      </c>
      <c r="K4973" s="206" t="s">
        <v>121</v>
      </c>
      <c r="L4973" s="206" t="str">
        <v/>
      </c>
      <c r="M4973" s="206" t="str">
        <v/>
      </c>
    </row>
    <row r="4974" spans="1:13" ht="14.4">
      <c r="A4974" s="201"/>
      <c r="B4974" s="209"/>
      <c r="C4974" s="201"/>
      <c r="D4974" s="201"/>
      <c r="E4974" s="202"/>
      <c r="F4974" s="210"/>
      <c r="G4974" s="210"/>
      <c r="H4974" s="206" t="s">
        <v>121</v>
      </c>
      <c r="I4974" s="206" t="s">
        <v>121</v>
      </c>
      <c r="J4974" s="206" t="s">
        <v>121</v>
      </c>
      <c r="K4974" s="206" t="s">
        <v>121</v>
      </c>
      <c r="L4974" s="206" t="str">
        <v/>
      </c>
      <c r="M4974" s="206" t="str">
        <v/>
      </c>
    </row>
    <row r="4975" spans="1:13" ht="14.4">
      <c r="A4975" s="201"/>
      <c r="B4975" s="209"/>
      <c r="C4975" s="201"/>
      <c r="D4975" s="201"/>
      <c r="E4975" s="202"/>
      <c r="F4975" s="210"/>
      <c r="G4975" s="210"/>
      <c r="H4975" s="206" t="s">
        <v>121</v>
      </c>
      <c r="I4975" s="206" t="s">
        <v>121</v>
      </c>
      <c r="J4975" s="206" t="s">
        <v>121</v>
      </c>
      <c r="K4975" s="206" t="s">
        <v>121</v>
      </c>
      <c r="L4975" s="206" t="str">
        <v/>
      </c>
      <c r="M4975" s="206" t="str">
        <v/>
      </c>
    </row>
    <row r="4976" spans="1:13" ht="14.4">
      <c r="A4976" s="201"/>
      <c r="B4976" s="209"/>
      <c r="C4976" s="201"/>
      <c r="D4976" s="201"/>
      <c r="E4976" s="202"/>
      <c r="F4976" s="210"/>
      <c r="G4976" s="210"/>
      <c r="H4976" s="206" t="s">
        <v>121</v>
      </c>
      <c r="I4976" s="206" t="s">
        <v>121</v>
      </c>
      <c r="J4976" s="206" t="s">
        <v>121</v>
      </c>
      <c r="K4976" s="206" t="s">
        <v>121</v>
      </c>
      <c r="L4976" s="206" t="str">
        <v/>
      </c>
      <c r="M4976" s="206" t="str">
        <v/>
      </c>
    </row>
    <row r="4977" spans="1:13" ht="14.4">
      <c r="A4977" s="201"/>
      <c r="B4977" s="209"/>
      <c r="C4977" s="201"/>
      <c r="D4977" s="201"/>
      <c r="E4977" s="202"/>
      <c r="F4977" s="210"/>
      <c r="G4977" s="210"/>
      <c r="H4977" s="206" t="s">
        <v>121</v>
      </c>
      <c r="I4977" s="206" t="s">
        <v>121</v>
      </c>
      <c r="J4977" s="206" t="s">
        <v>121</v>
      </c>
      <c r="K4977" s="206" t="s">
        <v>121</v>
      </c>
      <c r="L4977" s="206" t="str">
        <v/>
      </c>
      <c r="M4977" s="206" t="str">
        <v/>
      </c>
    </row>
    <row r="4978" spans="1:13" ht="14.4">
      <c r="A4978" s="201"/>
      <c r="B4978" s="209"/>
      <c r="C4978" s="201"/>
      <c r="D4978" s="201"/>
      <c r="E4978" s="202"/>
      <c r="F4978" s="210"/>
      <c r="G4978" s="210"/>
      <c r="H4978" s="206" t="s">
        <v>121</v>
      </c>
      <c r="I4978" s="206" t="s">
        <v>121</v>
      </c>
      <c r="J4978" s="206" t="s">
        <v>121</v>
      </c>
      <c r="K4978" s="206" t="s">
        <v>121</v>
      </c>
      <c r="L4978" s="206" t="str">
        <v/>
      </c>
      <c r="M4978" s="206" t="str">
        <v/>
      </c>
    </row>
    <row r="4979" spans="1:13" ht="14.4">
      <c r="A4979" s="201"/>
      <c r="B4979" s="209"/>
      <c r="C4979" s="201"/>
      <c r="D4979" s="201"/>
      <c r="E4979" s="202"/>
      <c r="F4979" s="210"/>
      <c r="G4979" s="210"/>
      <c r="H4979" s="206" t="s">
        <v>121</v>
      </c>
      <c r="I4979" s="206" t="s">
        <v>121</v>
      </c>
      <c r="J4979" s="206" t="s">
        <v>121</v>
      </c>
      <c r="K4979" s="206" t="s">
        <v>121</v>
      </c>
      <c r="L4979" s="206" t="str">
        <v/>
      </c>
      <c r="M4979" s="206" t="str">
        <v/>
      </c>
    </row>
    <row r="4980" spans="1:13" ht="14.4">
      <c r="A4980" s="201"/>
      <c r="B4980" s="209"/>
      <c r="C4980" s="201"/>
      <c r="D4980" s="201"/>
      <c r="E4980" s="202"/>
      <c r="F4980" s="210"/>
      <c r="G4980" s="210"/>
      <c r="H4980" s="206" t="s">
        <v>121</v>
      </c>
      <c r="I4980" s="206" t="s">
        <v>121</v>
      </c>
      <c r="J4980" s="206" t="s">
        <v>121</v>
      </c>
      <c r="K4980" s="206" t="s">
        <v>121</v>
      </c>
      <c r="L4980" s="206" t="str">
        <v/>
      </c>
      <c r="M4980" s="206" t="str">
        <v/>
      </c>
    </row>
    <row r="4981" spans="1:13" ht="14.4">
      <c r="A4981" s="201"/>
      <c r="B4981" s="209"/>
      <c r="C4981" s="201"/>
      <c r="D4981" s="201"/>
      <c r="E4981" s="202"/>
      <c r="F4981" s="210"/>
      <c r="G4981" s="210"/>
      <c r="H4981" s="206" t="s">
        <v>121</v>
      </c>
      <c r="I4981" s="206" t="s">
        <v>121</v>
      </c>
      <c r="J4981" s="206" t="s">
        <v>121</v>
      </c>
      <c r="K4981" s="206" t="s">
        <v>121</v>
      </c>
      <c r="L4981" s="206" t="str">
        <v/>
      </c>
      <c r="M4981" s="206" t="str">
        <v/>
      </c>
    </row>
    <row r="4982" spans="1:13" ht="14.4">
      <c r="A4982" s="201"/>
      <c r="B4982" s="209"/>
      <c r="C4982" s="201"/>
      <c r="D4982" s="201"/>
      <c r="E4982" s="202"/>
      <c r="F4982" s="210"/>
      <c r="G4982" s="210"/>
      <c r="H4982" s="206" t="s">
        <v>121</v>
      </c>
      <c r="I4982" s="206" t="s">
        <v>121</v>
      </c>
      <c r="J4982" s="206" t="s">
        <v>121</v>
      </c>
      <c r="K4982" s="206" t="s">
        <v>121</v>
      </c>
      <c r="L4982" s="206" t="str">
        <v/>
      </c>
      <c r="M4982" s="206" t="str">
        <v/>
      </c>
    </row>
    <row r="4983" spans="1:13" ht="14.4">
      <c r="A4983" s="201"/>
      <c r="B4983" s="209"/>
      <c r="C4983" s="201"/>
      <c r="D4983" s="201"/>
      <c r="E4983" s="202"/>
      <c r="F4983" s="210"/>
      <c r="G4983" s="210"/>
      <c r="H4983" s="206" t="s">
        <v>121</v>
      </c>
      <c r="I4983" s="206" t="s">
        <v>121</v>
      </c>
      <c r="J4983" s="206" t="s">
        <v>121</v>
      </c>
      <c r="K4983" s="206" t="s">
        <v>121</v>
      </c>
      <c r="L4983" s="206" t="str">
        <v/>
      </c>
      <c r="M4983" s="206" t="str">
        <v/>
      </c>
    </row>
    <row r="4984" spans="1:13" ht="14.4">
      <c r="A4984" s="201"/>
      <c r="B4984" s="209"/>
      <c r="C4984" s="201"/>
      <c r="D4984" s="201"/>
      <c r="E4984" s="202"/>
      <c r="F4984" s="210"/>
      <c r="G4984" s="210"/>
      <c r="H4984" s="206" t="s">
        <v>121</v>
      </c>
      <c r="I4984" s="206" t="s">
        <v>121</v>
      </c>
      <c r="J4984" s="206" t="s">
        <v>121</v>
      </c>
      <c r="K4984" s="206" t="s">
        <v>121</v>
      </c>
      <c r="L4984" s="206" t="str">
        <v/>
      </c>
      <c r="M4984" s="206" t="str">
        <v/>
      </c>
    </row>
    <row r="4985" spans="1:13" ht="14.4">
      <c r="A4985" s="201"/>
      <c r="B4985" s="209"/>
      <c r="C4985" s="201"/>
      <c r="D4985" s="201"/>
      <c r="E4985" s="202"/>
      <c r="F4985" s="210"/>
      <c r="G4985" s="210"/>
      <c r="H4985" s="206" t="s">
        <v>121</v>
      </c>
      <c r="I4985" s="206" t="s">
        <v>121</v>
      </c>
      <c r="J4985" s="206" t="s">
        <v>121</v>
      </c>
      <c r="K4985" s="206" t="s">
        <v>121</v>
      </c>
      <c r="L4985" s="206" t="str">
        <v/>
      </c>
      <c r="M4985" s="206" t="str">
        <v/>
      </c>
    </row>
    <row r="4986" spans="1:13" ht="14.4">
      <c r="A4986" s="201"/>
      <c r="B4986" s="209"/>
      <c r="C4986" s="201"/>
      <c r="D4986" s="201"/>
      <c r="E4986" s="202"/>
      <c r="F4986" s="210"/>
      <c r="G4986" s="210"/>
      <c r="H4986" s="206" t="s">
        <v>121</v>
      </c>
      <c r="I4986" s="206" t="s">
        <v>121</v>
      </c>
      <c r="J4986" s="206" t="s">
        <v>121</v>
      </c>
      <c r="K4986" s="206" t="s">
        <v>121</v>
      </c>
      <c r="L4986" s="206" t="str">
        <v/>
      </c>
      <c r="M4986" s="206" t="str">
        <v/>
      </c>
    </row>
    <row r="4987" spans="1:13" ht="14.4">
      <c r="A4987" s="201"/>
      <c r="B4987" s="209"/>
      <c r="C4987" s="201"/>
      <c r="D4987" s="201"/>
      <c r="E4987" s="202"/>
      <c r="F4987" s="210"/>
      <c r="G4987" s="210"/>
      <c r="H4987" s="206" t="s">
        <v>121</v>
      </c>
      <c r="I4987" s="206" t="s">
        <v>121</v>
      </c>
      <c r="J4987" s="206" t="s">
        <v>121</v>
      </c>
      <c r="K4987" s="206" t="s">
        <v>121</v>
      </c>
      <c r="L4987" s="206" t="str">
        <v/>
      </c>
      <c r="M4987" s="206" t="str">
        <v/>
      </c>
    </row>
    <row r="4988" spans="1:13" ht="14.4">
      <c r="A4988" s="201"/>
      <c r="B4988" s="209"/>
      <c r="C4988" s="201"/>
      <c r="D4988" s="201"/>
      <c r="E4988" s="202"/>
      <c r="F4988" s="210"/>
      <c r="G4988" s="210"/>
      <c r="H4988" s="206" t="s">
        <v>121</v>
      </c>
      <c r="I4988" s="206" t="s">
        <v>121</v>
      </c>
      <c r="J4988" s="206" t="s">
        <v>121</v>
      </c>
      <c r="K4988" s="206" t="s">
        <v>121</v>
      </c>
      <c r="L4988" s="206" t="str">
        <v/>
      </c>
      <c r="M4988" s="206" t="str">
        <v/>
      </c>
    </row>
    <row r="4989" spans="1:13" ht="14.4">
      <c r="A4989" s="201"/>
      <c r="B4989" s="209"/>
      <c r="C4989" s="201"/>
      <c r="D4989" s="201"/>
      <c r="E4989" s="202"/>
      <c r="F4989" s="210"/>
      <c r="G4989" s="210"/>
      <c r="H4989" s="206" t="s">
        <v>121</v>
      </c>
      <c r="I4989" s="206" t="s">
        <v>121</v>
      </c>
      <c r="J4989" s="206" t="s">
        <v>121</v>
      </c>
      <c r="K4989" s="206" t="s">
        <v>121</v>
      </c>
      <c r="L4989" s="206" t="str">
        <v/>
      </c>
      <c r="M4989" s="206" t="str">
        <v/>
      </c>
    </row>
    <row r="4990" spans="1:13" ht="14.4">
      <c r="A4990" s="201"/>
      <c r="B4990" s="209"/>
      <c r="C4990" s="201"/>
      <c r="D4990" s="201"/>
      <c r="E4990" s="202"/>
      <c r="F4990" s="210"/>
      <c r="G4990" s="210"/>
      <c r="H4990" s="206" t="s">
        <v>121</v>
      </c>
      <c r="I4990" s="206" t="s">
        <v>121</v>
      </c>
      <c r="J4990" s="206" t="s">
        <v>121</v>
      </c>
      <c r="K4990" s="206" t="s">
        <v>121</v>
      </c>
      <c r="L4990" s="206" t="str">
        <v/>
      </c>
      <c r="M4990" s="206" t="str">
        <v/>
      </c>
    </row>
    <row r="4991" spans="1:13" ht="14.4">
      <c r="A4991" s="201"/>
      <c r="B4991" s="209"/>
      <c r="C4991" s="201"/>
      <c r="D4991" s="201"/>
      <c r="E4991" s="202"/>
      <c r="F4991" s="210"/>
      <c r="G4991" s="210"/>
      <c r="H4991" s="206" t="s">
        <v>121</v>
      </c>
      <c r="I4991" s="206" t="s">
        <v>121</v>
      </c>
      <c r="J4991" s="206" t="s">
        <v>121</v>
      </c>
      <c r="K4991" s="206" t="s">
        <v>121</v>
      </c>
      <c r="L4991" s="206" t="str">
        <v/>
      </c>
      <c r="M4991" s="206" t="str">
        <v/>
      </c>
    </row>
    <row r="4992" spans="1:13" ht="14.4">
      <c r="A4992" s="201"/>
      <c r="B4992" s="209"/>
      <c r="C4992" s="201"/>
      <c r="D4992" s="201"/>
      <c r="E4992" s="202"/>
      <c r="F4992" s="210"/>
      <c r="G4992" s="210"/>
      <c r="H4992" s="206" t="s">
        <v>121</v>
      </c>
      <c r="I4992" s="206" t="s">
        <v>121</v>
      </c>
      <c r="J4992" s="206" t="s">
        <v>121</v>
      </c>
      <c r="K4992" s="206" t="s">
        <v>121</v>
      </c>
      <c r="L4992" s="206" t="str">
        <v/>
      </c>
      <c r="M4992" s="206" t="str">
        <v/>
      </c>
    </row>
    <row r="4993" spans="1:13" ht="14.4">
      <c r="A4993" s="201"/>
      <c r="B4993" s="209"/>
      <c r="C4993" s="201"/>
      <c r="D4993" s="201"/>
      <c r="E4993" s="202"/>
      <c r="F4993" s="210"/>
      <c r="G4993" s="210"/>
      <c r="H4993" s="206" t="s">
        <v>121</v>
      </c>
      <c r="I4993" s="206" t="s">
        <v>121</v>
      </c>
      <c r="J4993" s="206" t="s">
        <v>121</v>
      </c>
      <c r="K4993" s="206" t="s">
        <v>121</v>
      </c>
      <c r="L4993" s="206" t="str">
        <v/>
      </c>
      <c r="M4993" s="206" t="str">
        <v/>
      </c>
    </row>
    <row r="4994" spans="1:13" ht="14.4">
      <c r="A4994" s="201"/>
      <c r="B4994" s="209"/>
      <c r="C4994" s="201"/>
      <c r="D4994" s="201"/>
      <c r="E4994" s="202"/>
      <c r="F4994" s="210"/>
      <c r="G4994" s="210"/>
      <c r="H4994" s="206" t="s">
        <v>121</v>
      </c>
      <c r="I4994" s="206" t="s">
        <v>121</v>
      </c>
      <c r="J4994" s="206" t="s">
        <v>121</v>
      </c>
      <c r="K4994" s="206" t="s">
        <v>121</v>
      </c>
      <c r="L4994" s="206" t="str">
        <v/>
      </c>
      <c r="M4994" s="206" t="str">
        <v/>
      </c>
    </row>
    <row r="4995" spans="1:13" ht="14.4">
      <c r="A4995" s="201"/>
      <c r="B4995" s="209"/>
      <c r="C4995" s="201"/>
      <c r="D4995" s="201"/>
      <c r="E4995" s="202"/>
      <c r="F4995" s="210"/>
      <c r="G4995" s="210"/>
      <c r="H4995" s="206" t="s">
        <v>121</v>
      </c>
      <c r="I4995" s="206" t="s">
        <v>121</v>
      </c>
      <c r="J4995" s="206" t="s">
        <v>121</v>
      </c>
      <c r="K4995" s="206" t="s">
        <v>121</v>
      </c>
      <c r="L4995" s="206" t="str">
        <v/>
      </c>
      <c r="M4995" s="206" t="str">
        <v/>
      </c>
    </row>
    <row r="4996" spans="1:13" ht="14.4">
      <c r="A4996" s="201"/>
      <c r="B4996" s="209"/>
      <c r="C4996" s="201"/>
      <c r="D4996" s="201"/>
      <c r="E4996" s="202"/>
      <c r="F4996" s="210"/>
      <c r="G4996" s="210"/>
      <c r="H4996" s="206" t="s">
        <v>121</v>
      </c>
      <c r="I4996" s="206" t="s">
        <v>121</v>
      </c>
      <c r="J4996" s="206" t="s">
        <v>121</v>
      </c>
      <c r="K4996" s="206" t="s">
        <v>121</v>
      </c>
      <c r="L4996" s="206" t="str">
        <v/>
      </c>
      <c r="M4996" s="206" t="str">
        <v/>
      </c>
    </row>
    <row r="4997" spans="1:13" ht="14.4">
      <c r="A4997" s="201"/>
      <c r="B4997" s="209"/>
      <c r="C4997" s="201"/>
      <c r="D4997" s="201"/>
      <c r="E4997" s="202"/>
      <c r="F4997" s="210"/>
      <c r="G4997" s="210"/>
      <c r="H4997" s="206" t="s">
        <v>121</v>
      </c>
      <c r="I4997" s="206" t="s">
        <v>121</v>
      </c>
      <c r="J4997" s="206" t="s">
        <v>121</v>
      </c>
      <c r="K4997" s="206" t="s">
        <v>121</v>
      </c>
      <c r="L4997" s="206" t="str">
        <v/>
      </c>
      <c r="M4997" s="206" t="str">
        <v/>
      </c>
    </row>
    <row r="4998" spans="1:13" ht="14.4">
      <c r="A4998" s="201"/>
      <c r="B4998" s="209"/>
      <c r="C4998" s="201"/>
      <c r="D4998" s="201"/>
      <c r="E4998" s="202"/>
      <c r="F4998" s="210"/>
      <c r="G4998" s="210"/>
      <c r="H4998" s="206" t="s">
        <v>121</v>
      </c>
      <c r="I4998" s="206" t="s">
        <v>121</v>
      </c>
      <c r="J4998" s="206" t="s">
        <v>121</v>
      </c>
      <c r="K4998" s="206" t="s">
        <v>121</v>
      </c>
      <c r="L4998" s="206" t="str">
        <v/>
      </c>
      <c r="M4998" s="206" t="str">
        <v/>
      </c>
    </row>
    <row r="4999" spans="1:13" ht="14.4">
      <c r="A4999" s="201"/>
      <c r="B4999" s="209"/>
      <c r="C4999" s="201"/>
      <c r="D4999" s="201"/>
      <c r="E4999" s="202"/>
      <c r="F4999" s="210"/>
      <c r="G4999" s="210"/>
      <c r="H4999" s="206" t="s">
        <v>121</v>
      </c>
      <c r="I4999" s="206" t="s">
        <v>121</v>
      </c>
      <c r="J4999" s="206" t="s">
        <v>121</v>
      </c>
      <c r="K4999" s="206" t="s">
        <v>121</v>
      </c>
      <c r="L4999" s="206" t="str">
        <v/>
      </c>
      <c r="M4999" s="206" t="str">
        <v/>
      </c>
    </row>
    <row r="5000" spans="1:13" ht="14.4">
      <c r="A5000" s="201"/>
      <c r="B5000" s="209"/>
      <c r="C5000" s="201"/>
      <c r="D5000" s="201"/>
      <c r="E5000" s="202"/>
      <c r="F5000" s="210"/>
      <c r="G5000" s="210"/>
      <c r="H5000" s="206" t="s">
        <v>121</v>
      </c>
      <c r="I5000" s="206" t="s">
        <v>121</v>
      </c>
      <c r="J5000" s="206" t="s">
        <v>121</v>
      </c>
      <c r="K5000" s="206" t="s">
        <v>121</v>
      </c>
      <c r="L5000" s="206" t="str">
        <v/>
      </c>
      <c r="M5000" s="206" t="str">
        <v/>
      </c>
    </row>
    <row r="5001" spans="1:13" ht="14.4">
      <c r="A5001" s="201"/>
      <c r="B5001" s="209"/>
      <c r="C5001" s="201"/>
      <c r="D5001" s="201"/>
      <c r="E5001" s="202"/>
      <c r="F5001" s="210"/>
      <c r="G5001" s="210"/>
      <c r="H5001" s="206" t="s">
        <v>121</v>
      </c>
      <c r="I5001" s="206" t="s">
        <v>121</v>
      </c>
      <c r="J5001" s="206" t="s">
        <v>121</v>
      </c>
      <c r="K5001" s="206" t="s">
        <v>121</v>
      </c>
      <c r="L5001" s="206" t="str">
        <v/>
      </c>
      <c r="M5001" s="206" t="str">
        <v/>
      </c>
    </row>
    <row r="5002" spans="1:13" ht="14.4">
      <c r="A5002" s="201"/>
      <c r="B5002" s="209"/>
      <c r="C5002" s="201"/>
      <c r="D5002" s="201"/>
      <c r="E5002" s="202"/>
      <c r="F5002" s="210"/>
      <c r="G5002" s="210"/>
      <c r="H5002" s="206" t="s">
        <v>121</v>
      </c>
      <c r="I5002" s="206" t="s">
        <v>121</v>
      </c>
      <c r="J5002" s="206" t="s">
        <v>121</v>
      </c>
      <c r="K5002" s="206" t="s">
        <v>121</v>
      </c>
      <c r="L5002" s="206" t="str">
        <v/>
      </c>
      <c r="M5002" s="206" t="str">
        <v/>
      </c>
    </row>
    <row r="5003" spans="1:13" ht="14.4">
      <c r="A5003" s="201"/>
      <c r="B5003" s="209"/>
      <c r="C5003" s="201"/>
      <c r="D5003" s="201"/>
      <c r="E5003" s="202"/>
      <c r="F5003" s="210"/>
      <c r="G5003" s="210"/>
      <c r="H5003" s="206" t="s">
        <v>121</v>
      </c>
      <c r="I5003" s="206" t="s">
        <v>121</v>
      </c>
      <c r="J5003" s="206" t="s">
        <v>121</v>
      </c>
      <c r="K5003" s="206" t="s">
        <v>121</v>
      </c>
      <c r="L5003" s="206" t="str">
        <v/>
      </c>
      <c r="M5003" s="206" t="str">
        <v/>
      </c>
    </row>
    <row r="5004" spans="1:13" ht="14.4">
      <c r="A5004" s="201"/>
      <c r="B5004" s="209"/>
      <c r="C5004" s="201"/>
      <c r="D5004" s="201"/>
      <c r="E5004" s="202"/>
      <c r="F5004" s="210"/>
      <c r="G5004" s="210"/>
      <c r="H5004" s="206" t="s">
        <v>121</v>
      </c>
      <c r="I5004" s="206" t="s">
        <v>121</v>
      </c>
      <c r="J5004" s="206" t="s">
        <v>121</v>
      </c>
      <c r="K5004" s="206" t="s">
        <v>121</v>
      </c>
      <c r="L5004" s="206" t="str">
        <v/>
      </c>
      <c r="M5004" s="206" t="str">
        <v/>
      </c>
    </row>
    <row r="5005" spans="1:13" ht="14.4">
      <c r="A5005" s="201"/>
      <c r="B5005" s="209"/>
      <c r="C5005" s="201"/>
      <c r="D5005" s="201"/>
      <c r="E5005" s="202"/>
      <c r="F5005" s="210"/>
      <c r="G5005" s="210"/>
      <c r="H5005" s="206" t="s">
        <v>121</v>
      </c>
      <c r="I5005" s="206" t="s">
        <v>121</v>
      </c>
      <c r="J5005" s="206" t="s">
        <v>121</v>
      </c>
      <c r="K5005" s="206" t="s">
        <v>121</v>
      </c>
      <c r="L5005" s="206" t="str">
        <v/>
      </c>
      <c r="M5005" s="206" t="str">
        <v/>
      </c>
    </row>
    <row r="5006" spans="1:13" ht="14.4">
      <c r="A5006" s="201"/>
      <c r="B5006" s="209"/>
      <c r="C5006" s="201"/>
      <c r="D5006" s="201"/>
      <c r="E5006" s="202"/>
      <c r="F5006" s="210"/>
      <c r="G5006" s="210"/>
      <c r="H5006" s="206" t="s">
        <v>121</v>
      </c>
      <c r="I5006" s="206" t="s">
        <v>121</v>
      </c>
      <c r="J5006" s="206" t="s">
        <v>121</v>
      </c>
      <c r="K5006" s="206" t="s">
        <v>121</v>
      </c>
      <c r="L5006" s="206" t="str">
        <v/>
      </c>
      <c r="M5006" s="206" t="str">
        <v/>
      </c>
    </row>
    <row r="5007" spans="1:13" ht="14.4">
      <c r="A5007" s="201"/>
      <c r="B5007" s="209"/>
      <c r="C5007" s="201"/>
      <c r="D5007" s="201"/>
      <c r="E5007" s="202"/>
      <c r="F5007" s="210"/>
      <c r="G5007" s="210"/>
      <c r="H5007" s="206" t="s">
        <v>121</v>
      </c>
      <c r="I5007" s="206" t="s">
        <v>121</v>
      </c>
      <c r="J5007" s="206" t="s">
        <v>121</v>
      </c>
      <c r="K5007" s="206" t="s">
        <v>121</v>
      </c>
      <c r="L5007" s="206" t="str">
        <v/>
      </c>
      <c r="M5007" s="206" t="str">
        <v/>
      </c>
    </row>
    <row r="5008" spans="1:13" ht="14.4">
      <c r="A5008" s="201"/>
      <c r="B5008" s="209"/>
      <c r="C5008" s="201"/>
      <c r="D5008" s="201"/>
      <c r="E5008" s="202"/>
      <c r="F5008" s="210"/>
      <c r="G5008" s="210"/>
      <c r="H5008" s="206" t="s">
        <v>121</v>
      </c>
      <c r="I5008" s="206" t="s">
        <v>121</v>
      </c>
      <c r="J5008" s="206" t="s">
        <v>121</v>
      </c>
      <c r="K5008" s="206" t="s">
        <v>121</v>
      </c>
      <c r="L5008" s="206" t="str">
        <v/>
      </c>
      <c r="M5008" s="206" t="str">
        <v/>
      </c>
    </row>
    <row r="5009" spans="1:13" ht="14.4">
      <c r="A5009" s="201"/>
      <c r="B5009" s="209"/>
      <c r="C5009" s="201"/>
      <c r="D5009" s="201"/>
      <c r="E5009" s="202"/>
      <c r="F5009" s="210"/>
      <c r="G5009" s="210"/>
      <c r="H5009" s="206" t="s">
        <v>121</v>
      </c>
      <c r="I5009" s="206" t="s">
        <v>121</v>
      </c>
      <c r="J5009" s="206" t="s">
        <v>121</v>
      </c>
      <c r="K5009" s="206" t="s">
        <v>121</v>
      </c>
      <c r="L5009" s="206" t="str">
        <v/>
      </c>
      <c r="M5009" s="206" t="str">
        <v/>
      </c>
    </row>
    <row r="5010" spans="1:13" ht="14.4">
      <c r="A5010" s="201"/>
      <c r="B5010" s="209"/>
      <c r="C5010" s="201"/>
      <c r="D5010" s="201"/>
      <c r="E5010" s="202"/>
      <c r="F5010" s="210"/>
      <c r="G5010" s="210"/>
      <c r="H5010" s="206" t="s">
        <v>121</v>
      </c>
      <c r="I5010" s="206" t="s">
        <v>121</v>
      </c>
      <c r="J5010" s="206" t="s">
        <v>121</v>
      </c>
      <c r="K5010" s="206" t="s">
        <v>121</v>
      </c>
      <c r="L5010" s="206" t="str">
        <v/>
      </c>
      <c r="M5010" s="206" t="str">
        <v/>
      </c>
    </row>
    <row r="5011" spans="1:13" ht="14.4">
      <c r="A5011" s="201"/>
      <c r="B5011" s="209"/>
      <c r="C5011" s="201"/>
      <c r="D5011" s="201"/>
      <c r="E5011" s="202"/>
      <c r="F5011" s="210"/>
      <c r="G5011" s="210"/>
      <c r="H5011" s="206" t="s">
        <v>121</v>
      </c>
      <c r="I5011" s="206" t="s">
        <v>121</v>
      </c>
      <c r="J5011" s="206" t="s">
        <v>121</v>
      </c>
      <c r="K5011" s="206" t="s">
        <v>121</v>
      </c>
      <c r="L5011" s="206" t="str">
        <v/>
      </c>
      <c r="M5011" s="206" t="str">
        <v/>
      </c>
    </row>
    <row r="5012" spans="1:13" ht="14.4">
      <c r="A5012" s="201"/>
      <c r="B5012" s="209"/>
      <c r="C5012" s="201"/>
      <c r="D5012" s="201"/>
      <c r="E5012" s="202"/>
      <c r="F5012" s="210"/>
      <c r="G5012" s="210"/>
      <c r="H5012" s="206" t="s">
        <v>121</v>
      </c>
      <c r="I5012" s="206" t="s">
        <v>121</v>
      </c>
      <c r="J5012" s="206" t="s">
        <v>121</v>
      </c>
      <c r="K5012" s="206" t="s">
        <v>121</v>
      </c>
      <c r="L5012" s="206" t="str">
        <v/>
      </c>
      <c r="M5012" s="206" t="str">
        <v/>
      </c>
    </row>
    <row r="5013" spans="1:13" ht="14.4">
      <c r="A5013" s="201"/>
      <c r="B5013" s="209"/>
      <c r="C5013" s="201"/>
      <c r="D5013" s="201"/>
      <c r="E5013" s="202"/>
      <c r="F5013" s="210"/>
      <c r="G5013" s="210"/>
      <c r="H5013" s="206" t="s">
        <v>121</v>
      </c>
      <c r="I5013" s="206" t="s">
        <v>121</v>
      </c>
      <c r="J5013" s="206" t="s">
        <v>121</v>
      </c>
      <c r="K5013" s="206" t="s">
        <v>121</v>
      </c>
      <c r="L5013" s="206" t="str">
        <v/>
      </c>
      <c r="M5013" s="206" t="str">
        <v/>
      </c>
    </row>
    <row r="5014" spans="1:13" ht="14.4">
      <c r="A5014" s="201"/>
      <c r="B5014" s="209"/>
      <c r="C5014" s="201"/>
      <c r="D5014" s="201"/>
      <c r="E5014" s="202"/>
      <c r="F5014" s="210"/>
      <c r="G5014" s="210"/>
      <c r="H5014" s="206" t="s">
        <v>121</v>
      </c>
      <c r="I5014" s="206" t="s">
        <v>121</v>
      </c>
      <c r="J5014" s="206" t="s">
        <v>121</v>
      </c>
      <c r="K5014" s="206" t="s">
        <v>121</v>
      </c>
      <c r="L5014" s="206" t="str">
        <v/>
      </c>
      <c r="M5014" s="206" t="str">
        <v/>
      </c>
    </row>
    <row r="5015" spans="1:13" ht="14.4">
      <c r="A5015" s="201"/>
      <c r="B5015" s="209"/>
      <c r="C5015" s="201"/>
      <c r="D5015" s="201"/>
      <c r="E5015" s="202"/>
      <c r="F5015" s="210"/>
      <c r="G5015" s="210"/>
      <c r="H5015" s="206" t="s">
        <v>121</v>
      </c>
      <c r="I5015" s="206" t="s">
        <v>121</v>
      </c>
      <c r="J5015" s="206" t="s">
        <v>121</v>
      </c>
      <c r="K5015" s="206" t="s">
        <v>121</v>
      </c>
      <c r="L5015" s="206" t="str">
        <v/>
      </c>
      <c r="M5015" s="206" t="str">
        <v/>
      </c>
    </row>
    <row r="5016" spans="1:13" ht="14.4">
      <c r="A5016" s="201"/>
      <c r="B5016" s="209"/>
      <c r="C5016" s="201"/>
      <c r="D5016" s="201"/>
      <c r="E5016" s="202"/>
      <c r="F5016" s="210"/>
      <c r="G5016" s="210"/>
      <c r="H5016" s="206" t="s">
        <v>121</v>
      </c>
      <c r="I5016" s="206" t="s">
        <v>121</v>
      </c>
      <c r="J5016" s="206" t="s">
        <v>121</v>
      </c>
      <c r="K5016" s="206" t="s">
        <v>121</v>
      </c>
      <c r="L5016" s="206" t="str">
        <v/>
      </c>
      <c r="M5016" s="206" t="str">
        <v/>
      </c>
    </row>
    <row r="5017" spans="1:13" ht="14.4">
      <c r="A5017" s="201"/>
      <c r="B5017" s="209"/>
      <c r="C5017" s="201"/>
      <c r="D5017" s="201"/>
      <c r="E5017" s="202"/>
      <c r="F5017" s="210"/>
      <c r="G5017" s="210"/>
      <c r="H5017" s="206" t="s">
        <v>121</v>
      </c>
      <c r="I5017" s="206" t="s">
        <v>121</v>
      </c>
      <c r="J5017" s="206" t="s">
        <v>121</v>
      </c>
      <c r="K5017" s="206" t="s">
        <v>121</v>
      </c>
      <c r="L5017" s="206" t="str">
        <v/>
      </c>
      <c r="M5017" s="206" t="str">
        <v/>
      </c>
    </row>
    <row r="5018" spans="1:13" ht="14.4">
      <c r="A5018" s="201"/>
      <c r="B5018" s="209"/>
      <c r="C5018" s="201"/>
      <c r="D5018" s="201"/>
      <c r="E5018" s="202"/>
      <c r="F5018" s="210"/>
      <c r="G5018" s="210"/>
      <c r="H5018" s="206" t="s">
        <v>121</v>
      </c>
      <c r="I5018" s="206" t="s">
        <v>121</v>
      </c>
      <c r="J5018" s="206" t="s">
        <v>121</v>
      </c>
      <c r="K5018" s="206" t="s">
        <v>121</v>
      </c>
      <c r="L5018" s="206" t="str">
        <v/>
      </c>
      <c r="M5018" s="206" t="str">
        <v/>
      </c>
    </row>
    <row r="5019" spans="1:13" ht="14.4">
      <c r="A5019" s="201"/>
      <c r="B5019" s="209"/>
      <c r="C5019" s="201"/>
      <c r="D5019" s="201"/>
      <c r="E5019" s="202"/>
      <c r="F5019" s="210"/>
      <c r="G5019" s="210"/>
      <c r="H5019" s="206" t="s">
        <v>121</v>
      </c>
      <c r="I5019" s="206" t="s">
        <v>121</v>
      </c>
      <c r="J5019" s="206" t="s">
        <v>121</v>
      </c>
      <c r="K5019" s="206" t="s">
        <v>121</v>
      </c>
      <c r="L5019" s="206" t="str">
        <v/>
      </c>
      <c r="M5019" s="206" t="str">
        <v/>
      </c>
    </row>
    <row r="5020" spans="1:13" ht="14.4">
      <c r="A5020" s="201"/>
      <c r="B5020" s="209"/>
      <c r="C5020" s="201"/>
      <c r="D5020" s="201"/>
      <c r="E5020" s="202"/>
      <c r="F5020" s="210"/>
      <c r="G5020" s="210"/>
      <c r="H5020" s="206" t="s">
        <v>121</v>
      </c>
      <c r="I5020" s="206" t="s">
        <v>121</v>
      </c>
      <c r="J5020" s="206" t="s">
        <v>121</v>
      </c>
      <c r="K5020" s="206" t="s">
        <v>121</v>
      </c>
      <c r="L5020" s="206" t="str">
        <v/>
      </c>
      <c r="M5020" s="206" t="str">
        <v/>
      </c>
    </row>
    <row r="5021" spans="1:13" ht="14.4">
      <c r="A5021" s="201"/>
      <c r="B5021" s="209"/>
      <c r="C5021" s="201"/>
      <c r="D5021" s="201"/>
      <c r="E5021" s="202"/>
      <c r="F5021" s="210"/>
      <c r="G5021" s="210"/>
      <c r="H5021" s="206" t="s">
        <v>121</v>
      </c>
      <c r="I5021" s="206" t="s">
        <v>121</v>
      </c>
      <c r="J5021" s="206" t="s">
        <v>121</v>
      </c>
      <c r="K5021" s="206" t="s">
        <v>121</v>
      </c>
      <c r="L5021" s="206" t="str">
        <v/>
      </c>
      <c r="M5021" s="206" t="str">
        <v/>
      </c>
    </row>
    <row r="5022" spans="1:13" ht="14.4">
      <c r="A5022" s="201"/>
      <c r="B5022" s="209"/>
      <c r="C5022" s="201"/>
      <c r="D5022" s="201"/>
      <c r="E5022" s="202"/>
      <c r="F5022" s="210"/>
      <c r="G5022" s="210"/>
      <c r="H5022" s="206" t="s">
        <v>121</v>
      </c>
      <c r="I5022" s="206" t="s">
        <v>121</v>
      </c>
      <c r="J5022" s="206" t="s">
        <v>121</v>
      </c>
      <c r="K5022" s="206" t="s">
        <v>121</v>
      </c>
      <c r="L5022" s="206" t="str">
        <v/>
      </c>
      <c r="M5022" s="206" t="str">
        <v/>
      </c>
    </row>
    <row r="5023" spans="1:13" ht="14.4">
      <c r="A5023" s="201"/>
      <c r="B5023" s="209"/>
      <c r="C5023" s="201"/>
      <c r="D5023" s="201"/>
      <c r="E5023" s="202"/>
      <c r="F5023" s="210"/>
      <c r="G5023" s="210"/>
      <c r="H5023" s="206" t="s">
        <v>121</v>
      </c>
      <c r="I5023" s="206" t="s">
        <v>121</v>
      </c>
      <c r="J5023" s="206" t="s">
        <v>121</v>
      </c>
      <c r="K5023" s="206" t="s">
        <v>121</v>
      </c>
      <c r="L5023" s="206" t="str">
        <v/>
      </c>
      <c r="M5023" s="206" t="str">
        <v/>
      </c>
    </row>
    <row r="5024" spans="1:13" ht="14.4">
      <c r="A5024" s="201"/>
      <c r="B5024" s="209"/>
      <c r="C5024" s="201"/>
      <c r="D5024" s="201"/>
      <c r="E5024" s="202"/>
      <c r="F5024" s="210"/>
      <c r="G5024" s="210"/>
      <c r="H5024" s="206" t="s">
        <v>121</v>
      </c>
      <c r="I5024" s="206" t="s">
        <v>121</v>
      </c>
      <c r="J5024" s="206" t="s">
        <v>121</v>
      </c>
      <c r="K5024" s="206" t="s">
        <v>121</v>
      </c>
      <c r="L5024" s="206" t="str">
        <v/>
      </c>
      <c r="M5024" s="206" t="str">
        <v/>
      </c>
    </row>
    <row r="5025" spans="1:13" ht="14.4">
      <c r="A5025" s="201"/>
      <c r="B5025" s="209"/>
      <c r="C5025" s="201"/>
      <c r="D5025" s="201"/>
      <c r="E5025" s="202"/>
      <c r="F5025" s="210"/>
      <c r="G5025" s="210"/>
      <c r="H5025" s="206" t="s">
        <v>121</v>
      </c>
      <c r="I5025" s="206" t="s">
        <v>121</v>
      </c>
      <c r="J5025" s="206" t="s">
        <v>121</v>
      </c>
      <c r="K5025" s="206" t="s">
        <v>121</v>
      </c>
      <c r="L5025" s="206" t="str">
        <v/>
      </c>
      <c r="M5025" s="206" t="str">
        <v/>
      </c>
    </row>
    <row r="5026" spans="1:13" ht="14.4">
      <c r="A5026" s="201"/>
      <c r="B5026" s="209"/>
      <c r="C5026" s="201"/>
      <c r="D5026" s="201"/>
      <c r="E5026" s="202"/>
      <c r="F5026" s="210"/>
      <c r="G5026" s="210"/>
      <c r="H5026" s="206" t="s">
        <v>121</v>
      </c>
      <c r="I5026" s="206" t="s">
        <v>121</v>
      </c>
      <c r="J5026" s="206" t="s">
        <v>121</v>
      </c>
      <c r="K5026" s="206" t="s">
        <v>121</v>
      </c>
      <c r="L5026" s="206" t="str">
        <v/>
      </c>
      <c r="M5026" s="206" t="str">
        <v/>
      </c>
    </row>
    <row r="5027" spans="1:13" ht="14.4">
      <c r="A5027" s="201"/>
      <c r="B5027" s="209"/>
      <c r="C5027" s="201"/>
      <c r="D5027" s="201"/>
      <c r="E5027" s="202"/>
      <c r="F5027" s="210"/>
      <c r="G5027" s="210"/>
      <c r="H5027" s="206" t="s">
        <v>121</v>
      </c>
      <c r="I5027" s="206" t="s">
        <v>121</v>
      </c>
      <c r="J5027" s="206" t="s">
        <v>121</v>
      </c>
      <c r="K5027" s="206" t="s">
        <v>121</v>
      </c>
      <c r="L5027" s="206" t="str">
        <v/>
      </c>
      <c r="M5027" s="206" t="str">
        <v/>
      </c>
    </row>
    <row r="5028" spans="1:13" ht="14.4">
      <c r="A5028" s="201"/>
      <c r="B5028" s="209"/>
      <c r="C5028" s="201"/>
      <c r="D5028" s="201"/>
      <c r="E5028" s="202"/>
      <c r="F5028" s="210"/>
      <c r="G5028" s="210"/>
      <c r="H5028" s="206" t="s">
        <v>121</v>
      </c>
      <c r="I5028" s="206" t="s">
        <v>121</v>
      </c>
      <c r="J5028" s="206" t="s">
        <v>121</v>
      </c>
      <c r="K5028" s="206" t="s">
        <v>121</v>
      </c>
      <c r="L5028" s="206" t="str">
        <v/>
      </c>
      <c r="M5028" s="206" t="str">
        <v/>
      </c>
    </row>
    <row r="5029" spans="1:13" ht="14.4">
      <c r="A5029" s="201"/>
      <c r="B5029" s="209"/>
      <c r="C5029" s="201"/>
      <c r="D5029" s="201"/>
      <c r="E5029" s="202"/>
      <c r="F5029" s="210"/>
      <c r="G5029" s="210"/>
      <c r="H5029" s="206" t="s">
        <v>121</v>
      </c>
      <c r="I5029" s="206" t="s">
        <v>121</v>
      </c>
      <c r="J5029" s="206" t="s">
        <v>121</v>
      </c>
      <c r="K5029" s="206" t="s">
        <v>121</v>
      </c>
      <c r="L5029" s="206" t="str">
        <v/>
      </c>
      <c r="M5029" s="206" t="str">
        <v/>
      </c>
    </row>
    <row r="5030" spans="1:13" ht="14.4">
      <c r="A5030" s="201"/>
      <c r="B5030" s="209"/>
      <c r="C5030" s="201"/>
      <c r="D5030" s="201"/>
      <c r="E5030" s="202"/>
      <c r="F5030" s="210"/>
      <c r="G5030" s="210"/>
      <c r="H5030" s="206" t="s">
        <v>121</v>
      </c>
      <c r="I5030" s="206" t="s">
        <v>121</v>
      </c>
      <c r="J5030" s="206" t="s">
        <v>121</v>
      </c>
      <c r="K5030" s="206" t="s">
        <v>121</v>
      </c>
      <c r="L5030" s="206" t="str">
        <v/>
      </c>
      <c r="M5030" s="206" t="str">
        <v/>
      </c>
    </row>
    <row r="5031" spans="1:13" ht="14.4">
      <c r="A5031" s="201"/>
      <c r="B5031" s="209"/>
      <c r="C5031" s="201"/>
      <c r="D5031" s="201"/>
      <c r="E5031" s="202"/>
      <c r="F5031" s="210"/>
      <c r="G5031" s="210"/>
      <c r="H5031" s="206" t="s">
        <v>121</v>
      </c>
      <c r="I5031" s="206" t="s">
        <v>121</v>
      </c>
      <c r="J5031" s="206" t="s">
        <v>121</v>
      </c>
      <c r="K5031" s="206" t="s">
        <v>121</v>
      </c>
      <c r="L5031" s="206" t="str">
        <v/>
      </c>
      <c r="M5031" s="206" t="str">
        <v/>
      </c>
    </row>
    <row r="5032" spans="1:13" ht="14.4">
      <c r="A5032" s="201"/>
      <c r="B5032" s="209"/>
      <c r="C5032" s="201"/>
      <c r="D5032" s="201"/>
      <c r="E5032" s="202"/>
      <c r="F5032" s="210"/>
      <c r="G5032" s="210"/>
      <c r="H5032" s="206" t="s">
        <v>121</v>
      </c>
      <c r="I5032" s="206" t="s">
        <v>121</v>
      </c>
      <c r="J5032" s="206" t="s">
        <v>121</v>
      </c>
      <c r="K5032" s="206" t="s">
        <v>121</v>
      </c>
      <c r="L5032" s="206" t="str">
        <v/>
      </c>
      <c r="M5032" s="206" t="str">
        <v/>
      </c>
    </row>
    <row r="5033" spans="1:13" ht="14.4">
      <c r="A5033" s="201"/>
      <c r="B5033" s="209"/>
      <c r="C5033" s="201"/>
      <c r="D5033" s="201"/>
      <c r="E5033" s="202"/>
      <c r="F5033" s="210"/>
      <c r="G5033" s="210"/>
      <c r="H5033" s="206" t="s">
        <v>121</v>
      </c>
      <c r="I5033" s="206" t="s">
        <v>121</v>
      </c>
      <c r="J5033" s="206" t="s">
        <v>121</v>
      </c>
      <c r="K5033" s="206" t="s">
        <v>121</v>
      </c>
      <c r="L5033" s="206" t="str">
        <v/>
      </c>
      <c r="M5033" s="206" t="str">
        <v/>
      </c>
    </row>
    <row r="5034" spans="1:13" ht="14.4">
      <c r="A5034" s="201"/>
      <c r="B5034" s="209"/>
      <c r="C5034" s="201"/>
      <c r="D5034" s="201"/>
      <c r="E5034" s="202"/>
      <c r="F5034" s="210"/>
      <c r="G5034" s="210"/>
      <c r="H5034" s="206" t="s">
        <v>121</v>
      </c>
      <c r="I5034" s="206" t="s">
        <v>121</v>
      </c>
      <c r="J5034" s="206" t="s">
        <v>121</v>
      </c>
      <c r="K5034" s="206" t="s">
        <v>121</v>
      </c>
      <c r="L5034" s="206" t="str">
        <v/>
      </c>
      <c r="M5034" s="206" t="str">
        <v/>
      </c>
    </row>
    <row r="5035" spans="1:13" ht="14.4">
      <c r="A5035" s="201"/>
      <c r="B5035" s="209"/>
      <c r="C5035" s="201"/>
      <c r="D5035" s="201"/>
      <c r="E5035" s="202"/>
      <c r="F5035" s="210"/>
      <c r="G5035" s="210"/>
      <c r="H5035" s="206" t="s">
        <v>121</v>
      </c>
      <c r="I5035" s="206" t="s">
        <v>121</v>
      </c>
      <c r="J5035" s="206" t="s">
        <v>121</v>
      </c>
      <c r="K5035" s="206" t="s">
        <v>121</v>
      </c>
      <c r="L5035" s="206" t="str">
        <v/>
      </c>
      <c r="M5035" s="206" t="str">
        <v/>
      </c>
    </row>
    <row r="5036" spans="1:13" ht="14.4">
      <c r="A5036" s="201"/>
      <c r="B5036" s="209"/>
      <c r="C5036" s="201"/>
      <c r="D5036" s="201"/>
      <c r="E5036" s="202"/>
      <c r="F5036" s="210"/>
      <c r="G5036" s="210"/>
      <c r="H5036" s="206" t="s">
        <v>121</v>
      </c>
      <c r="I5036" s="206" t="s">
        <v>121</v>
      </c>
      <c r="J5036" s="206" t="s">
        <v>121</v>
      </c>
      <c r="K5036" s="206" t="s">
        <v>121</v>
      </c>
      <c r="L5036" s="206" t="str">
        <v/>
      </c>
      <c r="M5036" s="206" t="str">
        <v/>
      </c>
    </row>
    <row r="5037" spans="1:13" ht="14.4">
      <c r="A5037" s="201"/>
      <c r="B5037" s="209"/>
      <c r="C5037" s="201"/>
      <c r="D5037" s="201"/>
      <c r="E5037" s="202"/>
      <c r="F5037" s="210"/>
      <c r="G5037" s="210"/>
      <c r="H5037" s="206" t="s">
        <v>121</v>
      </c>
      <c r="I5037" s="206" t="s">
        <v>121</v>
      </c>
      <c r="J5037" s="206" t="s">
        <v>121</v>
      </c>
      <c r="K5037" s="206" t="s">
        <v>121</v>
      </c>
      <c r="L5037" s="206" t="str">
        <v/>
      </c>
      <c r="M5037" s="206" t="str">
        <v/>
      </c>
    </row>
    <row r="5038" spans="1:13" ht="14.4">
      <c r="A5038" s="201"/>
      <c r="B5038" s="209"/>
      <c r="C5038" s="201"/>
      <c r="D5038" s="201"/>
      <c r="E5038" s="202"/>
      <c r="F5038" s="210"/>
      <c r="G5038" s="210"/>
      <c r="H5038" s="206" t="s">
        <v>121</v>
      </c>
      <c r="I5038" s="206" t="s">
        <v>121</v>
      </c>
      <c r="J5038" s="206" t="s">
        <v>121</v>
      </c>
      <c r="K5038" s="206" t="s">
        <v>121</v>
      </c>
      <c r="L5038" s="206" t="str">
        <v/>
      </c>
      <c r="M5038" s="206" t="str">
        <v/>
      </c>
    </row>
    <row r="5039" spans="1:13" ht="14.4">
      <c r="A5039" s="201"/>
      <c r="B5039" s="209"/>
      <c r="C5039" s="201"/>
      <c r="D5039" s="201"/>
      <c r="E5039" s="202"/>
      <c r="F5039" s="210"/>
      <c r="G5039" s="210"/>
      <c r="H5039" s="206" t="s">
        <v>121</v>
      </c>
      <c r="I5039" s="206" t="s">
        <v>121</v>
      </c>
      <c r="J5039" s="206" t="s">
        <v>121</v>
      </c>
      <c r="K5039" s="206" t="s">
        <v>121</v>
      </c>
      <c r="L5039" s="206" t="str">
        <v/>
      </c>
      <c r="M5039" s="206" t="str">
        <v/>
      </c>
    </row>
    <row r="5040" spans="1:13" ht="14.4">
      <c r="A5040" s="201"/>
      <c r="B5040" s="209"/>
      <c r="C5040" s="201"/>
      <c r="D5040" s="201"/>
      <c r="E5040" s="202"/>
      <c r="F5040" s="210"/>
      <c r="G5040" s="210"/>
      <c r="H5040" s="206" t="s">
        <v>121</v>
      </c>
      <c r="I5040" s="206" t="s">
        <v>121</v>
      </c>
      <c r="J5040" s="206" t="s">
        <v>121</v>
      </c>
      <c r="K5040" s="206" t="s">
        <v>121</v>
      </c>
      <c r="L5040" s="206" t="str">
        <v/>
      </c>
      <c r="M5040" s="206" t="str">
        <v/>
      </c>
    </row>
    <row r="5041" spans="1:13" ht="14.4">
      <c r="A5041" s="201"/>
      <c r="B5041" s="209"/>
      <c r="C5041" s="201"/>
      <c r="D5041" s="201"/>
      <c r="E5041" s="202"/>
      <c r="F5041" s="210"/>
      <c r="G5041" s="210"/>
      <c r="H5041" s="206" t="s">
        <v>121</v>
      </c>
      <c r="I5041" s="206" t="s">
        <v>121</v>
      </c>
      <c r="J5041" s="206" t="s">
        <v>121</v>
      </c>
      <c r="K5041" s="206" t="s">
        <v>121</v>
      </c>
      <c r="L5041" s="206" t="str">
        <v/>
      </c>
      <c r="M5041" s="206" t="str">
        <v/>
      </c>
    </row>
    <row r="5042" spans="1:13" ht="14.4">
      <c r="A5042" s="201"/>
      <c r="B5042" s="209"/>
      <c r="C5042" s="201"/>
      <c r="D5042" s="201"/>
      <c r="E5042" s="202"/>
      <c r="F5042" s="210"/>
      <c r="G5042" s="210"/>
      <c r="H5042" s="206" t="s">
        <v>121</v>
      </c>
      <c r="I5042" s="206" t="s">
        <v>121</v>
      </c>
      <c r="J5042" s="206" t="s">
        <v>121</v>
      </c>
      <c r="K5042" s="206" t="s">
        <v>121</v>
      </c>
      <c r="L5042" s="206" t="str">
        <v/>
      </c>
      <c r="M5042" s="206" t="str">
        <v/>
      </c>
    </row>
    <row r="5043" spans="1:13" ht="14.4">
      <c r="A5043" s="201"/>
      <c r="B5043" s="209"/>
      <c r="C5043" s="201"/>
      <c r="D5043" s="201"/>
      <c r="E5043" s="202"/>
      <c r="F5043" s="210"/>
      <c r="G5043" s="210"/>
      <c r="H5043" s="206" t="s">
        <v>121</v>
      </c>
      <c r="I5043" s="206" t="s">
        <v>121</v>
      </c>
      <c r="J5043" s="206" t="s">
        <v>121</v>
      </c>
      <c r="K5043" s="206" t="s">
        <v>121</v>
      </c>
      <c r="L5043" s="206" t="str">
        <v/>
      </c>
      <c r="M5043" s="206" t="str">
        <v/>
      </c>
    </row>
    <row r="5044" spans="1:13" ht="14.4">
      <c r="A5044" s="201"/>
      <c r="B5044" s="209"/>
      <c r="C5044" s="201"/>
      <c r="D5044" s="201"/>
      <c r="E5044" s="202"/>
      <c r="F5044" s="210"/>
      <c r="G5044" s="210"/>
      <c r="H5044" s="206" t="s">
        <v>121</v>
      </c>
      <c r="I5044" s="206" t="s">
        <v>121</v>
      </c>
      <c r="J5044" s="206" t="s">
        <v>121</v>
      </c>
      <c r="K5044" s="206" t="s">
        <v>121</v>
      </c>
      <c r="L5044" s="206" t="str">
        <v/>
      </c>
      <c r="M5044" s="206" t="str">
        <v/>
      </c>
    </row>
    <row r="5045" spans="1:13" ht="14.4">
      <c r="A5045" s="201"/>
      <c r="B5045" s="209"/>
      <c r="C5045" s="201"/>
      <c r="D5045" s="201"/>
      <c r="E5045" s="202"/>
      <c r="F5045" s="210"/>
      <c r="G5045" s="210"/>
      <c r="H5045" s="206" t="s">
        <v>121</v>
      </c>
      <c r="I5045" s="206" t="s">
        <v>121</v>
      </c>
      <c r="J5045" s="206" t="s">
        <v>121</v>
      </c>
      <c r="K5045" s="206" t="s">
        <v>121</v>
      </c>
      <c r="L5045" s="206" t="str">
        <v/>
      </c>
      <c r="M5045" s="206" t="str">
        <v/>
      </c>
    </row>
    <row r="5046" spans="1:13" ht="14.4">
      <c r="A5046" s="201"/>
      <c r="B5046" s="209"/>
      <c r="C5046" s="201"/>
      <c r="D5046" s="201"/>
      <c r="E5046" s="202"/>
      <c r="F5046" s="210"/>
      <c r="G5046" s="210"/>
      <c r="H5046" s="206" t="s">
        <v>121</v>
      </c>
      <c r="I5046" s="206" t="s">
        <v>121</v>
      </c>
      <c r="J5046" s="206" t="s">
        <v>121</v>
      </c>
      <c r="K5046" s="206" t="s">
        <v>121</v>
      </c>
      <c r="L5046" s="206" t="str">
        <v/>
      </c>
      <c r="M5046" s="206" t="str">
        <v/>
      </c>
    </row>
    <row r="5047" spans="1:13" ht="14.4">
      <c r="A5047" s="201"/>
      <c r="B5047" s="209"/>
      <c r="C5047" s="201"/>
      <c r="D5047" s="201"/>
      <c r="E5047" s="202"/>
      <c r="F5047" s="210"/>
      <c r="G5047" s="210"/>
      <c r="H5047" s="206" t="s">
        <v>121</v>
      </c>
      <c r="I5047" s="206" t="s">
        <v>121</v>
      </c>
      <c r="J5047" s="206" t="s">
        <v>121</v>
      </c>
      <c r="K5047" s="206" t="s">
        <v>121</v>
      </c>
      <c r="L5047" s="206" t="str">
        <v/>
      </c>
      <c r="M5047" s="206" t="str">
        <v/>
      </c>
    </row>
    <row r="5048" spans="1:13" ht="14.4">
      <c r="A5048" s="201"/>
      <c r="B5048" s="209"/>
      <c r="C5048" s="201"/>
      <c r="D5048" s="201"/>
      <c r="E5048" s="202"/>
      <c r="F5048" s="210"/>
      <c r="G5048" s="210"/>
      <c r="H5048" s="206" t="s">
        <v>121</v>
      </c>
      <c r="I5048" s="206" t="s">
        <v>121</v>
      </c>
      <c r="J5048" s="206" t="s">
        <v>121</v>
      </c>
      <c r="K5048" s="206" t="s">
        <v>121</v>
      </c>
      <c r="L5048" s="206" t="str">
        <v/>
      </c>
      <c r="M5048" s="206" t="str">
        <v/>
      </c>
    </row>
    <row r="5049" spans="1:13" ht="14.4">
      <c r="A5049" s="201"/>
      <c r="B5049" s="209"/>
      <c r="C5049" s="201"/>
      <c r="D5049" s="201"/>
      <c r="E5049" s="202"/>
      <c r="F5049" s="210"/>
      <c r="G5049" s="210"/>
      <c r="H5049" s="206" t="s">
        <v>121</v>
      </c>
      <c r="I5049" s="206" t="s">
        <v>121</v>
      </c>
      <c r="J5049" s="206" t="s">
        <v>121</v>
      </c>
      <c r="K5049" s="206" t="s">
        <v>121</v>
      </c>
      <c r="L5049" s="206" t="str">
        <v/>
      </c>
      <c r="M5049" s="206" t="str">
        <v/>
      </c>
    </row>
    <row r="5050" spans="1:13" ht="14.4">
      <c r="A5050" s="201"/>
      <c r="B5050" s="209"/>
      <c r="C5050" s="201"/>
      <c r="D5050" s="201"/>
      <c r="E5050" s="202"/>
      <c r="F5050" s="210"/>
      <c r="G5050" s="210"/>
      <c r="H5050" s="206" t="s">
        <v>121</v>
      </c>
      <c r="I5050" s="206" t="s">
        <v>121</v>
      </c>
      <c r="J5050" s="206" t="s">
        <v>121</v>
      </c>
      <c r="K5050" s="206" t="s">
        <v>121</v>
      </c>
      <c r="L5050" s="206" t="str">
        <v/>
      </c>
      <c r="M5050" s="206" t="str">
        <v/>
      </c>
    </row>
    <row r="5051" spans="1:13" ht="14.4">
      <c r="A5051" s="201"/>
      <c r="B5051" s="209"/>
      <c r="C5051" s="201"/>
      <c r="D5051" s="201"/>
      <c r="E5051" s="202"/>
      <c r="F5051" s="210"/>
      <c r="G5051" s="210"/>
      <c r="H5051" s="206" t="s">
        <v>121</v>
      </c>
      <c r="I5051" s="206" t="s">
        <v>121</v>
      </c>
      <c r="J5051" s="206" t="s">
        <v>121</v>
      </c>
      <c r="K5051" s="206" t="s">
        <v>121</v>
      </c>
      <c r="L5051" s="206" t="str">
        <v/>
      </c>
      <c r="M5051" s="206" t="str">
        <v/>
      </c>
    </row>
    <row r="5052" spans="1:13" ht="14.4">
      <c r="A5052" s="201"/>
      <c r="B5052" s="209"/>
      <c r="C5052" s="201"/>
      <c r="D5052" s="201"/>
      <c r="E5052" s="202"/>
      <c r="F5052" s="210"/>
      <c r="G5052" s="210"/>
      <c r="H5052" s="206" t="s">
        <v>121</v>
      </c>
      <c r="I5052" s="206" t="s">
        <v>121</v>
      </c>
      <c r="J5052" s="206" t="s">
        <v>121</v>
      </c>
      <c r="K5052" s="206" t="s">
        <v>121</v>
      </c>
      <c r="L5052" s="206" t="str">
        <v/>
      </c>
      <c r="M5052" s="206" t="str">
        <v/>
      </c>
    </row>
    <row r="5053" spans="1:13" ht="14.4">
      <c r="A5053" s="201"/>
      <c r="B5053" s="209"/>
      <c r="C5053" s="201"/>
      <c r="D5053" s="201"/>
      <c r="E5053" s="202"/>
      <c r="F5053" s="210"/>
      <c r="G5053" s="210"/>
      <c r="H5053" s="206" t="s">
        <v>121</v>
      </c>
      <c r="I5053" s="206" t="s">
        <v>121</v>
      </c>
      <c r="J5053" s="206" t="s">
        <v>121</v>
      </c>
      <c r="K5053" s="206" t="s">
        <v>121</v>
      </c>
      <c r="L5053" s="206" t="str">
        <v/>
      </c>
      <c r="M5053" s="206" t="str">
        <v/>
      </c>
    </row>
    <row r="5054" spans="1:13" ht="14.4">
      <c r="A5054" s="201"/>
      <c r="B5054" s="209"/>
      <c r="C5054" s="201"/>
      <c r="D5054" s="201"/>
      <c r="E5054" s="202"/>
      <c r="F5054" s="210"/>
      <c r="G5054" s="210"/>
      <c r="H5054" s="206" t="s">
        <v>121</v>
      </c>
      <c r="I5054" s="206" t="s">
        <v>121</v>
      </c>
      <c r="J5054" s="206" t="s">
        <v>121</v>
      </c>
      <c r="K5054" s="206" t="s">
        <v>121</v>
      </c>
      <c r="L5054" s="206" t="str">
        <v/>
      </c>
      <c r="M5054" s="206" t="str">
        <v/>
      </c>
    </row>
    <row r="5055" spans="1:13" ht="14.4">
      <c r="A5055" s="201"/>
      <c r="B5055" s="209"/>
      <c r="C5055" s="201"/>
      <c r="D5055" s="201"/>
      <c r="E5055" s="202"/>
      <c r="F5055" s="210"/>
      <c r="G5055" s="210"/>
      <c r="H5055" s="206" t="s">
        <v>121</v>
      </c>
      <c r="I5055" s="206" t="s">
        <v>121</v>
      </c>
      <c r="J5055" s="206" t="s">
        <v>121</v>
      </c>
      <c r="K5055" s="206" t="s">
        <v>121</v>
      </c>
      <c r="L5055" s="206" t="str">
        <v/>
      </c>
      <c r="M5055" s="206" t="str">
        <v/>
      </c>
    </row>
    <row r="5056" spans="1:13" ht="14.4">
      <c r="A5056" s="201"/>
      <c r="B5056" s="209"/>
      <c r="C5056" s="201"/>
      <c r="D5056" s="201"/>
      <c r="E5056" s="202"/>
      <c r="F5056" s="210"/>
      <c r="G5056" s="210"/>
      <c r="H5056" s="206" t="s">
        <v>121</v>
      </c>
      <c r="I5056" s="206" t="s">
        <v>121</v>
      </c>
      <c r="J5056" s="206" t="s">
        <v>121</v>
      </c>
      <c r="K5056" s="206" t="s">
        <v>121</v>
      </c>
      <c r="L5056" s="206" t="str">
        <v/>
      </c>
      <c r="M5056" s="206" t="str">
        <v/>
      </c>
    </row>
    <row r="5057" spans="1:13" ht="14.4">
      <c r="A5057" s="201"/>
      <c r="B5057" s="209"/>
      <c r="C5057" s="201"/>
      <c r="D5057" s="201"/>
      <c r="E5057" s="202"/>
      <c r="F5057" s="210"/>
      <c r="G5057" s="210"/>
      <c r="H5057" s="206" t="s">
        <v>121</v>
      </c>
      <c r="I5057" s="206" t="s">
        <v>121</v>
      </c>
      <c r="J5057" s="206" t="s">
        <v>121</v>
      </c>
      <c r="K5057" s="206" t="s">
        <v>121</v>
      </c>
      <c r="L5057" s="206" t="str">
        <v/>
      </c>
      <c r="M5057" s="206" t="str">
        <v/>
      </c>
    </row>
    <row r="5058" spans="1:13" ht="14.4">
      <c r="A5058" s="201"/>
      <c r="B5058" s="209"/>
      <c r="C5058" s="201"/>
      <c r="D5058" s="201"/>
      <c r="E5058" s="202"/>
      <c r="F5058" s="210"/>
      <c r="G5058" s="210"/>
      <c r="H5058" s="206" t="s">
        <v>121</v>
      </c>
      <c r="I5058" s="206" t="s">
        <v>121</v>
      </c>
      <c r="J5058" s="206" t="s">
        <v>121</v>
      </c>
      <c r="K5058" s="206" t="s">
        <v>121</v>
      </c>
      <c r="L5058" s="206" t="str">
        <v/>
      </c>
      <c r="M5058" s="206" t="str">
        <v/>
      </c>
    </row>
    <row r="5059" spans="1:13" ht="14.4">
      <c r="A5059" s="201"/>
      <c r="B5059" s="209"/>
      <c r="C5059" s="201"/>
      <c r="D5059" s="201"/>
      <c r="E5059" s="202"/>
      <c r="F5059" s="210"/>
      <c r="G5059" s="210"/>
      <c r="H5059" s="206" t="s">
        <v>121</v>
      </c>
      <c r="I5059" s="206" t="s">
        <v>121</v>
      </c>
      <c r="J5059" s="206" t="s">
        <v>121</v>
      </c>
      <c r="K5059" s="206" t="s">
        <v>121</v>
      </c>
      <c r="L5059" s="206" t="str">
        <v/>
      </c>
      <c r="M5059" s="206" t="str">
        <v/>
      </c>
    </row>
    <row r="5060" spans="1:13" ht="14.4">
      <c r="A5060" s="201"/>
      <c r="B5060" s="209"/>
      <c r="C5060" s="201"/>
      <c r="D5060" s="201"/>
      <c r="E5060" s="202"/>
      <c r="F5060" s="210"/>
      <c r="G5060" s="210"/>
      <c r="H5060" s="206" t="s">
        <v>121</v>
      </c>
      <c r="I5060" s="206" t="s">
        <v>121</v>
      </c>
      <c r="J5060" s="206" t="s">
        <v>121</v>
      </c>
      <c r="K5060" s="206" t="s">
        <v>121</v>
      </c>
      <c r="L5060" s="206" t="str">
        <v/>
      </c>
      <c r="M5060" s="206" t="str">
        <v/>
      </c>
    </row>
    <row r="5061" spans="1:13" ht="14.4">
      <c r="A5061" s="201"/>
      <c r="B5061" s="209"/>
      <c r="C5061" s="201"/>
      <c r="D5061" s="201"/>
      <c r="E5061" s="202"/>
      <c r="F5061" s="210"/>
      <c r="G5061" s="210"/>
      <c r="H5061" s="206" t="s">
        <v>121</v>
      </c>
      <c r="I5061" s="206" t="s">
        <v>121</v>
      </c>
      <c r="J5061" s="206" t="s">
        <v>121</v>
      </c>
      <c r="K5061" s="206" t="s">
        <v>121</v>
      </c>
      <c r="L5061" s="206" t="str">
        <v/>
      </c>
      <c r="M5061" s="206" t="str">
        <v/>
      </c>
    </row>
    <row r="5062" spans="1:13" ht="14.4">
      <c r="A5062" s="201"/>
      <c r="B5062" s="209"/>
      <c r="C5062" s="201"/>
      <c r="D5062" s="201"/>
      <c r="E5062" s="202"/>
      <c r="F5062" s="210"/>
      <c r="G5062" s="210"/>
      <c r="H5062" s="206" t="s">
        <v>121</v>
      </c>
      <c r="I5062" s="206" t="s">
        <v>121</v>
      </c>
      <c r="J5062" s="206" t="s">
        <v>121</v>
      </c>
      <c r="K5062" s="206" t="s">
        <v>121</v>
      </c>
      <c r="L5062" s="206" t="str">
        <v/>
      </c>
      <c r="M5062" s="206" t="str">
        <v/>
      </c>
    </row>
    <row r="5063" spans="1:13" ht="14.4">
      <c r="A5063" s="201"/>
      <c r="B5063" s="209"/>
      <c r="C5063" s="201"/>
      <c r="D5063" s="201"/>
      <c r="E5063" s="202"/>
      <c r="F5063" s="210"/>
      <c r="G5063" s="210"/>
      <c r="H5063" s="206" t="s">
        <v>121</v>
      </c>
      <c r="I5063" s="206" t="s">
        <v>121</v>
      </c>
      <c r="J5063" s="206" t="s">
        <v>121</v>
      </c>
      <c r="K5063" s="206" t="s">
        <v>121</v>
      </c>
      <c r="L5063" s="206" t="str">
        <v/>
      </c>
      <c r="M5063" s="206" t="str">
        <v/>
      </c>
    </row>
    <row r="5064" spans="1:13" ht="14.4">
      <c r="A5064" s="201"/>
      <c r="B5064" s="209"/>
      <c r="C5064" s="201"/>
      <c r="D5064" s="201"/>
      <c r="E5064" s="202"/>
      <c r="F5064" s="210"/>
      <c r="G5064" s="210"/>
      <c r="H5064" s="206" t="s">
        <v>121</v>
      </c>
      <c r="I5064" s="206" t="s">
        <v>121</v>
      </c>
      <c r="J5064" s="206" t="s">
        <v>121</v>
      </c>
      <c r="K5064" s="206" t="s">
        <v>121</v>
      </c>
      <c r="L5064" s="206" t="str">
        <v/>
      </c>
      <c r="M5064" s="206" t="str">
        <v/>
      </c>
    </row>
    <row r="5065" spans="1:13" ht="14.4">
      <c r="A5065" s="201"/>
      <c r="B5065" s="209"/>
      <c r="C5065" s="201"/>
      <c r="D5065" s="201"/>
      <c r="E5065" s="202"/>
      <c r="F5065" s="210"/>
      <c r="G5065" s="210"/>
      <c r="H5065" s="206" t="s">
        <v>121</v>
      </c>
      <c r="I5065" s="206" t="s">
        <v>121</v>
      </c>
      <c r="J5065" s="206" t="s">
        <v>121</v>
      </c>
      <c r="K5065" s="206" t="s">
        <v>121</v>
      </c>
      <c r="L5065" s="206" t="str">
        <v/>
      </c>
      <c r="M5065" s="206" t="str">
        <v/>
      </c>
    </row>
    <row r="5066" spans="1:13" ht="14.4">
      <c r="A5066" s="201"/>
      <c r="B5066" s="209"/>
      <c r="C5066" s="201"/>
      <c r="D5066" s="201"/>
      <c r="E5066" s="202"/>
      <c r="F5066" s="210"/>
      <c r="G5066" s="210"/>
      <c r="H5066" s="206" t="s">
        <v>121</v>
      </c>
      <c r="I5066" s="206" t="s">
        <v>121</v>
      </c>
      <c r="J5066" s="206" t="s">
        <v>121</v>
      </c>
      <c r="K5066" s="206" t="s">
        <v>121</v>
      </c>
      <c r="L5066" s="206" t="str">
        <v/>
      </c>
      <c r="M5066" s="206" t="str">
        <v/>
      </c>
    </row>
    <row r="5067" spans="1:13" ht="14.4">
      <c r="A5067" s="201"/>
      <c r="B5067" s="209"/>
      <c r="C5067" s="201"/>
      <c r="D5067" s="201"/>
      <c r="E5067" s="202"/>
      <c r="F5067" s="210"/>
      <c r="G5067" s="210"/>
      <c r="H5067" s="206" t="s">
        <v>121</v>
      </c>
      <c r="I5067" s="206" t="s">
        <v>121</v>
      </c>
      <c r="J5067" s="206" t="s">
        <v>121</v>
      </c>
      <c r="K5067" s="206" t="s">
        <v>121</v>
      </c>
      <c r="L5067" s="206" t="str">
        <v/>
      </c>
      <c r="M5067" s="206" t="str">
        <v/>
      </c>
    </row>
    <row r="5068" spans="1:13" ht="14.4">
      <c r="A5068" s="201"/>
      <c r="B5068" s="209"/>
      <c r="C5068" s="201"/>
      <c r="D5068" s="201"/>
      <c r="E5068" s="202"/>
      <c r="F5068" s="210"/>
      <c r="G5068" s="210"/>
      <c r="H5068" s="206" t="s">
        <v>121</v>
      </c>
      <c r="I5068" s="206" t="s">
        <v>121</v>
      </c>
      <c r="J5068" s="206" t="s">
        <v>121</v>
      </c>
      <c r="K5068" s="206" t="s">
        <v>121</v>
      </c>
      <c r="L5068" s="206" t="str">
        <v/>
      </c>
      <c r="M5068" s="206" t="str">
        <v/>
      </c>
    </row>
    <row r="5069" spans="1:13" ht="14.4">
      <c r="A5069" s="201"/>
      <c r="B5069" s="209"/>
      <c r="C5069" s="201"/>
      <c r="D5069" s="201"/>
      <c r="E5069" s="202"/>
      <c r="F5069" s="210"/>
      <c r="G5069" s="210"/>
      <c r="H5069" s="206" t="s">
        <v>121</v>
      </c>
      <c r="I5069" s="206" t="s">
        <v>121</v>
      </c>
      <c r="J5069" s="206" t="s">
        <v>121</v>
      </c>
      <c r="K5069" s="206" t="s">
        <v>121</v>
      </c>
      <c r="L5069" s="206" t="str">
        <v/>
      </c>
      <c r="M5069" s="206" t="str">
        <v/>
      </c>
    </row>
    <row r="5070" spans="1:13" ht="14.4">
      <c r="A5070" s="201"/>
      <c r="B5070" s="209"/>
      <c r="C5070" s="201"/>
      <c r="D5070" s="201"/>
      <c r="E5070" s="202"/>
      <c r="F5070" s="210"/>
      <c r="G5070" s="210"/>
      <c r="H5070" s="206" t="s">
        <v>121</v>
      </c>
      <c r="I5070" s="206" t="s">
        <v>121</v>
      </c>
      <c r="J5070" s="206" t="s">
        <v>121</v>
      </c>
      <c r="K5070" s="206" t="s">
        <v>121</v>
      </c>
      <c r="L5070" s="206" t="str">
        <v/>
      </c>
      <c r="M5070" s="206" t="str">
        <v/>
      </c>
    </row>
    <row r="5071" spans="1:13" ht="14.4">
      <c r="A5071" s="201"/>
      <c r="B5071" s="209"/>
      <c r="C5071" s="201"/>
      <c r="D5071" s="201"/>
      <c r="E5071" s="202"/>
      <c r="F5071" s="210"/>
      <c r="G5071" s="210"/>
      <c r="H5071" s="206" t="s">
        <v>121</v>
      </c>
      <c r="I5071" s="206" t="s">
        <v>121</v>
      </c>
      <c r="J5071" s="206" t="s">
        <v>121</v>
      </c>
      <c r="K5071" s="206" t="s">
        <v>121</v>
      </c>
      <c r="L5071" s="206" t="str">
        <v/>
      </c>
      <c r="M5071" s="206" t="str">
        <v/>
      </c>
    </row>
    <row r="5072" spans="1:13" ht="14.4">
      <c r="A5072" s="201"/>
      <c r="B5072" s="209"/>
      <c r="C5072" s="201"/>
      <c r="D5072" s="201"/>
      <c r="E5072" s="202"/>
      <c r="F5072" s="210"/>
      <c r="G5072" s="210"/>
      <c r="H5072" s="206" t="s">
        <v>121</v>
      </c>
      <c r="I5072" s="206" t="s">
        <v>121</v>
      </c>
      <c r="J5072" s="206" t="s">
        <v>121</v>
      </c>
      <c r="K5072" s="206" t="s">
        <v>121</v>
      </c>
      <c r="L5072" s="206" t="str">
        <v/>
      </c>
      <c r="M5072" s="206" t="str">
        <v/>
      </c>
    </row>
    <row r="5073" spans="1:13" ht="14.4">
      <c r="A5073" s="201"/>
      <c r="B5073" s="209"/>
      <c r="C5073" s="201"/>
      <c r="D5073" s="201"/>
      <c r="E5073" s="202"/>
      <c r="F5073" s="210"/>
      <c r="G5073" s="210"/>
      <c r="H5073" s="206" t="s">
        <v>121</v>
      </c>
      <c r="I5073" s="206" t="s">
        <v>121</v>
      </c>
      <c r="J5073" s="206" t="s">
        <v>121</v>
      </c>
      <c r="K5073" s="206" t="s">
        <v>121</v>
      </c>
      <c r="L5073" s="206" t="str">
        <v/>
      </c>
      <c r="M5073" s="206" t="str">
        <v/>
      </c>
    </row>
    <row r="5074" spans="1:13" ht="14.4">
      <c r="A5074" s="201"/>
      <c r="B5074" s="209"/>
      <c r="C5074" s="201"/>
      <c r="D5074" s="201"/>
      <c r="E5074" s="202"/>
      <c r="F5074" s="210"/>
      <c r="G5074" s="210"/>
      <c r="H5074" s="206" t="s">
        <v>121</v>
      </c>
      <c r="I5074" s="206" t="s">
        <v>121</v>
      </c>
      <c r="J5074" s="206" t="s">
        <v>121</v>
      </c>
      <c r="K5074" s="206" t="s">
        <v>121</v>
      </c>
      <c r="L5074" s="206" t="str">
        <v/>
      </c>
      <c r="M5074" s="206" t="str">
        <v/>
      </c>
    </row>
    <row r="5075" spans="1:13" ht="14.4">
      <c r="A5075" s="201"/>
      <c r="B5075" s="209"/>
      <c r="C5075" s="201"/>
      <c r="D5075" s="201"/>
      <c r="E5075" s="202"/>
      <c r="F5075" s="210"/>
      <c r="G5075" s="210"/>
      <c r="H5075" s="206" t="s">
        <v>121</v>
      </c>
      <c r="I5075" s="206" t="s">
        <v>121</v>
      </c>
      <c r="J5075" s="206" t="s">
        <v>121</v>
      </c>
      <c r="K5075" s="206" t="s">
        <v>121</v>
      </c>
      <c r="L5075" s="206" t="str">
        <v/>
      </c>
      <c r="M5075" s="206" t="str">
        <v/>
      </c>
    </row>
    <row r="5076" spans="1:13" ht="14.4">
      <c r="A5076" s="201"/>
      <c r="B5076" s="209"/>
      <c r="C5076" s="201"/>
      <c r="D5076" s="201"/>
      <c r="E5076" s="202"/>
      <c r="F5076" s="210"/>
      <c r="G5076" s="210"/>
      <c r="H5076" s="206" t="s">
        <v>121</v>
      </c>
      <c r="I5076" s="206" t="s">
        <v>121</v>
      </c>
      <c r="J5076" s="206" t="s">
        <v>121</v>
      </c>
      <c r="K5076" s="206" t="s">
        <v>121</v>
      </c>
      <c r="L5076" s="206" t="str">
        <v/>
      </c>
      <c r="M5076" s="206" t="str">
        <v/>
      </c>
    </row>
    <row r="5077" spans="1:13" ht="14.4">
      <c r="A5077" s="201"/>
      <c r="B5077" s="209"/>
      <c r="C5077" s="201"/>
      <c r="D5077" s="201"/>
      <c r="E5077" s="202"/>
      <c r="F5077" s="210"/>
      <c r="G5077" s="210"/>
      <c r="H5077" s="206" t="s">
        <v>121</v>
      </c>
      <c r="I5077" s="206" t="s">
        <v>121</v>
      </c>
      <c r="J5077" s="206" t="s">
        <v>121</v>
      </c>
      <c r="K5077" s="206" t="s">
        <v>121</v>
      </c>
      <c r="L5077" s="206" t="str">
        <v/>
      </c>
      <c r="M5077" s="206" t="str">
        <v/>
      </c>
    </row>
    <row r="5078" spans="1:13" ht="14.4">
      <c r="A5078" s="201"/>
      <c r="B5078" s="209"/>
      <c r="C5078" s="201"/>
      <c r="D5078" s="201"/>
      <c r="E5078" s="202"/>
      <c r="F5078" s="210"/>
      <c r="G5078" s="210"/>
      <c r="H5078" s="206" t="s">
        <v>121</v>
      </c>
      <c r="I5078" s="206" t="s">
        <v>121</v>
      </c>
      <c r="J5078" s="206" t="s">
        <v>121</v>
      </c>
      <c r="K5078" s="206" t="s">
        <v>121</v>
      </c>
      <c r="L5078" s="206" t="str">
        <v/>
      </c>
      <c r="M5078" s="206" t="str">
        <v/>
      </c>
    </row>
    <row r="5079" spans="1:13" ht="14.4">
      <c r="A5079" s="201"/>
      <c r="B5079" s="209"/>
      <c r="C5079" s="201"/>
      <c r="D5079" s="201"/>
      <c r="E5079" s="202"/>
      <c r="F5079" s="210"/>
      <c r="G5079" s="210"/>
      <c r="H5079" s="206" t="s">
        <v>121</v>
      </c>
      <c r="I5079" s="206" t="s">
        <v>121</v>
      </c>
      <c r="J5079" s="206" t="s">
        <v>121</v>
      </c>
      <c r="K5079" s="206" t="s">
        <v>121</v>
      </c>
      <c r="L5079" s="206" t="str">
        <v/>
      </c>
      <c r="M5079" s="206" t="str">
        <v/>
      </c>
    </row>
    <row r="5080" spans="1:13" ht="14.4">
      <c r="A5080" s="201"/>
      <c r="B5080" s="209"/>
      <c r="C5080" s="201"/>
      <c r="D5080" s="201"/>
      <c r="E5080" s="202"/>
      <c r="F5080" s="210"/>
      <c r="G5080" s="210"/>
      <c r="H5080" s="206" t="s">
        <v>121</v>
      </c>
      <c r="I5080" s="206" t="s">
        <v>121</v>
      </c>
      <c r="J5080" s="206" t="s">
        <v>121</v>
      </c>
      <c r="K5080" s="206" t="s">
        <v>121</v>
      </c>
      <c r="L5080" s="206" t="str">
        <v/>
      </c>
      <c r="M5080" s="206" t="str">
        <v/>
      </c>
    </row>
    <row r="5081" spans="1:13" ht="14.4">
      <c r="A5081" s="201"/>
      <c r="B5081" s="209"/>
      <c r="C5081" s="201"/>
      <c r="D5081" s="201"/>
      <c r="E5081" s="202"/>
      <c r="F5081" s="210"/>
      <c r="G5081" s="210"/>
      <c r="H5081" s="206" t="s">
        <v>121</v>
      </c>
      <c r="I5081" s="206" t="s">
        <v>121</v>
      </c>
      <c r="J5081" s="206" t="s">
        <v>121</v>
      </c>
      <c r="K5081" s="206" t="s">
        <v>121</v>
      </c>
      <c r="L5081" s="206" t="str">
        <v/>
      </c>
      <c r="M5081" s="206" t="str">
        <v/>
      </c>
    </row>
    <row r="5082" spans="1:13" ht="14.4">
      <c r="A5082" s="201"/>
      <c r="B5082" s="209"/>
      <c r="C5082" s="201"/>
      <c r="D5082" s="201"/>
      <c r="E5082" s="202"/>
      <c r="F5082" s="210"/>
      <c r="G5082" s="210"/>
      <c r="H5082" s="206" t="s">
        <v>121</v>
      </c>
      <c r="I5082" s="206" t="s">
        <v>121</v>
      </c>
      <c r="J5082" s="206" t="s">
        <v>121</v>
      </c>
      <c r="K5082" s="206" t="s">
        <v>121</v>
      </c>
      <c r="L5082" s="206" t="str">
        <v/>
      </c>
      <c r="M5082" s="206" t="str">
        <v/>
      </c>
    </row>
    <row r="5083" spans="1:13" ht="14.4">
      <c r="A5083" s="201"/>
      <c r="B5083" s="209"/>
      <c r="C5083" s="201"/>
      <c r="D5083" s="201"/>
      <c r="E5083" s="202"/>
      <c r="F5083" s="210"/>
      <c r="G5083" s="210"/>
      <c r="H5083" s="206" t="s">
        <v>121</v>
      </c>
      <c r="I5083" s="206" t="s">
        <v>121</v>
      </c>
      <c r="J5083" s="206" t="s">
        <v>121</v>
      </c>
      <c r="K5083" s="206" t="s">
        <v>121</v>
      </c>
      <c r="L5083" s="206" t="str">
        <v/>
      </c>
      <c r="M5083" s="206" t="str">
        <v/>
      </c>
    </row>
    <row r="5084" spans="1:13" ht="14.4">
      <c r="A5084" s="201"/>
      <c r="B5084" s="209"/>
      <c r="C5084" s="201"/>
      <c r="D5084" s="201"/>
      <c r="E5084" s="202"/>
      <c r="F5084" s="210"/>
      <c r="G5084" s="210"/>
      <c r="H5084" s="206" t="s">
        <v>121</v>
      </c>
      <c r="I5084" s="206" t="s">
        <v>121</v>
      </c>
      <c r="J5084" s="206" t="s">
        <v>121</v>
      </c>
      <c r="K5084" s="206" t="s">
        <v>121</v>
      </c>
      <c r="L5084" s="206" t="str">
        <v/>
      </c>
      <c r="M5084" s="206" t="str">
        <v/>
      </c>
    </row>
    <row r="5085" spans="1:13" ht="14.4">
      <c r="A5085" s="201"/>
      <c r="B5085" s="209"/>
      <c r="C5085" s="201"/>
      <c r="D5085" s="201"/>
      <c r="E5085" s="202"/>
      <c r="F5085" s="210"/>
      <c r="G5085" s="210"/>
      <c r="H5085" s="206" t="s">
        <v>121</v>
      </c>
      <c r="I5085" s="206" t="s">
        <v>121</v>
      </c>
      <c r="J5085" s="206" t="s">
        <v>121</v>
      </c>
      <c r="K5085" s="206" t="s">
        <v>121</v>
      </c>
      <c r="L5085" s="206" t="str">
        <v/>
      </c>
      <c r="M5085" s="206" t="str">
        <v/>
      </c>
    </row>
    <row r="5086" spans="1:13" ht="14.4">
      <c r="A5086" s="201"/>
      <c r="B5086" s="209"/>
      <c r="C5086" s="201"/>
      <c r="D5086" s="201"/>
      <c r="E5086" s="202"/>
      <c r="F5086" s="210"/>
      <c r="G5086" s="210"/>
      <c r="H5086" s="206" t="s">
        <v>121</v>
      </c>
      <c r="I5086" s="206" t="s">
        <v>121</v>
      </c>
      <c r="J5086" s="206" t="s">
        <v>121</v>
      </c>
      <c r="K5086" s="206" t="s">
        <v>121</v>
      </c>
      <c r="L5086" s="206" t="str">
        <v/>
      </c>
      <c r="M5086" s="206" t="str">
        <v/>
      </c>
    </row>
    <row r="5087" spans="1:13" ht="14.4">
      <c r="A5087" s="201"/>
      <c r="B5087" s="209"/>
      <c r="C5087" s="201"/>
      <c r="D5087" s="201"/>
      <c r="E5087" s="202"/>
      <c r="F5087" s="210"/>
      <c r="G5087" s="210"/>
      <c r="H5087" s="206" t="s">
        <v>121</v>
      </c>
      <c r="I5087" s="206" t="s">
        <v>121</v>
      </c>
      <c r="J5087" s="206" t="s">
        <v>121</v>
      </c>
      <c r="K5087" s="206" t="s">
        <v>121</v>
      </c>
      <c r="L5087" s="206" t="str">
        <v/>
      </c>
      <c r="M5087" s="206" t="str">
        <v/>
      </c>
    </row>
    <row r="5088" spans="1:13" ht="14.4">
      <c r="A5088" s="201"/>
      <c r="B5088" s="209"/>
      <c r="C5088" s="201"/>
      <c r="D5088" s="201"/>
      <c r="E5088" s="202"/>
      <c r="F5088" s="210"/>
      <c r="G5088" s="210"/>
      <c r="H5088" s="206" t="s">
        <v>121</v>
      </c>
      <c r="I5088" s="206" t="s">
        <v>121</v>
      </c>
      <c r="J5088" s="206" t="s">
        <v>121</v>
      </c>
      <c r="K5088" s="206" t="s">
        <v>121</v>
      </c>
      <c r="L5088" s="206" t="str">
        <v/>
      </c>
      <c r="M5088" s="206" t="str">
        <v/>
      </c>
    </row>
    <row r="5089" spans="1:13" ht="14.4">
      <c r="A5089" s="201"/>
      <c r="B5089" s="209"/>
      <c r="C5089" s="201"/>
      <c r="D5089" s="201"/>
      <c r="E5089" s="202"/>
      <c r="F5089" s="210"/>
      <c r="G5089" s="210"/>
      <c r="H5089" s="206" t="s">
        <v>121</v>
      </c>
      <c r="I5089" s="206" t="s">
        <v>121</v>
      </c>
      <c r="J5089" s="206" t="s">
        <v>121</v>
      </c>
      <c r="K5089" s="206" t="s">
        <v>121</v>
      </c>
      <c r="L5089" s="206" t="str">
        <v/>
      </c>
      <c r="M5089" s="206" t="str">
        <v/>
      </c>
    </row>
    <row r="5090" spans="1:13" ht="14.4">
      <c r="A5090" s="201"/>
      <c r="B5090" s="209"/>
      <c r="C5090" s="201"/>
      <c r="D5090" s="201"/>
      <c r="E5090" s="202"/>
      <c r="F5090" s="210"/>
      <c r="G5090" s="210"/>
      <c r="H5090" s="206" t="s">
        <v>121</v>
      </c>
      <c r="I5090" s="206" t="s">
        <v>121</v>
      </c>
      <c r="J5090" s="206" t="s">
        <v>121</v>
      </c>
      <c r="K5090" s="206" t="s">
        <v>121</v>
      </c>
      <c r="L5090" s="206" t="str">
        <v/>
      </c>
      <c r="M5090" s="206" t="str">
        <v/>
      </c>
    </row>
    <row r="5091" spans="1:13" ht="14.4">
      <c r="A5091" s="201"/>
      <c r="B5091" s="209"/>
      <c r="C5091" s="201"/>
      <c r="D5091" s="201"/>
      <c r="E5091" s="202"/>
      <c r="F5091" s="210"/>
      <c r="G5091" s="210"/>
      <c r="H5091" s="206" t="s">
        <v>121</v>
      </c>
      <c r="I5091" s="206" t="s">
        <v>121</v>
      </c>
      <c r="J5091" s="206" t="s">
        <v>121</v>
      </c>
      <c r="K5091" s="206" t="s">
        <v>121</v>
      </c>
      <c r="L5091" s="206" t="str">
        <v/>
      </c>
      <c r="M5091" s="206" t="str">
        <v/>
      </c>
    </row>
    <row r="5092" spans="1:13" ht="14.4">
      <c r="A5092" s="201"/>
      <c r="B5092" s="209"/>
      <c r="C5092" s="201"/>
      <c r="D5092" s="201"/>
      <c r="E5092" s="202"/>
      <c r="F5092" s="210"/>
      <c r="G5092" s="210"/>
      <c r="H5092" s="206" t="s">
        <v>121</v>
      </c>
      <c r="I5092" s="206" t="s">
        <v>121</v>
      </c>
      <c r="J5092" s="206" t="s">
        <v>121</v>
      </c>
      <c r="K5092" s="206" t="s">
        <v>121</v>
      </c>
      <c r="L5092" s="206" t="str">
        <v/>
      </c>
      <c r="M5092" s="206" t="str">
        <v/>
      </c>
    </row>
    <row r="5093" spans="1:13" ht="14.4">
      <c r="A5093" s="201"/>
      <c r="B5093" s="209"/>
      <c r="C5093" s="201"/>
      <c r="D5093" s="201"/>
      <c r="E5093" s="202"/>
      <c r="F5093" s="210"/>
      <c r="G5093" s="210"/>
      <c r="H5093" s="206" t="s">
        <v>121</v>
      </c>
      <c r="I5093" s="206" t="s">
        <v>121</v>
      </c>
      <c r="J5093" s="206" t="s">
        <v>121</v>
      </c>
      <c r="K5093" s="206" t="s">
        <v>121</v>
      </c>
      <c r="L5093" s="206" t="str">
        <v/>
      </c>
      <c r="M5093" s="206" t="str">
        <v/>
      </c>
    </row>
    <row r="5094" spans="1:13" ht="14.4">
      <c r="A5094" s="201"/>
      <c r="B5094" s="209"/>
      <c r="C5094" s="201"/>
      <c r="D5094" s="201"/>
      <c r="E5094" s="202"/>
      <c r="F5094" s="210"/>
      <c r="G5094" s="210"/>
      <c r="H5094" s="206" t="s">
        <v>121</v>
      </c>
      <c r="I5094" s="206" t="s">
        <v>121</v>
      </c>
      <c r="J5094" s="206" t="s">
        <v>121</v>
      </c>
      <c r="K5094" s="206" t="s">
        <v>121</v>
      </c>
      <c r="L5094" s="206" t="str">
        <v/>
      </c>
      <c r="M5094" s="206" t="str">
        <v/>
      </c>
    </row>
    <row r="5095" spans="1:13" ht="14.4">
      <c r="A5095" s="201"/>
      <c r="B5095" s="209"/>
      <c r="C5095" s="201"/>
      <c r="D5095" s="201"/>
      <c r="E5095" s="202"/>
      <c r="F5095" s="210"/>
      <c r="G5095" s="210"/>
      <c r="H5095" s="206" t="s">
        <v>121</v>
      </c>
      <c r="I5095" s="206" t="s">
        <v>121</v>
      </c>
      <c r="J5095" s="206" t="s">
        <v>121</v>
      </c>
      <c r="K5095" s="206" t="s">
        <v>121</v>
      </c>
      <c r="L5095" s="206" t="str">
        <v/>
      </c>
      <c r="M5095" s="206" t="str">
        <v/>
      </c>
    </row>
    <row r="5096" spans="1:13" ht="14.4">
      <c r="A5096" s="201"/>
      <c r="B5096" s="209"/>
      <c r="C5096" s="201"/>
      <c r="D5096" s="201"/>
      <c r="E5096" s="202"/>
      <c r="F5096" s="210"/>
      <c r="G5096" s="210"/>
      <c r="H5096" s="206" t="s">
        <v>121</v>
      </c>
      <c r="I5096" s="206" t="s">
        <v>121</v>
      </c>
      <c r="J5096" s="206" t="s">
        <v>121</v>
      </c>
      <c r="K5096" s="206" t="s">
        <v>121</v>
      </c>
      <c r="L5096" s="206" t="str">
        <v/>
      </c>
      <c r="M5096" s="206" t="str">
        <v/>
      </c>
    </row>
    <row r="5097" spans="1:13" ht="14.4">
      <c r="A5097" s="201"/>
      <c r="B5097" s="209"/>
      <c r="C5097" s="201"/>
      <c r="D5097" s="201"/>
      <c r="E5097" s="202"/>
      <c r="F5097" s="210"/>
      <c r="G5097" s="210"/>
      <c r="H5097" s="206" t="s">
        <v>121</v>
      </c>
      <c r="I5097" s="206" t="s">
        <v>121</v>
      </c>
      <c r="J5097" s="206" t="s">
        <v>121</v>
      </c>
      <c r="K5097" s="206" t="s">
        <v>121</v>
      </c>
      <c r="L5097" s="206" t="str">
        <v/>
      </c>
      <c r="M5097" s="206" t="str">
        <v/>
      </c>
    </row>
    <row r="5098" spans="1:13" ht="14.4">
      <c r="A5098" s="201"/>
      <c r="B5098" s="209"/>
      <c r="C5098" s="201"/>
      <c r="D5098" s="201"/>
      <c r="E5098" s="202"/>
      <c r="F5098" s="210"/>
      <c r="G5098" s="210"/>
      <c r="H5098" s="206" t="s">
        <v>121</v>
      </c>
      <c r="I5098" s="206" t="s">
        <v>121</v>
      </c>
      <c r="J5098" s="206" t="s">
        <v>121</v>
      </c>
      <c r="K5098" s="206" t="s">
        <v>121</v>
      </c>
      <c r="L5098" s="206" t="str">
        <v/>
      </c>
      <c r="M5098" s="206" t="str">
        <v/>
      </c>
    </row>
    <row r="5099" spans="1:13" ht="14.4">
      <c r="A5099" s="201"/>
      <c r="B5099" s="209"/>
      <c r="C5099" s="201"/>
      <c r="D5099" s="201"/>
      <c r="E5099" s="202"/>
      <c r="F5099" s="210"/>
      <c r="G5099" s="210"/>
      <c r="H5099" s="206" t="s">
        <v>121</v>
      </c>
      <c r="I5099" s="206" t="s">
        <v>121</v>
      </c>
      <c r="J5099" s="206" t="s">
        <v>121</v>
      </c>
      <c r="K5099" s="206" t="s">
        <v>121</v>
      </c>
      <c r="L5099" s="206" t="str">
        <v/>
      </c>
      <c r="M5099" s="206" t="str">
        <v/>
      </c>
    </row>
    <row r="5100" spans="1:13" ht="14.4">
      <c r="A5100" s="201"/>
      <c r="B5100" s="209"/>
      <c r="C5100" s="201"/>
      <c r="D5100" s="201"/>
      <c r="E5100" s="202"/>
      <c r="F5100" s="210"/>
      <c r="G5100" s="210"/>
      <c r="H5100" s="206" t="s">
        <v>121</v>
      </c>
      <c r="I5100" s="206" t="s">
        <v>121</v>
      </c>
      <c r="J5100" s="206" t="s">
        <v>121</v>
      </c>
      <c r="K5100" s="206" t="s">
        <v>121</v>
      </c>
      <c r="L5100" s="206" t="str">
        <v/>
      </c>
      <c r="M5100" s="206" t="str">
        <v/>
      </c>
    </row>
    <row r="5101" spans="1:13" ht="14.4">
      <c r="A5101" s="201"/>
      <c r="B5101" s="209"/>
      <c r="C5101" s="201"/>
      <c r="D5101" s="201"/>
      <c r="E5101" s="202"/>
      <c r="F5101" s="210"/>
      <c r="G5101" s="210"/>
      <c r="H5101" s="206" t="s">
        <v>121</v>
      </c>
      <c r="I5101" s="206" t="s">
        <v>121</v>
      </c>
      <c r="J5101" s="206" t="s">
        <v>121</v>
      </c>
      <c r="K5101" s="206" t="s">
        <v>121</v>
      </c>
      <c r="L5101" s="206" t="str">
        <v/>
      </c>
      <c r="M5101" s="206" t="str">
        <v/>
      </c>
    </row>
    <row r="5102" spans="1:13" ht="14.4">
      <c r="A5102" s="201"/>
      <c r="B5102" s="209"/>
      <c r="C5102" s="201"/>
      <c r="D5102" s="201"/>
      <c r="E5102" s="202"/>
      <c r="F5102" s="210"/>
      <c r="G5102" s="210"/>
      <c r="H5102" s="206" t="s">
        <v>121</v>
      </c>
      <c r="I5102" s="206" t="s">
        <v>121</v>
      </c>
      <c r="J5102" s="206" t="s">
        <v>121</v>
      </c>
      <c r="K5102" s="206" t="s">
        <v>121</v>
      </c>
      <c r="L5102" s="206" t="str">
        <v/>
      </c>
      <c r="M5102" s="206" t="str">
        <v/>
      </c>
    </row>
    <row r="5103" spans="1:13" ht="14.4">
      <c r="A5103" s="201"/>
      <c r="B5103" s="209"/>
      <c r="C5103" s="201"/>
      <c r="D5103" s="201"/>
      <c r="E5103" s="202"/>
      <c r="F5103" s="210"/>
      <c r="G5103" s="210"/>
      <c r="H5103" s="206" t="s">
        <v>121</v>
      </c>
      <c r="I5103" s="206" t="s">
        <v>121</v>
      </c>
      <c r="J5103" s="206" t="s">
        <v>121</v>
      </c>
      <c r="K5103" s="206" t="s">
        <v>121</v>
      </c>
      <c r="L5103" s="206" t="str">
        <v/>
      </c>
      <c r="M5103" s="206" t="str">
        <v/>
      </c>
    </row>
    <row r="5104" spans="1:13" ht="14.4">
      <c r="A5104" s="201"/>
      <c r="B5104" s="209"/>
      <c r="C5104" s="201"/>
      <c r="D5104" s="201"/>
      <c r="E5104" s="202"/>
      <c r="F5104" s="210"/>
      <c r="G5104" s="210"/>
      <c r="H5104" s="206" t="s">
        <v>121</v>
      </c>
      <c r="I5104" s="206" t="s">
        <v>121</v>
      </c>
      <c r="J5104" s="206" t="s">
        <v>121</v>
      </c>
      <c r="K5104" s="206" t="s">
        <v>121</v>
      </c>
      <c r="L5104" s="206" t="str">
        <v/>
      </c>
      <c r="M5104" s="206" t="str">
        <v/>
      </c>
    </row>
    <row r="5105" spans="1:13" ht="14.4">
      <c r="A5105" s="201"/>
      <c r="B5105" s="209"/>
      <c r="C5105" s="201"/>
      <c r="D5105" s="201"/>
      <c r="E5105" s="202"/>
      <c r="F5105" s="210"/>
      <c r="G5105" s="210"/>
      <c r="H5105" s="206" t="s">
        <v>121</v>
      </c>
      <c r="I5105" s="206" t="s">
        <v>121</v>
      </c>
      <c r="J5105" s="206" t="s">
        <v>121</v>
      </c>
      <c r="K5105" s="206" t="s">
        <v>121</v>
      </c>
      <c r="L5105" s="206" t="str">
        <v/>
      </c>
      <c r="M5105" s="206" t="str">
        <v/>
      </c>
    </row>
    <row r="5106" spans="1:13" ht="14.4">
      <c r="A5106" s="201"/>
      <c r="B5106" s="209"/>
      <c r="C5106" s="201"/>
      <c r="D5106" s="201"/>
      <c r="E5106" s="202"/>
      <c r="F5106" s="210"/>
      <c r="G5106" s="210"/>
      <c r="H5106" s="206" t="s">
        <v>121</v>
      </c>
      <c r="I5106" s="206" t="s">
        <v>121</v>
      </c>
      <c r="J5106" s="206" t="s">
        <v>121</v>
      </c>
      <c r="K5106" s="206" t="s">
        <v>121</v>
      </c>
      <c r="L5106" s="206" t="str">
        <v/>
      </c>
      <c r="M5106" s="206" t="str">
        <v/>
      </c>
    </row>
    <row r="5107" spans="1:13" ht="14.4">
      <c r="A5107" s="201"/>
      <c r="B5107" s="209"/>
      <c r="C5107" s="201"/>
      <c r="D5107" s="201"/>
      <c r="E5107" s="202"/>
      <c r="F5107" s="210"/>
      <c r="G5107" s="210"/>
      <c r="H5107" s="206" t="s">
        <v>121</v>
      </c>
      <c r="I5107" s="206" t="s">
        <v>121</v>
      </c>
      <c r="J5107" s="206" t="s">
        <v>121</v>
      </c>
      <c r="K5107" s="206" t="s">
        <v>121</v>
      </c>
      <c r="L5107" s="206" t="str">
        <v/>
      </c>
      <c r="M5107" s="206" t="str">
        <v/>
      </c>
    </row>
    <row r="5108" spans="1:13" ht="14.4">
      <c r="A5108" s="201"/>
      <c r="B5108" s="209"/>
      <c r="C5108" s="201"/>
      <c r="D5108" s="201"/>
      <c r="E5108" s="202"/>
      <c r="F5108" s="210"/>
      <c r="G5108" s="210"/>
      <c r="H5108" s="206" t="s">
        <v>121</v>
      </c>
      <c r="I5108" s="206" t="s">
        <v>121</v>
      </c>
      <c r="J5108" s="206" t="s">
        <v>121</v>
      </c>
      <c r="K5108" s="206" t="s">
        <v>121</v>
      </c>
      <c r="L5108" s="206" t="str">
        <v/>
      </c>
      <c r="M5108" s="206" t="str">
        <v/>
      </c>
    </row>
    <row r="5109" spans="1:13" ht="14.4">
      <c r="A5109" s="201"/>
      <c r="B5109" s="209"/>
      <c r="C5109" s="201"/>
      <c r="D5109" s="201"/>
      <c r="E5109" s="202"/>
      <c r="F5109" s="210"/>
      <c r="G5109" s="210"/>
      <c r="H5109" s="206" t="s">
        <v>121</v>
      </c>
      <c r="I5109" s="206" t="s">
        <v>121</v>
      </c>
      <c r="J5109" s="206" t="s">
        <v>121</v>
      </c>
      <c r="K5109" s="206" t="s">
        <v>121</v>
      </c>
      <c r="L5109" s="206" t="str">
        <v/>
      </c>
      <c r="M5109" s="206" t="str">
        <v/>
      </c>
    </row>
    <row r="5110" spans="1:13" ht="14.4">
      <c r="A5110" s="201"/>
      <c r="B5110" s="209"/>
      <c r="C5110" s="201"/>
      <c r="D5110" s="201"/>
      <c r="E5110" s="202"/>
      <c r="F5110" s="210"/>
      <c r="G5110" s="210"/>
      <c r="H5110" s="206" t="s">
        <v>121</v>
      </c>
      <c r="I5110" s="206" t="s">
        <v>121</v>
      </c>
      <c r="J5110" s="206" t="s">
        <v>121</v>
      </c>
      <c r="K5110" s="206" t="s">
        <v>121</v>
      </c>
      <c r="L5110" s="206" t="str">
        <v/>
      </c>
      <c r="M5110" s="206" t="str">
        <v/>
      </c>
    </row>
    <row r="5111" spans="1:13" ht="14.4">
      <c r="A5111" s="201"/>
      <c r="B5111" s="209"/>
      <c r="C5111" s="201"/>
      <c r="D5111" s="201"/>
      <c r="E5111" s="202"/>
      <c r="F5111" s="210"/>
      <c r="G5111" s="210"/>
      <c r="H5111" s="206" t="s">
        <v>121</v>
      </c>
      <c r="I5111" s="206" t="s">
        <v>121</v>
      </c>
      <c r="J5111" s="206" t="s">
        <v>121</v>
      </c>
      <c r="K5111" s="206" t="s">
        <v>121</v>
      </c>
      <c r="L5111" s="206" t="str">
        <v/>
      </c>
      <c r="M5111" s="206" t="str">
        <v/>
      </c>
    </row>
    <row r="5112" spans="1:13" ht="14.4">
      <c r="A5112" s="201"/>
      <c r="B5112" s="209"/>
      <c r="C5112" s="201"/>
      <c r="D5112" s="201"/>
      <c r="E5112" s="202"/>
      <c r="F5112" s="210"/>
      <c r="G5112" s="210"/>
      <c r="H5112" s="206" t="s">
        <v>121</v>
      </c>
      <c r="I5112" s="206" t="s">
        <v>121</v>
      </c>
      <c r="J5112" s="206" t="s">
        <v>121</v>
      </c>
      <c r="K5112" s="206" t="s">
        <v>121</v>
      </c>
      <c r="L5112" s="206" t="str">
        <v/>
      </c>
      <c r="M5112" s="206" t="str">
        <v/>
      </c>
    </row>
    <row r="5113" spans="1:13" ht="14.4">
      <c r="A5113" s="201"/>
      <c r="B5113" s="209"/>
      <c r="C5113" s="201"/>
      <c r="D5113" s="201"/>
      <c r="E5113" s="202"/>
      <c r="F5113" s="210"/>
      <c r="G5113" s="210"/>
      <c r="H5113" s="206" t="s">
        <v>121</v>
      </c>
      <c r="I5113" s="206" t="s">
        <v>121</v>
      </c>
      <c r="J5113" s="206" t="s">
        <v>121</v>
      </c>
      <c r="K5113" s="206" t="s">
        <v>121</v>
      </c>
      <c r="L5113" s="206" t="str">
        <v/>
      </c>
      <c r="M5113" s="206" t="str">
        <v/>
      </c>
    </row>
    <row r="5114" spans="1:13" ht="14.4">
      <c r="A5114" s="201"/>
      <c r="B5114" s="209"/>
      <c r="C5114" s="201"/>
      <c r="D5114" s="201"/>
      <c r="E5114" s="202"/>
      <c r="F5114" s="210"/>
      <c r="G5114" s="210"/>
      <c r="H5114" s="206" t="s">
        <v>121</v>
      </c>
      <c r="I5114" s="206" t="s">
        <v>121</v>
      </c>
      <c r="J5114" s="206" t="s">
        <v>121</v>
      </c>
      <c r="K5114" s="206" t="s">
        <v>121</v>
      </c>
      <c r="L5114" s="206" t="str">
        <v/>
      </c>
      <c r="M5114" s="206" t="str">
        <v/>
      </c>
    </row>
    <row r="5115" spans="1:13" ht="14.4">
      <c r="A5115" s="201"/>
      <c r="B5115" s="209"/>
      <c r="C5115" s="201"/>
      <c r="D5115" s="201"/>
      <c r="E5115" s="202"/>
      <c r="F5115" s="210"/>
      <c r="G5115" s="210"/>
      <c r="H5115" s="206" t="s">
        <v>121</v>
      </c>
      <c r="I5115" s="206" t="s">
        <v>121</v>
      </c>
      <c r="J5115" s="206" t="s">
        <v>121</v>
      </c>
      <c r="K5115" s="206" t="s">
        <v>121</v>
      </c>
      <c r="L5115" s="206" t="str">
        <v/>
      </c>
      <c r="M5115" s="206" t="str">
        <v/>
      </c>
    </row>
    <row r="5116" spans="1:13" ht="14.4">
      <c r="A5116" s="201"/>
      <c r="B5116" s="209"/>
      <c r="C5116" s="201"/>
      <c r="D5116" s="201"/>
      <c r="E5116" s="202"/>
      <c r="F5116" s="210"/>
      <c r="G5116" s="210"/>
      <c r="H5116" s="206" t="s">
        <v>121</v>
      </c>
      <c r="I5116" s="206" t="s">
        <v>121</v>
      </c>
      <c r="J5116" s="206" t="s">
        <v>121</v>
      </c>
      <c r="K5116" s="206" t="s">
        <v>121</v>
      </c>
      <c r="L5116" s="206" t="str">
        <v/>
      </c>
      <c r="M5116" s="206" t="str">
        <v/>
      </c>
    </row>
    <row r="5117" spans="1:13" ht="14.4">
      <c r="A5117" s="201"/>
      <c r="B5117" s="209"/>
      <c r="C5117" s="201"/>
      <c r="D5117" s="201"/>
      <c r="E5117" s="202"/>
      <c r="F5117" s="210"/>
      <c r="G5117" s="210"/>
      <c r="H5117" s="206" t="s">
        <v>121</v>
      </c>
      <c r="I5117" s="206" t="s">
        <v>121</v>
      </c>
      <c r="J5117" s="206" t="s">
        <v>121</v>
      </c>
      <c r="K5117" s="206" t="s">
        <v>121</v>
      </c>
      <c r="L5117" s="206" t="str">
        <v/>
      </c>
      <c r="M5117" s="206" t="str">
        <v/>
      </c>
    </row>
    <row r="5118" spans="1:13" ht="14.4">
      <c r="A5118" s="201"/>
      <c r="B5118" s="209"/>
      <c r="C5118" s="201"/>
      <c r="D5118" s="201"/>
      <c r="E5118" s="202"/>
      <c r="F5118" s="210"/>
      <c r="G5118" s="210"/>
      <c r="H5118" s="206" t="s">
        <v>121</v>
      </c>
      <c r="I5118" s="206" t="s">
        <v>121</v>
      </c>
      <c r="J5118" s="206" t="s">
        <v>121</v>
      </c>
      <c r="K5118" s="206" t="s">
        <v>121</v>
      </c>
      <c r="L5118" s="206" t="str">
        <v/>
      </c>
      <c r="M5118" s="206" t="str">
        <v/>
      </c>
    </row>
    <row r="5119" spans="1:13" ht="14.4">
      <c r="A5119" s="201"/>
      <c r="B5119" s="209"/>
      <c r="C5119" s="201"/>
      <c r="D5119" s="201"/>
      <c r="E5119" s="202"/>
      <c r="F5119" s="210"/>
      <c r="G5119" s="210"/>
      <c r="H5119" s="206" t="s">
        <v>121</v>
      </c>
      <c r="I5119" s="206" t="s">
        <v>121</v>
      </c>
      <c r="J5119" s="206" t="s">
        <v>121</v>
      </c>
      <c r="K5119" s="206" t="s">
        <v>121</v>
      </c>
      <c r="L5119" s="206" t="str">
        <v/>
      </c>
      <c r="M5119" s="206" t="str">
        <v/>
      </c>
    </row>
    <row r="5120" spans="1:13" ht="14.4">
      <c r="A5120" s="201"/>
      <c r="B5120" s="209"/>
      <c r="C5120" s="201"/>
      <c r="D5120" s="201"/>
      <c r="E5120" s="202"/>
      <c r="F5120" s="210"/>
      <c r="G5120" s="210"/>
      <c r="H5120" s="206" t="s">
        <v>121</v>
      </c>
      <c r="I5120" s="206" t="s">
        <v>121</v>
      </c>
      <c r="J5120" s="206" t="s">
        <v>121</v>
      </c>
      <c r="K5120" s="206" t="s">
        <v>121</v>
      </c>
      <c r="L5120" s="206" t="str">
        <v/>
      </c>
      <c r="M5120" s="206" t="str">
        <v/>
      </c>
    </row>
    <row r="5121" spans="1:13" ht="14.4">
      <c r="A5121" s="201"/>
      <c r="B5121" s="209"/>
      <c r="C5121" s="201"/>
      <c r="D5121" s="201"/>
      <c r="E5121" s="202"/>
      <c r="F5121" s="210"/>
      <c r="G5121" s="210"/>
      <c r="H5121" s="206" t="s">
        <v>121</v>
      </c>
      <c r="I5121" s="206" t="s">
        <v>121</v>
      </c>
      <c r="J5121" s="206" t="s">
        <v>121</v>
      </c>
      <c r="K5121" s="206" t="s">
        <v>121</v>
      </c>
      <c r="L5121" s="206" t="str">
        <v/>
      </c>
      <c r="M5121" s="206" t="str">
        <v/>
      </c>
    </row>
    <row r="5122" spans="1:13" ht="14.4">
      <c r="A5122" s="201"/>
      <c r="B5122" s="209"/>
      <c r="C5122" s="201"/>
      <c r="D5122" s="201"/>
      <c r="E5122" s="202"/>
      <c r="F5122" s="210"/>
      <c r="G5122" s="210"/>
      <c r="H5122" s="206" t="s">
        <v>121</v>
      </c>
      <c r="I5122" s="206" t="s">
        <v>121</v>
      </c>
      <c r="J5122" s="206" t="s">
        <v>121</v>
      </c>
      <c r="K5122" s="206" t="s">
        <v>121</v>
      </c>
      <c r="L5122" s="206" t="str">
        <v/>
      </c>
      <c r="M5122" s="206" t="str">
        <v/>
      </c>
    </row>
    <row r="5123" spans="1:13" ht="14.4">
      <c r="A5123" s="201"/>
      <c r="B5123" s="209"/>
      <c r="C5123" s="201"/>
      <c r="D5123" s="201"/>
      <c r="E5123" s="202"/>
      <c r="F5123" s="210"/>
      <c r="G5123" s="210"/>
      <c r="H5123" s="206" t="s">
        <v>121</v>
      </c>
      <c r="I5123" s="206" t="s">
        <v>121</v>
      </c>
      <c r="J5123" s="206" t="s">
        <v>121</v>
      </c>
      <c r="K5123" s="206" t="s">
        <v>121</v>
      </c>
      <c r="L5123" s="206" t="str">
        <v/>
      </c>
      <c r="M5123" s="206" t="str">
        <v/>
      </c>
    </row>
    <row r="5124" spans="1:13" ht="14.4">
      <c r="A5124" s="201"/>
      <c r="B5124" s="209"/>
      <c r="C5124" s="201"/>
      <c r="D5124" s="201"/>
      <c r="E5124" s="202"/>
      <c r="F5124" s="210"/>
      <c r="G5124" s="210"/>
      <c r="H5124" s="206" t="s">
        <v>121</v>
      </c>
      <c r="I5124" s="206" t="s">
        <v>121</v>
      </c>
      <c r="J5124" s="206" t="s">
        <v>121</v>
      </c>
      <c r="K5124" s="206" t="s">
        <v>121</v>
      </c>
      <c r="L5124" s="206" t="str">
        <v/>
      </c>
      <c r="M5124" s="206" t="str">
        <v/>
      </c>
    </row>
    <row r="5125" spans="1:13" ht="14.4">
      <c r="A5125" s="201"/>
      <c r="B5125" s="209"/>
      <c r="C5125" s="201"/>
      <c r="D5125" s="201"/>
      <c r="E5125" s="202"/>
      <c r="F5125" s="210"/>
      <c r="G5125" s="210"/>
      <c r="H5125" s="206" t="s">
        <v>121</v>
      </c>
      <c r="I5125" s="206" t="s">
        <v>121</v>
      </c>
      <c r="J5125" s="206" t="s">
        <v>121</v>
      </c>
      <c r="K5125" s="206" t="s">
        <v>121</v>
      </c>
      <c r="L5125" s="206" t="str">
        <v/>
      </c>
      <c r="M5125" s="206" t="str">
        <v/>
      </c>
    </row>
    <row r="5126" spans="1:13" ht="14.4">
      <c r="A5126" s="201"/>
      <c r="B5126" s="209"/>
      <c r="C5126" s="201"/>
      <c r="D5126" s="201"/>
      <c r="E5126" s="202"/>
      <c r="F5126" s="210"/>
      <c r="G5126" s="210"/>
      <c r="H5126" s="206" t="s">
        <v>121</v>
      </c>
      <c r="I5126" s="206" t="s">
        <v>121</v>
      </c>
      <c r="J5126" s="206" t="s">
        <v>121</v>
      </c>
      <c r="K5126" s="206" t="s">
        <v>121</v>
      </c>
      <c r="L5126" s="206" t="str">
        <v/>
      </c>
      <c r="M5126" s="206" t="str">
        <v/>
      </c>
    </row>
    <row r="5127" spans="1:13" ht="14.4">
      <c r="A5127" s="201"/>
      <c r="B5127" s="209"/>
      <c r="C5127" s="201"/>
      <c r="D5127" s="201"/>
      <c r="E5127" s="202"/>
      <c r="F5127" s="210"/>
      <c r="G5127" s="210"/>
      <c r="H5127" s="206" t="s">
        <v>121</v>
      </c>
      <c r="I5127" s="206" t="s">
        <v>121</v>
      </c>
      <c r="J5127" s="206" t="s">
        <v>121</v>
      </c>
      <c r="K5127" s="206" t="s">
        <v>121</v>
      </c>
      <c r="L5127" s="206" t="str">
        <v/>
      </c>
      <c r="M5127" s="206" t="str">
        <v/>
      </c>
    </row>
    <row r="5128" spans="1:13" ht="14.4">
      <c r="A5128" s="201"/>
      <c r="B5128" s="209"/>
      <c r="C5128" s="201"/>
      <c r="D5128" s="201"/>
      <c r="E5128" s="202"/>
      <c r="F5128" s="210"/>
      <c r="G5128" s="210"/>
      <c r="H5128" s="206" t="s">
        <v>121</v>
      </c>
      <c r="I5128" s="206" t="s">
        <v>121</v>
      </c>
      <c r="J5128" s="206" t="s">
        <v>121</v>
      </c>
      <c r="K5128" s="206" t="s">
        <v>121</v>
      </c>
      <c r="L5128" s="206" t="str">
        <v/>
      </c>
      <c r="M5128" s="206" t="str">
        <v/>
      </c>
    </row>
    <row r="5129" spans="1:13" ht="14.4">
      <c r="A5129" s="201"/>
      <c r="B5129" s="209"/>
      <c r="C5129" s="201"/>
      <c r="D5129" s="201"/>
      <c r="E5129" s="202"/>
      <c r="F5129" s="210"/>
      <c r="G5129" s="210"/>
      <c r="H5129" s="206" t="s">
        <v>121</v>
      </c>
      <c r="I5129" s="206" t="s">
        <v>121</v>
      </c>
      <c r="J5129" s="206" t="s">
        <v>121</v>
      </c>
      <c r="K5129" s="206" t="s">
        <v>121</v>
      </c>
      <c r="L5129" s="206" t="str">
        <v/>
      </c>
      <c r="M5129" s="206" t="str">
        <v/>
      </c>
    </row>
    <row r="5130" spans="1:13" ht="14.4">
      <c r="A5130" s="201"/>
      <c r="B5130" s="209"/>
      <c r="C5130" s="201"/>
      <c r="D5130" s="201"/>
      <c r="E5130" s="202"/>
      <c r="F5130" s="210"/>
      <c r="G5130" s="210"/>
      <c r="H5130" s="206" t="s">
        <v>121</v>
      </c>
      <c r="I5130" s="206" t="s">
        <v>121</v>
      </c>
      <c r="J5130" s="206" t="s">
        <v>121</v>
      </c>
      <c r="K5130" s="206" t="s">
        <v>121</v>
      </c>
      <c r="L5130" s="206" t="str">
        <v/>
      </c>
      <c r="M5130" s="206" t="str">
        <v/>
      </c>
    </row>
    <row r="5131" spans="1:13" ht="14.4">
      <c r="A5131" s="201"/>
      <c r="B5131" s="209"/>
      <c r="C5131" s="201"/>
      <c r="D5131" s="201"/>
      <c r="E5131" s="202"/>
      <c r="F5131" s="210"/>
      <c r="G5131" s="210"/>
      <c r="H5131" s="206" t="s">
        <v>121</v>
      </c>
      <c r="I5131" s="206" t="s">
        <v>121</v>
      </c>
      <c r="J5131" s="206" t="s">
        <v>121</v>
      </c>
      <c r="K5131" s="206" t="s">
        <v>121</v>
      </c>
      <c r="L5131" s="206" t="str">
        <v/>
      </c>
      <c r="M5131" s="206" t="str">
        <v/>
      </c>
    </row>
    <row r="5132" spans="1:13" ht="14.4">
      <c r="A5132" s="201"/>
      <c r="B5132" s="209"/>
      <c r="C5132" s="201"/>
      <c r="D5132" s="201"/>
      <c r="E5132" s="202"/>
      <c r="F5132" s="210"/>
      <c r="G5132" s="210"/>
      <c r="H5132" s="206" t="s">
        <v>121</v>
      </c>
      <c r="I5132" s="206" t="s">
        <v>121</v>
      </c>
      <c r="J5132" s="206" t="s">
        <v>121</v>
      </c>
      <c r="K5132" s="206" t="s">
        <v>121</v>
      </c>
      <c r="L5132" s="206" t="str">
        <v/>
      </c>
      <c r="M5132" s="206" t="str">
        <v/>
      </c>
    </row>
    <row r="5133" spans="1:13" ht="14.4">
      <c r="A5133" s="201"/>
      <c r="B5133" s="209"/>
      <c r="C5133" s="201"/>
      <c r="D5133" s="201"/>
      <c r="E5133" s="202"/>
      <c r="F5133" s="210"/>
      <c r="G5133" s="210"/>
      <c r="H5133" s="206" t="s">
        <v>121</v>
      </c>
      <c r="I5133" s="206" t="s">
        <v>121</v>
      </c>
      <c r="J5133" s="206" t="s">
        <v>121</v>
      </c>
      <c r="K5133" s="206" t="s">
        <v>121</v>
      </c>
      <c r="L5133" s="206" t="str">
        <v/>
      </c>
      <c r="M5133" s="206" t="str">
        <v/>
      </c>
    </row>
    <row r="5134" spans="1:13" ht="14.4">
      <c r="A5134" s="201"/>
      <c r="B5134" s="209"/>
      <c r="C5134" s="201"/>
      <c r="D5134" s="201"/>
      <c r="E5134" s="202"/>
      <c r="F5134" s="210"/>
      <c r="G5134" s="210"/>
      <c r="H5134" s="206" t="s">
        <v>121</v>
      </c>
      <c r="I5134" s="206" t="s">
        <v>121</v>
      </c>
      <c r="J5134" s="206" t="s">
        <v>121</v>
      </c>
      <c r="K5134" s="206" t="s">
        <v>121</v>
      </c>
      <c r="L5134" s="206" t="str">
        <v/>
      </c>
      <c r="M5134" s="206" t="str">
        <v/>
      </c>
    </row>
    <row r="5135" spans="1:13" ht="14.4">
      <c r="A5135" s="201"/>
      <c r="B5135" s="209"/>
      <c r="C5135" s="201"/>
      <c r="D5135" s="201"/>
      <c r="E5135" s="202"/>
      <c r="F5135" s="210"/>
      <c r="G5135" s="210"/>
      <c r="H5135" s="206" t="s">
        <v>121</v>
      </c>
      <c r="I5135" s="206" t="s">
        <v>121</v>
      </c>
      <c r="J5135" s="206" t="s">
        <v>121</v>
      </c>
      <c r="K5135" s="206" t="s">
        <v>121</v>
      </c>
      <c r="L5135" s="206" t="str">
        <v/>
      </c>
      <c r="M5135" s="206" t="str">
        <v/>
      </c>
    </row>
    <row r="5136" spans="1:13" ht="14.4">
      <c r="A5136" s="201"/>
      <c r="B5136" s="209"/>
      <c r="C5136" s="201"/>
      <c r="D5136" s="201"/>
      <c r="E5136" s="202"/>
      <c r="F5136" s="210"/>
      <c r="G5136" s="210"/>
      <c r="H5136" s="206" t="s">
        <v>121</v>
      </c>
      <c r="I5136" s="206" t="s">
        <v>121</v>
      </c>
      <c r="J5136" s="206" t="s">
        <v>121</v>
      </c>
      <c r="K5136" s="206" t="s">
        <v>121</v>
      </c>
      <c r="L5136" s="206" t="str">
        <v/>
      </c>
      <c r="M5136" s="206" t="str">
        <v/>
      </c>
    </row>
    <row r="5137" spans="1:13" ht="14.4">
      <c r="A5137" s="201"/>
      <c r="B5137" s="209"/>
      <c r="C5137" s="201"/>
      <c r="D5137" s="201"/>
      <c r="E5137" s="202"/>
      <c r="F5137" s="210"/>
      <c r="G5137" s="210"/>
      <c r="H5137" s="206" t="s">
        <v>121</v>
      </c>
      <c r="I5137" s="206" t="s">
        <v>121</v>
      </c>
      <c r="J5137" s="206" t="s">
        <v>121</v>
      </c>
      <c r="K5137" s="206" t="s">
        <v>121</v>
      </c>
      <c r="L5137" s="206" t="str">
        <v/>
      </c>
      <c r="M5137" s="206" t="str">
        <v/>
      </c>
    </row>
    <row r="5138" spans="1:13" ht="14.4">
      <c r="A5138" s="201"/>
      <c r="B5138" s="209"/>
      <c r="C5138" s="201"/>
      <c r="D5138" s="201"/>
      <c r="E5138" s="202"/>
      <c r="F5138" s="210"/>
      <c r="G5138" s="210"/>
      <c r="H5138" s="206" t="s">
        <v>121</v>
      </c>
      <c r="I5138" s="206" t="s">
        <v>121</v>
      </c>
      <c r="J5138" s="206" t="s">
        <v>121</v>
      </c>
      <c r="K5138" s="206" t="s">
        <v>121</v>
      </c>
      <c r="L5138" s="206" t="str">
        <v/>
      </c>
      <c r="M5138" s="206" t="str">
        <v/>
      </c>
    </row>
    <row r="5139" spans="1:13" ht="14.4">
      <c r="A5139" s="201"/>
      <c r="B5139" s="209"/>
      <c r="C5139" s="201"/>
      <c r="D5139" s="201"/>
      <c r="E5139" s="202"/>
      <c r="F5139" s="210"/>
      <c r="G5139" s="210"/>
      <c r="H5139" s="206" t="s">
        <v>121</v>
      </c>
      <c r="I5139" s="206" t="s">
        <v>121</v>
      </c>
      <c r="J5139" s="206" t="s">
        <v>121</v>
      </c>
      <c r="K5139" s="206" t="s">
        <v>121</v>
      </c>
      <c r="L5139" s="206" t="str">
        <v/>
      </c>
      <c r="M5139" s="206" t="str">
        <v/>
      </c>
    </row>
    <row r="5140" spans="1:13" ht="14.4">
      <c r="A5140" s="201"/>
      <c r="B5140" s="209"/>
      <c r="C5140" s="201"/>
      <c r="D5140" s="201"/>
      <c r="E5140" s="202"/>
      <c r="F5140" s="210"/>
      <c r="G5140" s="210"/>
      <c r="H5140" s="206" t="s">
        <v>121</v>
      </c>
      <c r="I5140" s="206" t="s">
        <v>121</v>
      </c>
      <c r="J5140" s="206" t="s">
        <v>121</v>
      </c>
      <c r="K5140" s="206" t="s">
        <v>121</v>
      </c>
      <c r="L5140" s="206" t="str">
        <v/>
      </c>
      <c r="M5140" s="206" t="str">
        <v/>
      </c>
    </row>
    <row r="5141" spans="1:13" ht="14.4">
      <c r="A5141" s="201"/>
      <c r="B5141" s="209"/>
      <c r="C5141" s="201"/>
      <c r="D5141" s="201"/>
      <c r="E5141" s="202"/>
      <c r="F5141" s="210"/>
      <c r="G5141" s="210"/>
      <c r="H5141" s="206" t="s">
        <v>121</v>
      </c>
      <c r="I5141" s="206" t="s">
        <v>121</v>
      </c>
      <c r="J5141" s="206" t="s">
        <v>121</v>
      </c>
      <c r="K5141" s="206" t="s">
        <v>121</v>
      </c>
      <c r="L5141" s="206" t="str">
        <v/>
      </c>
      <c r="M5141" s="206" t="str">
        <v/>
      </c>
    </row>
    <row r="5142" spans="1:13" ht="14.4">
      <c r="A5142" s="201"/>
      <c r="B5142" s="209"/>
      <c r="C5142" s="201"/>
      <c r="D5142" s="201"/>
      <c r="E5142" s="202"/>
      <c r="F5142" s="210"/>
      <c r="G5142" s="210"/>
      <c r="H5142" s="206" t="s">
        <v>121</v>
      </c>
      <c r="I5142" s="206" t="s">
        <v>121</v>
      </c>
      <c r="J5142" s="206" t="s">
        <v>121</v>
      </c>
      <c r="K5142" s="206" t="s">
        <v>121</v>
      </c>
      <c r="L5142" s="206" t="str">
        <v/>
      </c>
      <c r="M5142" s="206" t="str">
        <v/>
      </c>
    </row>
    <row r="5143" spans="1:13" ht="14.4">
      <c r="A5143" s="201"/>
      <c r="B5143" s="209"/>
      <c r="C5143" s="201"/>
      <c r="D5143" s="201"/>
      <c r="E5143" s="202"/>
      <c r="F5143" s="210"/>
      <c r="G5143" s="210"/>
      <c r="H5143" s="206" t="s">
        <v>121</v>
      </c>
      <c r="I5143" s="206" t="s">
        <v>121</v>
      </c>
      <c r="J5143" s="206" t="s">
        <v>121</v>
      </c>
      <c r="K5143" s="206" t="s">
        <v>121</v>
      </c>
      <c r="L5143" s="206" t="str">
        <v/>
      </c>
      <c r="M5143" s="206" t="str">
        <v/>
      </c>
    </row>
    <row r="5144" spans="1:13" ht="14.4">
      <c r="A5144" s="201"/>
      <c r="B5144" s="209"/>
      <c r="C5144" s="201"/>
      <c r="D5144" s="201"/>
      <c r="E5144" s="202"/>
      <c r="F5144" s="210"/>
      <c r="G5144" s="210"/>
      <c r="H5144" s="206" t="s">
        <v>121</v>
      </c>
      <c r="I5144" s="206" t="s">
        <v>121</v>
      </c>
      <c r="J5144" s="206" t="s">
        <v>121</v>
      </c>
      <c r="K5144" s="206" t="s">
        <v>121</v>
      </c>
      <c r="L5144" s="206" t="str">
        <v/>
      </c>
      <c r="M5144" s="206" t="str">
        <v/>
      </c>
    </row>
    <row r="5145" spans="1:13" ht="14.4">
      <c r="A5145" s="201"/>
      <c r="B5145" s="209"/>
      <c r="C5145" s="201"/>
      <c r="D5145" s="201"/>
      <c r="E5145" s="202"/>
      <c r="F5145" s="210"/>
      <c r="G5145" s="210"/>
      <c r="H5145" s="206" t="s">
        <v>121</v>
      </c>
      <c r="I5145" s="206" t="s">
        <v>121</v>
      </c>
      <c r="J5145" s="206" t="s">
        <v>121</v>
      </c>
      <c r="K5145" s="206" t="s">
        <v>121</v>
      </c>
      <c r="L5145" s="206" t="str">
        <v/>
      </c>
      <c r="M5145" s="206" t="str">
        <v/>
      </c>
    </row>
    <row r="5146" spans="1:13" ht="14.4">
      <c r="A5146" s="201"/>
      <c r="B5146" s="209"/>
      <c r="C5146" s="201"/>
      <c r="D5146" s="201"/>
      <c r="E5146" s="202"/>
      <c r="F5146" s="210"/>
      <c r="G5146" s="210"/>
      <c r="H5146" s="206" t="s">
        <v>121</v>
      </c>
      <c r="I5146" s="206" t="s">
        <v>121</v>
      </c>
      <c r="J5146" s="206" t="s">
        <v>121</v>
      </c>
      <c r="K5146" s="206" t="s">
        <v>121</v>
      </c>
      <c r="L5146" s="206" t="str">
        <v/>
      </c>
      <c r="M5146" s="206" t="str">
        <v/>
      </c>
    </row>
    <row r="5147" spans="1:13" ht="14.4">
      <c r="A5147" s="201"/>
      <c r="B5147" s="209"/>
      <c r="C5147" s="201"/>
      <c r="D5147" s="201"/>
      <c r="E5147" s="202"/>
      <c r="F5147" s="210"/>
      <c r="G5147" s="210"/>
      <c r="H5147" s="206" t="s">
        <v>121</v>
      </c>
      <c r="I5147" s="206" t="s">
        <v>121</v>
      </c>
      <c r="J5147" s="206" t="s">
        <v>121</v>
      </c>
      <c r="K5147" s="206" t="s">
        <v>121</v>
      </c>
      <c r="L5147" s="206" t="str">
        <v/>
      </c>
      <c r="M5147" s="206" t="str">
        <v/>
      </c>
    </row>
    <row r="5148" spans="1:13" ht="14.4">
      <c r="A5148" s="201"/>
      <c r="B5148" s="209"/>
      <c r="C5148" s="201"/>
      <c r="D5148" s="201"/>
      <c r="E5148" s="202"/>
      <c r="F5148" s="210"/>
      <c r="G5148" s="210"/>
      <c r="H5148" s="206" t="s">
        <v>121</v>
      </c>
      <c r="I5148" s="206" t="s">
        <v>121</v>
      </c>
      <c r="J5148" s="206" t="s">
        <v>121</v>
      </c>
      <c r="K5148" s="206" t="s">
        <v>121</v>
      </c>
      <c r="L5148" s="206" t="str">
        <v/>
      </c>
      <c r="M5148" s="206" t="str">
        <v/>
      </c>
    </row>
    <row r="5149" spans="1:13" ht="14.4">
      <c r="A5149" s="201"/>
      <c r="B5149" s="209"/>
      <c r="C5149" s="201"/>
      <c r="D5149" s="201"/>
      <c r="E5149" s="202"/>
      <c r="F5149" s="210"/>
      <c r="G5149" s="210"/>
      <c r="H5149" s="206" t="s">
        <v>121</v>
      </c>
      <c r="I5149" s="206" t="s">
        <v>121</v>
      </c>
      <c r="J5149" s="206" t="s">
        <v>121</v>
      </c>
      <c r="K5149" s="206" t="s">
        <v>121</v>
      </c>
      <c r="L5149" s="206" t="str">
        <v/>
      </c>
      <c r="M5149" s="206" t="str">
        <v/>
      </c>
    </row>
    <row r="5150" spans="1:13" ht="14.4">
      <c r="A5150" s="201"/>
      <c r="B5150" s="209"/>
      <c r="C5150" s="201"/>
      <c r="D5150" s="201"/>
      <c r="E5150" s="202"/>
      <c r="F5150" s="210"/>
      <c r="G5150" s="210"/>
      <c r="H5150" s="206" t="s">
        <v>121</v>
      </c>
      <c r="I5150" s="206" t="s">
        <v>121</v>
      </c>
      <c r="J5150" s="206" t="s">
        <v>121</v>
      </c>
      <c r="K5150" s="206" t="s">
        <v>121</v>
      </c>
      <c r="L5150" s="206" t="str">
        <v/>
      </c>
      <c r="M5150" s="206" t="str">
        <v/>
      </c>
    </row>
    <row r="5151" spans="1:13" ht="14.4">
      <c r="A5151" s="201"/>
      <c r="B5151" s="209"/>
      <c r="C5151" s="201"/>
      <c r="D5151" s="201"/>
      <c r="E5151" s="202"/>
      <c r="F5151" s="210"/>
      <c r="G5151" s="210"/>
      <c r="H5151" s="206" t="s">
        <v>121</v>
      </c>
      <c r="I5151" s="206" t="s">
        <v>121</v>
      </c>
      <c r="J5151" s="206" t="s">
        <v>121</v>
      </c>
      <c r="K5151" s="206" t="s">
        <v>121</v>
      </c>
      <c r="L5151" s="206" t="str">
        <v/>
      </c>
      <c r="M5151" s="206" t="str">
        <v/>
      </c>
    </row>
    <row r="5152" spans="1:13" ht="14.4">
      <c r="A5152" s="201"/>
      <c r="B5152" s="209"/>
      <c r="C5152" s="201"/>
      <c r="D5152" s="201"/>
      <c r="E5152" s="202"/>
      <c r="F5152" s="210"/>
      <c r="G5152" s="210"/>
      <c r="H5152" s="206" t="s">
        <v>121</v>
      </c>
      <c r="I5152" s="206" t="s">
        <v>121</v>
      </c>
      <c r="J5152" s="206" t="s">
        <v>121</v>
      </c>
      <c r="K5152" s="206" t="s">
        <v>121</v>
      </c>
      <c r="L5152" s="206" t="str">
        <v/>
      </c>
      <c r="M5152" s="206" t="str">
        <v/>
      </c>
    </row>
    <row r="5153" spans="1:13" ht="14.4">
      <c r="A5153" s="201"/>
      <c r="B5153" s="209"/>
      <c r="C5153" s="201"/>
      <c r="D5153" s="201"/>
      <c r="E5153" s="202"/>
      <c r="F5153" s="210"/>
      <c r="G5153" s="210"/>
      <c r="H5153" s="206" t="s">
        <v>121</v>
      </c>
      <c r="I5153" s="206" t="s">
        <v>121</v>
      </c>
      <c r="J5153" s="206" t="s">
        <v>121</v>
      </c>
      <c r="K5153" s="206" t="s">
        <v>121</v>
      </c>
      <c r="L5153" s="206" t="str">
        <v/>
      </c>
      <c r="M5153" s="206" t="str">
        <v/>
      </c>
    </row>
    <row r="5154" spans="1:13" ht="14.4">
      <c r="A5154" s="201"/>
      <c r="B5154" s="209"/>
      <c r="C5154" s="201"/>
      <c r="D5154" s="201"/>
      <c r="E5154" s="202"/>
      <c r="F5154" s="210"/>
      <c r="G5154" s="210"/>
      <c r="H5154" s="206" t="s">
        <v>121</v>
      </c>
      <c r="I5154" s="206" t="s">
        <v>121</v>
      </c>
      <c r="J5154" s="206" t="s">
        <v>121</v>
      </c>
      <c r="K5154" s="206" t="s">
        <v>121</v>
      </c>
      <c r="L5154" s="206" t="str">
        <v/>
      </c>
      <c r="M5154" s="206" t="str">
        <v/>
      </c>
    </row>
    <row r="5155" spans="1:13" ht="14.4">
      <c r="A5155" s="201"/>
      <c r="B5155" s="209"/>
      <c r="C5155" s="201"/>
      <c r="D5155" s="201"/>
      <c r="E5155" s="202"/>
      <c r="F5155" s="210"/>
      <c r="G5155" s="210"/>
      <c r="H5155" s="206" t="s">
        <v>121</v>
      </c>
      <c r="I5155" s="206" t="s">
        <v>121</v>
      </c>
      <c r="J5155" s="206" t="s">
        <v>121</v>
      </c>
      <c r="K5155" s="206" t="s">
        <v>121</v>
      </c>
      <c r="L5155" s="206" t="str">
        <v/>
      </c>
      <c r="M5155" s="206" t="str">
        <v/>
      </c>
    </row>
    <row r="5156" spans="1:13" ht="14.4">
      <c r="A5156" s="201"/>
      <c r="B5156" s="209"/>
      <c r="C5156" s="201"/>
      <c r="D5156" s="201"/>
      <c r="E5156" s="202"/>
      <c r="F5156" s="210"/>
      <c r="G5156" s="210"/>
      <c r="H5156" s="206" t="s">
        <v>121</v>
      </c>
      <c r="I5156" s="206" t="s">
        <v>121</v>
      </c>
      <c r="J5156" s="206" t="s">
        <v>121</v>
      </c>
      <c r="K5156" s="206" t="s">
        <v>121</v>
      </c>
      <c r="L5156" s="206" t="str">
        <v/>
      </c>
      <c r="M5156" s="206" t="str">
        <v/>
      </c>
    </row>
    <row r="5157" spans="1:13" ht="14.4">
      <c r="A5157" s="201"/>
      <c r="B5157" s="209"/>
      <c r="C5157" s="201"/>
      <c r="D5157" s="201"/>
      <c r="E5157" s="202"/>
      <c r="F5157" s="210"/>
      <c r="G5157" s="210"/>
      <c r="H5157" s="206" t="s">
        <v>121</v>
      </c>
      <c r="I5157" s="206" t="s">
        <v>121</v>
      </c>
      <c r="J5157" s="206" t="s">
        <v>121</v>
      </c>
      <c r="K5157" s="206" t="s">
        <v>121</v>
      </c>
      <c r="L5157" s="206" t="str">
        <v/>
      </c>
      <c r="M5157" s="206" t="str">
        <v/>
      </c>
    </row>
    <row r="5158" spans="1:13" ht="14.4">
      <c r="A5158" s="201"/>
      <c r="B5158" s="209"/>
      <c r="C5158" s="201"/>
      <c r="D5158" s="201"/>
      <c r="E5158" s="202"/>
      <c r="F5158" s="210"/>
      <c r="G5158" s="210"/>
      <c r="H5158" s="206" t="s">
        <v>121</v>
      </c>
      <c r="I5158" s="206" t="s">
        <v>121</v>
      </c>
      <c r="J5158" s="206" t="s">
        <v>121</v>
      </c>
      <c r="K5158" s="206" t="s">
        <v>121</v>
      </c>
      <c r="L5158" s="206" t="str">
        <v/>
      </c>
      <c r="M5158" s="206" t="str">
        <v/>
      </c>
    </row>
    <row r="5159" spans="1:13" ht="14.4">
      <c r="A5159" s="201"/>
      <c r="B5159" s="209"/>
      <c r="C5159" s="201"/>
      <c r="D5159" s="201"/>
      <c r="E5159" s="202"/>
      <c r="F5159" s="210"/>
      <c r="G5159" s="210"/>
      <c r="H5159" s="206" t="s">
        <v>121</v>
      </c>
      <c r="I5159" s="206" t="s">
        <v>121</v>
      </c>
      <c r="J5159" s="206" t="s">
        <v>121</v>
      </c>
      <c r="K5159" s="206" t="s">
        <v>121</v>
      </c>
      <c r="L5159" s="206" t="str">
        <v/>
      </c>
      <c r="M5159" s="206" t="str">
        <v/>
      </c>
    </row>
    <row r="5160" spans="1:13" ht="14.4">
      <c r="A5160" s="201"/>
      <c r="B5160" s="209"/>
      <c r="C5160" s="201"/>
      <c r="D5160" s="201"/>
      <c r="E5160" s="202"/>
      <c r="F5160" s="210"/>
      <c r="G5160" s="210"/>
      <c r="H5160" s="206" t="s">
        <v>121</v>
      </c>
      <c r="I5160" s="206" t="s">
        <v>121</v>
      </c>
      <c r="J5160" s="206" t="s">
        <v>121</v>
      </c>
      <c r="K5160" s="206" t="s">
        <v>121</v>
      </c>
      <c r="L5160" s="206" t="str">
        <v/>
      </c>
      <c r="M5160" s="206" t="str">
        <v/>
      </c>
    </row>
    <row r="5161" spans="1:13" ht="14.4">
      <c r="A5161" s="201"/>
      <c r="B5161" s="209"/>
      <c r="C5161" s="201"/>
      <c r="D5161" s="201"/>
      <c r="E5161" s="202"/>
      <c r="F5161" s="210"/>
      <c r="G5161" s="210"/>
      <c r="H5161" s="206" t="s">
        <v>121</v>
      </c>
      <c r="I5161" s="206" t="s">
        <v>121</v>
      </c>
      <c r="J5161" s="206" t="s">
        <v>121</v>
      </c>
      <c r="K5161" s="206" t="s">
        <v>121</v>
      </c>
      <c r="L5161" s="206" t="str">
        <v/>
      </c>
      <c r="M5161" s="206" t="str">
        <v/>
      </c>
    </row>
    <row r="5162" spans="1:13" ht="14.4">
      <c r="A5162" s="201"/>
      <c r="B5162" s="209"/>
      <c r="C5162" s="201"/>
      <c r="D5162" s="201"/>
      <c r="E5162" s="202"/>
      <c r="F5162" s="210"/>
      <c r="G5162" s="210"/>
      <c r="H5162" s="206" t="s">
        <v>121</v>
      </c>
      <c r="I5162" s="206" t="s">
        <v>121</v>
      </c>
      <c r="J5162" s="206" t="s">
        <v>121</v>
      </c>
      <c r="K5162" s="206" t="s">
        <v>121</v>
      </c>
      <c r="L5162" s="206" t="str">
        <v/>
      </c>
      <c r="M5162" s="206" t="str">
        <v/>
      </c>
    </row>
    <row r="5163" spans="1:13" ht="14.4">
      <c r="A5163" s="201"/>
      <c r="B5163" s="209"/>
      <c r="C5163" s="201"/>
      <c r="D5163" s="201"/>
      <c r="E5163" s="202"/>
      <c r="F5163" s="210"/>
      <c r="G5163" s="210"/>
      <c r="H5163" s="206" t="s">
        <v>121</v>
      </c>
      <c r="I5163" s="206" t="s">
        <v>121</v>
      </c>
      <c r="J5163" s="206" t="s">
        <v>121</v>
      </c>
      <c r="K5163" s="206" t="s">
        <v>121</v>
      </c>
      <c r="L5163" s="206" t="str">
        <v/>
      </c>
      <c r="M5163" s="206" t="str">
        <v/>
      </c>
    </row>
    <row r="5164" spans="1:13" ht="14.4">
      <c r="A5164" s="201"/>
      <c r="B5164" s="209"/>
      <c r="C5164" s="201"/>
      <c r="D5164" s="201"/>
      <c r="E5164" s="202"/>
      <c r="F5164" s="210"/>
      <c r="G5164" s="210"/>
      <c r="H5164" s="206" t="s">
        <v>121</v>
      </c>
      <c r="I5164" s="206" t="s">
        <v>121</v>
      </c>
      <c r="J5164" s="206" t="s">
        <v>121</v>
      </c>
      <c r="K5164" s="206" t="s">
        <v>121</v>
      </c>
      <c r="L5164" s="206" t="str">
        <v/>
      </c>
      <c r="M5164" s="206" t="str">
        <v/>
      </c>
    </row>
    <row r="5165" spans="1:13" ht="14.4">
      <c r="A5165" s="201"/>
      <c r="B5165" s="209"/>
      <c r="C5165" s="201"/>
      <c r="D5165" s="201"/>
      <c r="E5165" s="202"/>
      <c r="F5165" s="210"/>
      <c r="G5165" s="210"/>
      <c r="H5165" s="206" t="s">
        <v>121</v>
      </c>
      <c r="I5165" s="206" t="s">
        <v>121</v>
      </c>
      <c r="J5165" s="206" t="s">
        <v>121</v>
      </c>
      <c r="K5165" s="206" t="s">
        <v>121</v>
      </c>
      <c r="L5165" s="206" t="str">
        <v/>
      </c>
      <c r="M5165" s="206" t="str">
        <v/>
      </c>
    </row>
    <row r="5166" spans="1:13" ht="14.4">
      <c r="A5166" s="201"/>
      <c r="B5166" s="209"/>
      <c r="C5166" s="201"/>
      <c r="D5166" s="201"/>
      <c r="E5166" s="202"/>
      <c r="F5166" s="210"/>
      <c r="G5166" s="210"/>
      <c r="H5166" s="206" t="s">
        <v>121</v>
      </c>
      <c r="I5166" s="206" t="s">
        <v>121</v>
      </c>
      <c r="J5166" s="206" t="s">
        <v>121</v>
      </c>
      <c r="K5166" s="206" t="s">
        <v>121</v>
      </c>
      <c r="L5166" s="206" t="str">
        <v/>
      </c>
      <c r="M5166" s="206" t="str">
        <v/>
      </c>
    </row>
    <row r="5167" spans="1:13" ht="14.4">
      <c r="A5167" s="201"/>
      <c r="B5167" s="209"/>
      <c r="C5167" s="201"/>
      <c r="D5167" s="201"/>
      <c r="E5167" s="202"/>
      <c r="F5167" s="210"/>
      <c r="G5167" s="210"/>
      <c r="H5167" s="206" t="s">
        <v>121</v>
      </c>
      <c r="I5167" s="206" t="s">
        <v>121</v>
      </c>
      <c r="J5167" s="206" t="s">
        <v>121</v>
      </c>
      <c r="K5167" s="206" t="s">
        <v>121</v>
      </c>
      <c r="L5167" s="206" t="str">
        <v/>
      </c>
      <c r="M5167" s="206" t="str">
        <v/>
      </c>
    </row>
    <row r="5168" spans="1:13" ht="14.4">
      <c r="A5168" s="201"/>
      <c r="B5168" s="209"/>
      <c r="C5168" s="201"/>
      <c r="D5168" s="201"/>
      <c r="E5168" s="202"/>
      <c r="F5168" s="210"/>
      <c r="G5168" s="210"/>
      <c r="H5168" s="206" t="s">
        <v>121</v>
      </c>
      <c r="I5168" s="206" t="s">
        <v>121</v>
      </c>
      <c r="J5168" s="206" t="s">
        <v>121</v>
      </c>
      <c r="K5168" s="206" t="s">
        <v>121</v>
      </c>
      <c r="L5168" s="206" t="str">
        <v/>
      </c>
      <c r="M5168" s="206" t="str">
        <v/>
      </c>
    </row>
    <row r="5169" spans="1:13" ht="14.4">
      <c r="A5169" s="201"/>
      <c r="B5169" s="209"/>
      <c r="C5169" s="201"/>
      <c r="D5169" s="201"/>
      <c r="E5169" s="202"/>
      <c r="F5169" s="210"/>
      <c r="G5169" s="210"/>
      <c r="H5169" s="206" t="s">
        <v>121</v>
      </c>
      <c r="I5169" s="206" t="s">
        <v>121</v>
      </c>
      <c r="J5169" s="206" t="s">
        <v>121</v>
      </c>
      <c r="K5169" s="206" t="s">
        <v>121</v>
      </c>
      <c r="L5169" s="206" t="str">
        <v/>
      </c>
      <c r="M5169" s="206" t="str">
        <v/>
      </c>
    </row>
    <row r="5170" spans="1:13" ht="14.4">
      <c r="A5170" s="201"/>
      <c r="B5170" s="209"/>
      <c r="C5170" s="201"/>
      <c r="D5170" s="201"/>
      <c r="E5170" s="202"/>
      <c r="F5170" s="210"/>
      <c r="G5170" s="210"/>
      <c r="H5170" s="206" t="s">
        <v>121</v>
      </c>
      <c r="I5170" s="206" t="s">
        <v>121</v>
      </c>
      <c r="J5170" s="206" t="s">
        <v>121</v>
      </c>
      <c r="K5170" s="206" t="s">
        <v>121</v>
      </c>
      <c r="L5170" s="206" t="str">
        <v/>
      </c>
      <c r="M5170" s="206" t="str">
        <v/>
      </c>
    </row>
    <row r="5171" spans="1:13" ht="14.4">
      <c r="A5171" s="201"/>
      <c r="B5171" s="209"/>
      <c r="C5171" s="201"/>
      <c r="D5171" s="201"/>
      <c r="E5171" s="202"/>
      <c r="F5171" s="210"/>
      <c r="G5171" s="210"/>
      <c r="H5171" s="206" t="s">
        <v>121</v>
      </c>
      <c r="I5171" s="206" t="s">
        <v>121</v>
      </c>
      <c r="J5171" s="206" t="s">
        <v>121</v>
      </c>
      <c r="K5171" s="206" t="s">
        <v>121</v>
      </c>
      <c r="L5171" s="206" t="str">
        <v/>
      </c>
      <c r="M5171" s="206" t="str">
        <v/>
      </c>
    </row>
    <row r="5172" spans="1:13" ht="14.4">
      <c r="A5172" s="201"/>
      <c r="B5172" s="209"/>
      <c r="C5172" s="201"/>
      <c r="D5172" s="201"/>
      <c r="E5172" s="202"/>
      <c r="F5172" s="210"/>
      <c r="G5172" s="210"/>
      <c r="H5172" s="206" t="s">
        <v>121</v>
      </c>
      <c r="I5172" s="206" t="s">
        <v>121</v>
      </c>
      <c r="J5172" s="206" t="s">
        <v>121</v>
      </c>
      <c r="K5172" s="206" t="s">
        <v>121</v>
      </c>
      <c r="L5172" s="206" t="str">
        <v/>
      </c>
      <c r="M5172" s="206" t="str">
        <v/>
      </c>
    </row>
    <row r="5173" spans="1:13" ht="14.4">
      <c r="A5173" s="201"/>
      <c r="B5173" s="209"/>
      <c r="C5173" s="201"/>
      <c r="D5173" s="201"/>
      <c r="E5173" s="202"/>
      <c r="F5173" s="210"/>
      <c r="G5173" s="210"/>
      <c r="H5173" s="206" t="s">
        <v>121</v>
      </c>
      <c r="I5173" s="206" t="s">
        <v>121</v>
      </c>
      <c r="J5173" s="206" t="s">
        <v>121</v>
      </c>
      <c r="K5173" s="206" t="s">
        <v>121</v>
      </c>
      <c r="L5173" s="206" t="str">
        <v/>
      </c>
      <c r="M5173" s="206" t="str">
        <v/>
      </c>
    </row>
    <row r="5174" spans="1:13" ht="14.4">
      <c r="A5174" s="201"/>
      <c r="B5174" s="209"/>
      <c r="C5174" s="201"/>
      <c r="D5174" s="201"/>
      <c r="E5174" s="202"/>
      <c r="F5174" s="210"/>
      <c r="G5174" s="210"/>
      <c r="H5174" s="206" t="s">
        <v>121</v>
      </c>
      <c r="I5174" s="206" t="s">
        <v>121</v>
      </c>
      <c r="J5174" s="206" t="s">
        <v>121</v>
      </c>
      <c r="K5174" s="206" t="s">
        <v>121</v>
      </c>
      <c r="L5174" s="206" t="str">
        <v/>
      </c>
      <c r="M5174" s="206" t="str">
        <v/>
      </c>
    </row>
    <row r="5175" spans="1:13" ht="14.4">
      <c r="A5175" s="201"/>
      <c r="B5175" s="209"/>
      <c r="C5175" s="201"/>
      <c r="D5175" s="201"/>
      <c r="E5175" s="202"/>
      <c r="F5175" s="210"/>
      <c r="G5175" s="210"/>
      <c r="H5175" s="206" t="s">
        <v>121</v>
      </c>
      <c r="I5175" s="206" t="s">
        <v>121</v>
      </c>
      <c r="J5175" s="206" t="s">
        <v>121</v>
      </c>
      <c r="K5175" s="206" t="s">
        <v>121</v>
      </c>
      <c r="L5175" s="206" t="str">
        <v/>
      </c>
      <c r="M5175" s="206" t="str">
        <v/>
      </c>
    </row>
    <row r="5176" spans="1:13" ht="14.4">
      <c r="A5176" s="201"/>
      <c r="B5176" s="209"/>
      <c r="C5176" s="201"/>
      <c r="D5176" s="201"/>
      <c r="E5176" s="202"/>
      <c r="F5176" s="210"/>
      <c r="G5176" s="210"/>
      <c r="H5176" s="206" t="s">
        <v>121</v>
      </c>
      <c r="I5176" s="206" t="s">
        <v>121</v>
      </c>
      <c r="J5176" s="206" t="s">
        <v>121</v>
      </c>
      <c r="K5176" s="206" t="s">
        <v>121</v>
      </c>
      <c r="L5176" s="206" t="str">
        <v/>
      </c>
      <c r="M5176" s="206" t="str">
        <v/>
      </c>
    </row>
    <row r="5177" spans="1:13" ht="14.4">
      <c r="A5177" s="201"/>
      <c r="B5177" s="209"/>
      <c r="C5177" s="201"/>
      <c r="D5177" s="201"/>
      <c r="E5177" s="202"/>
      <c r="F5177" s="210"/>
      <c r="G5177" s="210"/>
      <c r="H5177" s="206" t="s">
        <v>121</v>
      </c>
      <c r="I5177" s="206" t="s">
        <v>121</v>
      </c>
      <c r="J5177" s="206" t="s">
        <v>121</v>
      </c>
      <c r="K5177" s="206" t="s">
        <v>121</v>
      </c>
      <c r="L5177" s="206" t="str">
        <v/>
      </c>
      <c r="M5177" s="206" t="str">
        <v/>
      </c>
    </row>
    <row r="5178" spans="1:13" ht="14.4">
      <c r="A5178" s="201"/>
      <c r="B5178" s="209"/>
      <c r="C5178" s="201"/>
      <c r="D5178" s="201"/>
      <c r="E5178" s="202"/>
      <c r="F5178" s="210"/>
      <c r="G5178" s="210"/>
      <c r="H5178" s="206" t="s">
        <v>121</v>
      </c>
      <c r="I5178" s="206" t="s">
        <v>121</v>
      </c>
      <c r="J5178" s="206" t="s">
        <v>121</v>
      </c>
      <c r="K5178" s="206" t="s">
        <v>121</v>
      </c>
      <c r="L5178" s="206" t="str">
        <v/>
      </c>
      <c r="M5178" s="206" t="str">
        <v/>
      </c>
    </row>
    <row r="5179" spans="1:13" ht="14.4">
      <c r="A5179" s="201"/>
      <c r="B5179" s="209"/>
      <c r="C5179" s="201"/>
      <c r="D5179" s="201"/>
      <c r="E5179" s="202"/>
      <c r="F5179" s="210"/>
      <c r="G5179" s="210"/>
      <c r="H5179" s="206" t="s">
        <v>121</v>
      </c>
      <c r="I5179" s="206" t="s">
        <v>121</v>
      </c>
      <c r="J5179" s="206" t="s">
        <v>121</v>
      </c>
      <c r="K5179" s="206" t="s">
        <v>121</v>
      </c>
      <c r="L5179" s="206" t="str">
        <v/>
      </c>
      <c r="M5179" s="206" t="str">
        <v/>
      </c>
    </row>
    <row r="5180" spans="1:13" ht="14.4">
      <c r="A5180" s="201"/>
      <c r="B5180" s="209"/>
      <c r="C5180" s="201"/>
      <c r="D5180" s="201"/>
      <c r="E5180" s="202"/>
      <c r="F5180" s="210"/>
      <c r="G5180" s="210"/>
      <c r="H5180" s="206" t="s">
        <v>121</v>
      </c>
      <c r="I5180" s="206" t="s">
        <v>121</v>
      </c>
      <c r="J5180" s="206" t="s">
        <v>121</v>
      </c>
      <c r="K5180" s="206" t="s">
        <v>121</v>
      </c>
      <c r="L5180" s="206" t="str">
        <v/>
      </c>
      <c r="M5180" s="206" t="str">
        <v/>
      </c>
    </row>
    <row r="5181" spans="1:13" ht="14.4">
      <c r="A5181" s="201"/>
      <c r="B5181" s="209"/>
      <c r="C5181" s="201"/>
      <c r="D5181" s="201"/>
      <c r="E5181" s="202"/>
      <c r="F5181" s="210"/>
      <c r="G5181" s="210"/>
      <c r="H5181" s="206" t="s">
        <v>121</v>
      </c>
      <c r="I5181" s="206" t="s">
        <v>121</v>
      </c>
      <c r="J5181" s="206" t="s">
        <v>121</v>
      </c>
      <c r="K5181" s="206" t="s">
        <v>121</v>
      </c>
      <c r="L5181" s="206" t="str">
        <v/>
      </c>
      <c r="M5181" s="206" t="str">
        <v/>
      </c>
    </row>
    <row r="5182" spans="1:13" ht="14.4">
      <c r="A5182" s="201"/>
      <c r="B5182" s="209"/>
      <c r="C5182" s="201"/>
      <c r="D5182" s="201"/>
      <c r="E5182" s="202"/>
      <c r="F5182" s="210"/>
      <c r="G5182" s="210"/>
      <c r="H5182" s="206" t="s">
        <v>121</v>
      </c>
      <c r="I5182" s="206" t="s">
        <v>121</v>
      </c>
      <c r="J5182" s="206" t="s">
        <v>121</v>
      </c>
      <c r="K5182" s="206" t="s">
        <v>121</v>
      </c>
      <c r="L5182" s="206" t="str">
        <v/>
      </c>
      <c r="M5182" s="206" t="str">
        <v/>
      </c>
    </row>
    <row r="5183" spans="1:13" ht="14.4">
      <c r="A5183" s="201"/>
      <c r="B5183" s="209"/>
      <c r="C5183" s="201"/>
      <c r="D5183" s="201"/>
      <c r="E5183" s="202"/>
      <c r="F5183" s="210"/>
      <c r="G5183" s="210"/>
      <c r="H5183" s="206" t="s">
        <v>121</v>
      </c>
      <c r="I5183" s="206" t="s">
        <v>121</v>
      </c>
      <c r="J5183" s="206" t="s">
        <v>121</v>
      </c>
      <c r="K5183" s="206" t="s">
        <v>121</v>
      </c>
      <c r="L5183" s="206" t="str">
        <v/>
      </c>
      <c r="M5183" s="206" t="str">
        <v/>
      </c>
    </row>
    <row r="5184" spans="1:13" ht="14.4">
      <c r="A5184" s="201"/>
      <c r="B5184" s="209"/>
      <c r="C5184" s="201"/>
      <c r="D5184" s="201"/>
      <c r="E5184" s="202"/>
      <c r="F5184" s="210"/>
      <c r="G5184" s="210"/>
      <c r="H5184" s="206" t="s">
        <v>121</v>
      </c>
      <c r="I5184" s="206" t="s">
        <v>121</v>
      </c>
      <c r="J5184" s="206" t="s">
        <v>121</v>
      </c>
      <c r="K5184" s="206" t="s">
        <v>121</v>
      </c>
      <c r="L5184" s="206" t="str">
        <v/>
      </c>
      <c r="M5184" s="206" t="str">
        <v/>
      </c>
    </row>
    <row r="5185" spans="1:13" ht="14.4">
      <c r="A5185" s="201"/>
      <c r="B5185" s="209"/>
      <c r="C5185" s="201"/>
      <c r="D5185" s="201"/>
      <c r="E5185" s="202"/>
      <c r="F5185" s="210"/>
      <c r="G5185" s="210"/>
      <c r="H5185" s="206" t="s">
        <v>121</v>
      </c>
      <c r="I5185" s="206" t="s">
        <v>121</v>
      </c>
      <c r="J5185" s="206" t="s">
        <v>121</v>
      </c>
      <c r="K5185" s="206" t="s">
        <v>121</v>
      </c>
      <c r="L5185" s="206" t="str">
        <v/>
      </c>
      <c r="M5185" s="206" t="str">
        <v/>
      </c>
    </row>
    <row r="5186" spans="1:13" ht="14.4">
      <c r="A5186" s="201"/>
      <c r="B5186" s="209"/>
      <c r="C5186" s="201"/>
      <c r="D5186" s="201"/>
      <c r="E5186" s="202"/>
      <c r="F5186" s="210"/>
      <c r="G5186" s="210"/>
      <c r="H5186" s="206" t="s">
        <v>121</v>
      </c>
      <c r="I5186" s="206" t="s">
        <v>121</v>
      </c>
      <c r="J5186" s="206" t="s">
        <v>121</v>
      </c>
      <c r="K5186" s="206" t="s">
        <v>121</v>
      </c>
      <c r="L5186" s="206" t="str">
        <v/>
      </c>
      <c r="M5186" s="206" t="str">
        <v/>
      </c>
    </row>
    <row r="5187" spans="1:13" ht="14.4">
      <c r="A5187" s="201"/>
      <c r="B5187" s="209"/>
      <c r="C5187" s="201"/>
      <c r="D5187" s="201"/>
      <c r="E5187" s="202"/>
      <c r="F5187" s="210"/>
      <c r="G5187" s="210"/>
      <c r="H5187" s="206" t="s">
        <v>121</v>
      </c>
      <c r="I5187" s="206" t="s">
        <v>121</v>
      </c>
      <c r="J5187" s="206" t="s">
        <v>121</v>
      </c>
      <c r="K5187" s="206" t="s">
        <v>121</v>
      </c>
      <c r="L5187" s="206" t="str">
        <v/>
      </c>
      <c r="M5187" s="206" t="str">
        <v/>
      </c>
    </row>
    <row r="5188" spans="1:13" ht="14.4">
      <c r="A5188" s="201"/>
      <c r="B5188" s="209"/>
      <c r="C5188" s="201"/>
      <c r="D5188" s="201"/>
      <c r="E5188" s="202"/>
      <c r="F5188" s="210"/>
      <c r="G5188" s="210"/>
      <c r="H5188" s="206" t="s">
        <v>121</v>
      </c>
      <c r="I5188" s="206" t="s">
        <v>121</v>
      </c>
      <c r="J5188" s="206" t="s">
        <v>121</v>
      </c>
      <c r="K5188" s="206" t="s">
        <v>121</v>
      </c>
      <c r="L5188" s="206" t="str">
        <v/>
      </c>
      <c r="M5188" s="206" t="str">
        <v/>
      </c>
    </row>
    <row r="5189" spans="1:13" ht="14.4">
      <c r="A5189" s="201"/>
      <c r="B5189" s="209"/>
      <c r="C5189" s="201"/>
      <c r="D5189" s="201"/>
      <c r="E5189" s="202"/>
      <c r="F5189" s="210"/>
      <c r="G5189" s="210"/>
      <c r="H5189" s="206" t="s">
        <v>121</v>
      </c>
      <c r="I5189" s="206" t="s">
        <v>121</v>
      </c>
      <c r="J5189" s="206" t="s">
        <v>121</v>
      </c>
      <c r="K5189" s="206" t="s">
        <v>121</v>
      </c>
      <c r="L5189" s="206" t="str">
        <v/>
      </c>
      <c r="M5189" s="206" t="str">
        <v/>
      </c>
    </row>
    <row r="5190" spans="1:13" ht="14.4">
      <c r="A5190" s="201"/>
      <c r="B5190" s="209"/>
      <c r="C5190" s="201"/>
      <c r="D5190" s="201"/>
      <c r="E5190" s="202"/>
      <c r="F5190" s="210"/>
      <c r="G5190" s="210"/>
      <c r="H5190" s="206" t="s">
        <v>121</v>
      </c>
      <c r="I5190" s="206" t="s">
        <v>121</v>
      </c>
      <c r="J5190" s="206" t="s">
        <v>121</v>
      </c>
      <c r="K5190" s="206" t="s">
        <v>121</v>
      </c>
      <c r="L5190" s="206" t="str">
        <v/>
      </c>
      <c r="M5190" s="206" t="str">
        <v/>
      </c>
    </row>
    <row r="5191" spans="1:13" ht="14.4">
      <c r="A5191" s="201"/>
      <c r="B5191" s="209"/>
      <c r="C5191" s="201"/>
      <c r="D5191" s="201"/>
      <c r="E5191" s="202"/>
      <c r="F5191" s="210"/>
      <c r="G5191" s="210"/>
      <c r="H5191" s="206" t="s">
        <v>121</v>
      </c>
      <c r="I5191" s="206" t="s">
        <v>121</v>
      </c>
      <c r="J5191" s="206" t="s">
        <v>121</v>
      </c>
      <c r="K5191" s="206" t="s">
        <v>121</v>
      </c>
      <c r="L5191" s="206" t="str">
        <v/>
      </c>
      <c r="M5191" s="206" t="str">
        <v/>
      </c>
    </row>
    <row r="5192" spans="1:13" ht="14.4">
      <c r="A5192" s="201"/>
      <c r="B5192" s="209"/>
      <c r="C5192" s="201"/>
      <c r="D5192" s="201"/>
      <c r="E5192" s="202"/>
      <c r="F5192" s="210"/>
      <c r="G5192" s="210"/>
      <c r="H5192" s="206" t="s">
        <v>121</v>
      </c>
      <c r="I5192" s="206" t="s">
        <v>121</v>
      </c>
      <c r="J5192" s="206" t="s">
        <v>121</v>
      </c>
      <c r="K5192" s="206" t="s">
        <v>121</v>
      </c>
      <c r="L5192" s="206" t="str">
        <v/>
      </c>
      <c r="M5192" s="206" t="str">
        <v/>
      </c>
    </row>
    <row r="5193" spans="1:13" ht="14.4">
      <c r="A5193" s="201"/>
      <c r="B5193" s="209"/>
      <c r="C5193" s="201"/>
      <c r="D5193" s="201"/>
      <c r="E5193" s="202"/>
      <c r="F5193" s="210"/>
      <c r="G5193" s="210"/>
      <c r="H5193" s="206" t="s">
        <v>121</v>
      </c>
      <c r="I5193" s="206" t="s">
        <v>121</v>
      </c>
      <c r="J5193" s="206" t="s">
        <v>121</v>
      </c>
      <c r="K5193" s="206" t="s">
        <v>121</v>
      </c>
      <c r="L5193" s="206" t="str">
        <v/>
      </c>
      <c r="M5193" s="206" t="str">
        <v/>
      </c>
    </row>
    <row r="5194" spans="1:13" ht="14.4">
      <c r="A5194" s="201"/>
      <c r="B5194" s="209"/>
      <c r="C5194" s="201"/>
      <c r="D5194" s="201"/>
      <c r="E5194" s="202"/>
      <c r="F5194" s="210"/>
      <c r="G5194" s="210"/>
      <c r="H5194" s="206" t="s">
        <v>121</v>
      </c>
      <c r="I5194" s="206" t="s">
        <v>121</v>
      </c>
      <c r="J5194" s="206" t="s">
        <v>121</v>
      </c>
      <c r="K5194" s="206" t="s">
        <v>121</v>
      </c>
      <c r="L5194" s="206" t="str">
        <v/>
      </c>
      <c r="M5194" s="206" t="str">
        <v/>
      </c>
    </row>
    <row r="5195" spans="1:13" ht="14.4">
      <c r="A5195" s="201"/>
      <c r="B5195" s="209"/>
      <c r="C5195" s="201"/>
      <c r="D5195" s="201"/>
      <c r="E5195" s="202"/>
      <c r="F5195" s="210"/>
      <c r="G5195" s="210"/>
      <c r="H5195" s="206" t="s">
        <v>121</v>
      </c>
      <c r="I5195" s="206" t="s">
        <v>121</v>
      </c>
      <c r="J5195" s="206" t="s">
        <v>121</v>
      </c>
      <c r="K5195" s="206" t="s">
        <v>121</v>
      </c>
      <c r="L5195" s="206" t="str">
        <v/>
      </c>
      <c r="M5195" s="206" t="str">
        <v/>
      </c>
    </row>
    <row r="5196" spans="1:13" ht="14.4">
      <c r="A5196" s="201"/>
      <c r="B5196" s="209"/>
      <c r="C5196" s="201"/>
      <c r="D5196" s="201"/>
      <c r="E5196" s="202"/>
      <c r="F5196" s="210"/>
      <c r="G5196" s="210"/>
      <c r="H5196" s="206" t="s">
        <v>121</v>
      </c>
      <c r="I5196" s="206" t="s">
        <v>121</v>
      </c>
      <c r="J5196" s="206" t="s">
        <v>121</v>
      </c>
      <c r="K5196" s="206" t="s">
        <v>121</v>
      </c>
      <c r="L5196" s="206" t="str">
        <v/>
      </c>
      <c r="M5196" s="206" t="str">
        <v/>
      </c>
    </row>
    <row r="5197" spans="1:13" ht="14.4">
      <c r="A5197" s="201"/>
      <c r="B5197" s="209"/>
      <c r="C5197" s="201"/>
      <c r="D5197" s="201"/>
      <c r="E5197" s="202"/>
      <c r="F5197" s="210"/>
      <c r="G5197" s="210"/>
      <c r="H5197" s="206" t="s">
        <v>121</v>
      </c>
      <c r="I5197" s="206" t="s">
        <v>121</v>
      </c>
      <c r="J5197" s="206" t="s">
        <v>121</v>
      </c>
      <c r="K5197" s="206" t="s">
        <v>121</v>
      </c>
      <c r="L5197" s="206" t="str">
        <v/>
      </c>
      <c r="M5197" s="206" t="str">
        <v/>
      </c>
    </row>
    <row r="5198" spans="1:13" ht="14.4">
      <c r="A5198" s="201"/>
      <c r="B5198" s="209"/>
      <c r="C5198" s="201"/>
      <c r="D5198" s="201"/>
      <c r="E5198" s="202"/>
      <c r="F5198" s="210"/>
      <c r="G5198" s="210"/>
      <c r="H5198" s="206" t="s">
        <v>121</v>
      </c>
      <c r="I5198" s="206" t="s">
        <v>121</v>
      </c>
      <c r="J5198" s="206" t="s">
        <v>121</v>
      </c>
      <c r="K5198" s="206" t="s">
        <v>121</v>
      </c>
      <c r="L5198" s="206" t="str">
        <v/>
      </c>
      <c r="M5198" s="206" t="str">
        <v/>
      </c>
    </row>
    <row r="5199" spans="1:13" ht="14.4">
      <c r="A5199" s="201"/>
      <c r="B5199" s="209"/>
      <c r="C5199" s="201"/>
      <c r="D5199" s="201"/>
      <c r="E5199" s="202"/>
      <c r="F5199" s="210"/>
      <c r="G5199" s="210"/>
      <c r="H5199" s="206" t="s">
        <v>121</v>
      </c>
      <c r="I5199" s="206" t="s">
        <v>121</v>
      </c>
      <c r="J5199" s="206" t="s">
        <v>121</v>
      </c>
      <c r="K5199" s="206" t="s">
        <v>121</v>
      </c>
      <c r="L5199" s="206" t="str">
        <v/>
      </c>
      <c r="M5199" s="206" t="str">
        <v/>
      </c>
    </row>
    <row r="5200" spans="1:13" ht="14.4">
      <c r="A5200" s="201"/>
      <c r="B5200" s="209"/>
      <c r="C5200" s="201"/>
      <c r="D5200" s="201"/>
      <c r="E5200" s="202"/>
      <c r="F5200" s="210"/>
      <c r="G5200" s="210"/>
      <c r="H5200" s="206" t="s">
        <v>121</v>
      </c>
      <c r="I5200" s="206" t="s">
        <v>121</v>
      </c>
      <c r="J5200" s="206" t="s">
        <v>121</v>
      </c>
      <c r="K5200" s="206" t="s">
        <v>121</v>
      </c>
      <c r="L5200" s="206" t="str">
        <v/>
      </c>
      <c r="M5200" s="206" t="str">
        <v/>
      </c>
    </row>
    <row r="5201" spans="1:13" ht="14.4">
      <c r="A5201" s="201"/>
      <c r="B5201" s="209"/>
      <c r="C5201" s="201"/>
      <c r="D5201" s="201"/>
      <c r="E5201" s="202"/>
      <c r="F5201" s="210"/>
      <c r="G5201" s="210"/>
      <c r="H5201" s="206" t="s">
        <v>121</v>
      </c>
      <c r="I5201" s="206" t="s">
        <v>121</v>
      </c>
      <c r="J5201" s="206" t="s">
        <v>121</v>
      </c>
      <c r="K5201" s="206" t="s">
        <v>121</v>
      </c>
      <c r="L5201" s="206" t="str">
        <v/>
      </c>
      <c r="M5201" s="206" t="str">
        <v/>
      </c>
    </row>
    <row r="5202" spans="1:13" ht="14.4">
      <c r="A5202" s="201"/>
      <c r="B5202" s="209"/>
      <c r="C5202" s="201"/>
      <c r="D5202" s="201"/>
      <c r="E5202" s="202"/>
      <c r="F5202" s="210"/>
      <c r="G5202" s="210"/>
      <c r="H5202" s="206" t="s">
        <v>121</v>
      </c>
      <c r="I5202" s="206" t="s">
        <v>121</v>
      </c>
      <c r="J5202" s="206" t="s">
        <v>121</v>
      </c>
      <c r="K5202" s="206" t="s">
        <v>121</v>
      </c>
      <c r="L5202" s="206" t="str">
        <v/>
      </c>
      <c r="M5202" s="206" t="str">
        <v/>
      </c>
    </row>
    <row r="5203" spans="1:13" ht="14.4">
      <c r="A5203" s="201"/>
      <c r="B5203" s="209"/>
      <c r="C5203" s="201"/>
      <c r="D5203" s="201"/>
      <c r="E5203" s="202"/>
      <c r="F5203" s="210"/>
      <c r="G5203" s="210"/>
      <c r="H5203" s="206" t="s">
        <v>121</v>
      </c>
      <c r="I5203" s="206" t="s">
        <v>121</v>
      </c>
      <c r="J5203" s="206" t="s">
        <v>121</v>
      </c>
      <c r="K5203" s="206" t="s">
        <v>121</v>
      </c>
      <c r="L5203" s="206" t="str">
        <v/>
      </c>
      <c r="M5203" s="206" t="str">
        <v/>
      </c>
    </row>
    <row r="5204" spans="1:13" ht="14.4">
      <c r="A5204" s="201"/>
      <c r="B5204" s="209"/>
      <c r="C5204" s="201"/>
      <c r="D5204" s="201"/>
      <c r="E5204" s="202"/>
      <c r="F5204" s="210"/>
      <c r="G5204" s="210"/>
      <c r="H5204" s="206" t="s">
        <v>121</v>
      </c>
      <c r="I5204" s="206" t="s">
        <v>121</v>
      </c>
      <c r="J5204" s="206" t="s">
        <v>121</v>
      </c>
      <c r="K5204" s="206" t="s">
        <v>121</v>
      </c>
      <c r="L5204" s="206" t="str">
        <v/>
      </c>
      <c r="M5204" s="206" t="str">
        <v/>
      </c>
    </row>
    <row r="5205" spans="1:13" ht="14.4">
      <c r="A5205" s="201"/>
      <c r="B5205" s="209"/>
      <c r="C5205" s="201"/>
      <c r="D5205" s="201"/>
      <c r="E5205" s="202"/>
      <c r="F5205" s="210"/>
      <c r="G5205" s="210"/>
      <c r="H5205" s="206" t="s">
        <v>121</v>
      </c>
      <c r="I5205" s="206" t="s">
        <v>121</v>
      </c>
      <c r="J5205" s="206" t="s">
        <v>121</v>
      </c>
      <c r="K5205" s="206" t="s">
        <v>121</v>
      </c>
      <c r="L5205" s="206" t="str">
        <v/>
      </c>
      <c r="M5205" s="206" t="str">
        <v/>
      </c>
    </row>
    <row r="5206" spans="1:13" ht="14.4">
      <c r="A5206" s="201"/>
      <c r="B5206" s="209"/>
      <c r="C5206" s="201"/>
      <c r="D5206" s="201"/>
      <c r="E5206" s="202"/>
      <c r="F5206" s="210"/>
      <c r="G5206" s="210"/>
      <c r="H5206" s="206" t="s">
        <v>121</v>
      </c>
      <c r="I5206" s="206" t="s">
        <v>121</v>
      </c>
      <c r="J5206" s="206" t="s">
        <v>121</v>
      </c>
      <c r="K5206" s="206" t="s">
        <v>121</v>
      </c>
      <c r="L5206" s="206" t="str">
        <v/>
      </c>
      <c r="M5206" s="206" t="str">
        <v/>
      </c>
    </row>
    <row r="5207" spans="1:13" ht="14.4">
      <c r="A5207" s="201"/>
      <c r="B5207" s="209"/>
      <c r="C5207" s="201"/>
      <c r="D5207" s="201"/>
      <c r="E5207" s="202"/>
      <c r="F5207" s="210"/>
      <c r="G5207" s="210"/>
      <c r="H5207" s="206" t="s">
        <v>121</v>
      </c>
      <c r="I5207" s="206" t="s">
        <v>121</v>
      </c>
      <c r="J5207" s="206" t="s">
        <v>121</v>
      </c>
      <c r="K5207" s="206" t="s">
        <v>121</v>
      </c>
      <c r="L5207" s="206" t="str">
        <v/>
      </c>
      <c r="M5207" s="206" t="str">
        <v/>
      </c>
    </row>
    <row r="5208" spans="1:13" ht="14.4">
      <c r="A5208" s="201"/>
      <c r="B5208" s="209"/>
      <c r="C5208" s="201"/>
      <c r="D5208" s="201"/>
      <c r="E5208" s="202"/>
      <c r="F5208" s="210"/>
      <c r="G5208" s="210"/>
      <c r="H5208" s="206" t="s">
        <v>121</v>
      </c>
      <c r="I5208" s="206" t="s">
        <v>121</v>
      </c>
      <c r="J5208" s="206" t="s">
        <v>121</v>
      </c>
      <c r="K5208" s="206" t="s">
        <v>121</v>
      </c>
      <c r="L5208" s="206" t="str">
        <v/>
      </c>
      <c r="M5208" s="206" t="str">
        <v/>
      </c>
    </row>
    <row r="5209" spans="1:13" ht="14.4">
      <c r="A5209" s="201"/>
      <c r="B5209" s="209"/>
      <c r="C5209" s="201"/>
      <c r="D5209" s="201"/>
      <c r="E5209" s="202"/>
      <c r="F5209" s="210"/>
      <c r="G5209" s="210"/>
      <c r="H5209" s="206" t="s">
        <v>121</v>
      </c>
      <c r="I5209" s="206" t="s">
        <v>121</v>
      </c>
      <c r="J5209" s="206" t="s">
        <v>121</v>
      </c>
      <c r="K5209" s="206" t="s">
        <v>121</v>
      </c>
      <c r="L5209" s="206" t="str">
        <v/>
      </c>
      <c r="M5209" s="206" t="str">
        <v/>
      </c>
    </row>
    <row r="5210" spans="1:13" ht="14.4">
      <c r="A5210" s="201"/>
      <c r="B5210" s="209"/>
      <c r="C5210" s="201"/>
      <c r="D5210" s="201"/>
      <c r="E5210" s="202"/>
      <c r="F5210" s="210"/>
      <c r="G5210" s="210"/>
      <c r="H5210" s="206" t="s">
        <v>121</v>
      </c>
      <c r="I5210" s="206" t="s">
        <v>121</v>
      </c>
      <c r="J5210" s="206" t="s">
        <v>121</v>
      </c>
      <c r="K5210" s="206" t="s">
        <v>121</v>
      </c>
      <c r="L5210" s="206" t="str">
        <v/>
      </c>
      <c r="M5210" s="206" t="str">
        <v/>
      </c>
    </row>
    <row r="5211" spans="1:13" ht="14.4">
      <c r="A5211" s="201"/>
      <c r="B5211" s="209"/>
      <c r="C5211" s="201"/>
      <c r="D5211" s="201"/>
      <c r="E5211" s="202"/>
      <c r="F5211" s="210"/>
      <c r="G5211" s="210"/>
      <c r="H5211" s="206" t="s">
        <v>121</v>
      </c>
      <c r="I5211" s="206" t="s">
        <v>121</v>
      </c>
      <c r="J5211" s="206" t="s">
        <v>121</v>
      </c>
      <c r="K5211" s="206" t="s">
        <v>121</v>
      </c>
      <c r="L5211" s="206" t="str">
        <v/>
      </c>
      <c r="M5211" s="206" t="str">
        <v/>
      </c>
    </row>
    <row r="5212" spans="1:13" ht="14.4">
      <c r="A5212" s="201"/>
      <c r="B5212" s="209"/>
      <c r="C5212" s="201"/>
      <c r="D5212" s="201"/>
      <c r="E5212" s="202"/>
      <c r="F5212" s="210"/>
      <c r="G5212" s="210"/>
      <c r="H5212" s="206" t="s">
        <v>121</v>
      </c>
      <c r="I5212" s="206" t="s">
        <v>121</v>
      </c>
      <c r="J5212" s="206" t="s">
        <v>121</v>
      </c>
      <c r="K5212" s="206" t="s">
        <v>121</v>
      </c>
      <c r="L5212" s="206" t="str">
        <v/>
      </c>
      <c r="M5212" s="206" t="str">
        <v/>
      </c>
    </row>
    <row r="5213" spans="1:13" ht="14.4">
      <c r="A5213" s="201"/>
      <c r="B5213" s="209"/>
      <c r="C5213" s="201"/>
      <c r="D5213" s="201"/>
      <c r="E5213" s="202"/>
      <c r="F5213" s="210"/>
      <c r="G5213" s="210"/>
      <c r="H5213" s="206" t="s">
        <v>121</v>
      </c>
      <c r="I5213" s="206" t="s">
        <v>121</v>
      </c>
      <c r="J5213" s="206" t="s">
        <v>121</v>
      </c>
      <c r="K5213" s="206" t="s">
        <v>121</v>
      </c>
      <c r="L5213" s="206" t="str">
        <v/>
      </c>
      <c r="M5213" s="206" t="str">
        <v/>
      </c>
    </row>
    <row r="5214" spans="1:13" ht="14.4">
      <c r="A5214" s="201"/>
      <c r="B5214" s="209"/>
      <c r="C5214" s="201"/>
      <c r="D5214" s="201"/>
      <c r="E5214" s="202"/>
      <c r="F5214" s="210"/>
      <c r="G5214" s="210"/>
      <c r="H5214" s="206" t="s">
        <v>121</v>
      </c>
      <c r="I5214" s="206" t="s">
        <v>121</v>
      </c>
      <c r="J5214" s="206" t="s">
        <v>121</v>
      </c>
      <c r="K5214" s="206" t="s">
        <v>121</v>
      </c>
      <c r="L5214" s="206" t="str">
        <v/>
      </c>
      <c r="M5214" s="206" t="str">
        <v/>
      </c>
    </row>
    <row r="5215" spans="1:13" ht="14.4">
      <c r="A5215" s="201"/>
      <c r="B5215" s="209"/>
      <c r="C5215" s="201"/>
      <c r="D5215" s="201"/>
      <c r="E5215" s="202"/>
      <c r="F5215" s="210"/>
      <c r="G5215" s="210"/>
      <c r="H5215" s="206" t="s">
        <v>121</v>
      </c>
      <c r="I5215" s="206" t="s">
        <v>121</v>
      </c>
      <c r="J5215" s="206" t="s">
        <v>121</v>
      </c>
      <c r="K5215" s="206" t="s">
        <v>121</v>
      </c>
      <c r="L5215" s="206" t="str">
        <v/>
      </c>
      <c r="M5215" s="206" t="str">
        <v/>
      </c>
    </row>
    <row r="5216" spans="1:13" ht="14.4">
      <c r="A5216" s="201"/>
      <c r="B5216" s="209"/>
      <c r="C5216" s="201"/>
      <c r="D5216" s="201"/>
      <c r="E5216" s="202"/>
      <c r="F5216" s="210"/>
      <c r="G5216" s="210"/>
      <c r="H5216" s="206" t="s">
        <v>121</v>
      </c>
      <c r="I5216" s="206" t="s">
        <v>121</v>
      </c>
      <c r="J5216" s="206" t="s">
        <v>121</v>
      </c>
      <c r="K5216" s="206" t="s">
        <v>121</v>
      </c>
      <c r="L5216" s="206" t="str">
        <v/>
      </c>
      <c r="M5216" s="206" t="str">
        <v/>
      </c>
    </row>
    <row r="5217" spans="1:13" ht="14.4">
      <c r="A5217" s="201"/>
      <c r="B5217" s="209"/>
      <c r="C5217" s="201"/>
      <c r="D5217" s="201"/>
      <c r="E5217" s="202"/>
      <c r="F5217" s="210"/>
      <c r="G5217" s="210"/>
      <c r="H5217" s="206" t="s">
        <v>121</v>
      </c>
      <c r="I5217" s="206" t="s">
        <v>121</v>
      </c>
      <c r="J5217" s="206" t="s">
        <v>121</v>
      </c>
      <c r="K5217" s="206" t="s">
        <v>121</v>
      </c>
      <c r="L5217" s="206" t="str">
        <v/>
      </c>
      <c r="M5217" s="206" t="str">
        <v/>
      </c>
    </row>
    <row r="5218" spans="1:13" ht="14.4">
      <c r="A5218" s="201"/>
      <c r="B5218" s="209"/>
      <c r="C5218" s="201"/>
      <c r="D5218" s="201"/>
      <c r="E5218" s="202"/>
      <c r="F5218" s="210"/>
      <c r="G5218" s="210"/>
      <c r="H5218" s="206" t="s">
        <v>121</v>
      </c>
      <c r="I5218" s="206" t="s">
        <v>121</v>
      </c>
      <c r="J5218" s="206" t="s">
        <v>121</v>
      </c>
      <c r="K5218" s="206" t="s">
        <v>121</v>
      </c>
      <c r="L5218" s="206" t="str">
        <v/>
      </c>
      <c r="M5218" s="206" t="str">
        <v/>
      </c>
    </row>
    <row r="5219" spans="1:13" ht="14.4">
      <c r="A5219" s="201"/>
      <c r="B5219" s="209"/>
      <c r="C5219" s="201"/>
      <c r="D5219" s="201"/>
      <c r="E5219" s="202"/>
      <c r="F5219" s="210"/>
      <c r="G5219" s="210"/>
      <c r="H5219" s="206" t="s">
        <v>121</v>
      </c>
      <c r="I5219" s="206" t="s">
        <v>121</v>
      </c>
      <c r="J5219" s="206" t="s">
        <v>121</v>
      </c>
      <c r="K5219" s="206" t="s">
        <v>121</v>
      </c>
      <c r="L5219" s="206" t="str">
        <v/>
      </c>
      <c r="M5219" s="206" t="str">
        <v/>
      </c>
    </row>
    <row r="5220" spans="1:13" ht="14.4">
      <c r="A5220" s="201"/>
      <c r="B5220" s="209"/>
      <c r="C5220" s="201"/>
      <c r="D5220" s="201"/>
      <c r="E5220" s="202"/>
      <c r="F5220" s="210"/>
      <c r="G5220" s="210"/>
      <c r="H5220" s="206" t="s">
        <v>121</v>
      </c>
      <c r="I5220" s="206" t="s">
        <v>121</v>
      </c>
      <c r="J5220" s="206" t="s">
        <v>121</v>
      </c>
      <c r="K5220" s="206" t="s">
        <v>121</v>
      </c>
      <c r="L5220" s="206" t="str">
        <v/>
      </c>
      <c r="M5220" s="206" t="str">
        <v/>
      </c>
    </row>
    <row r="5221" spans="1:13" ht="14.4">
      <c r="A5221" s="201"/>
      <c r="B5221" s="209"/>
      <c r="C5221" s="201"/>
      <c r="D5221" s="201"/>
      <c r="E5221" s="202"/>
      <c r="F5221" s="210"/>
      <c r="G5221" s="210"/>
      <c r="H5221" s="206" t="s">
        <v>121</v>
      </c>
      <c r="I5221" s="206" t="s">
        <v>121</v>
      </c>
      <c r="J5221" s="206" t="s">
        <v>121</v>
      </c>
      <c r="K5221" s="206" t="s">
        <v>121</v>
      </c>
      <c r="L5221" s="206" t="str">
        <v/>
      </c>
      <c r="M5221" s="206" t="str">
        <v/>
      </c>
    </row>
    <row r="5222" spans="1:13" ht="14.4">
      <c r="A5222" s="201"/>
      <c r="B5222" s="209"/>
      <c r="C5222" s="201"/>
      <c r="D5222" s="201"/>
      <c r="E5222" s="202"/>
      <c r="F5222" s="210"/>
      <c r="G5222" s="210"/>
      <c r="H5222" s="206" t="s">
        <v>121</v>
      </c>
      <c r="I5222" s="206" t="s">
        <v>121</v>
      </c>
      <c r="J5222" s="206" t="s">
        <v>121</v>
      </c>
      <c r="K5222" s="206" t="s">
        <v>121</v>
      </c>
      <c r="L5222" s="206" t="str">
        <v/>
      </c>
      <c r="M5222" s="206" t="str">
        <v/>
      </c>
    </row>
    <row r="5223" spans="1:13" ht="14.4">
      <c r="A5223" s="201"/>
      <c r="B5223" s="209"/>
      <c r="C5223" s="201"/>
      <c r="D5223" s="201"/>
      <c r="E5223" s="202"/>
      <c r="F5223" s="210"/>
      <c r="G5223" s="210"/>
      <c r="H5223" s="206" t="s">
        <v>121</v>
      </c>
      <c r="I5223" s="206" t="s">
        <v>121</v>
      </c>
      <c r="J5223" s="206" t="s">
        <v>121</v>
      </c>
      <c r="K5223" s="206" t="s">
        <v>121</v>
      </c>
      <c r="L5223" s="206" t="str">
        <v/>
      </c>
      <c r="M5223" s="206" t="str">
        <v/>
      </c>
    </row>
    <row r="5224" spans="1:13" ht="14.4">
      <c r="A5224" s="201"/>
      <c r="B5224" s="209"/>
      <c r="C5224" s="201"/>
      <c r="D5224" s="201"/>
      <c r="E5224" s="202"/>
      <c r="F5224" s="210"/>
      <c r="G5224" s="210"/>
      <c r="H5224" s="206" t="s">
        <v>121</v>
      </c>
      <c r="I5224" s="206" t="s">
        <v>121</v>
      </c>
      <c r="J5224" s="206" t="s">
        <v>121</v>
      </c>
      <c r="K5224" s="206" t="s">
        <v>121</v>
      </c>
      <c r="L5224" s="206" t="str">
        <v/>
      </c>
      <c r="M5224" s="206" t="str">
        <v/>
      </c>
    </row>
    <row r="5225" spans="1:13" ht="14.4">
      <c r="A5225" s="201"/>
      <c r="B5225" s="209"/>
      <c r="C5225" s="201"/>
      <c r="D5225" s="201"/>
      <c r="E5225" s="202"/>
      <c r="F5225" s="210"/>
      <c r="G5225" s="210"/>
      <c r="H5225" s="206" t="s">
        <v>121</v>
      </c>
      <c r="I5225" s="206" t="s">
        <v>121</v>
      </c>
      <c r="J5225" s="206" t="s">
        <v>121</v>
      </c>
      <c r="K5225" s="206" t="s">
        <v>121</v>
      </c>
      <c r="L5225" s="206" t="str">
        <v/>
      </c>
      <c r="M5225" s="206" t="str">
        <v/>
      </c>
    </row>
    <row r="5226" spans="1:13" ht="14.4">
      <c r="A5226" s="201"/>
      <c r="B5226" s="209"/>
      <c r="C5226" s="201"/>
      <c r="D5226" s="201"/>
      <c r="E5226" s="202"/>
      <c r="F5226" s="210"/>
      <c r="G5226" s="210"/>
      <c r="H5226" s="206" t="s">
        <v>121</v>
      </c>
      <c r="I5226" s="206" t="s">
        <v>121</v>
      </c>
      <c r="J5226" s="206" t="s">
        <v>121</v>
      </c>
      <c r="K5226" s="206" t="s">
        <v>121</v>
      </c>
      <c r="L5226" s="206" t="str">
        <v/>
      </c>
      <c r="M5226" s="206" t="str">
        <v/>
      </c>
    </row>
    <row r="5227" spans="1:13" ht="14.4">
      <c r="A5227" s="201"/>
      <c r="B5227" s="209"/>
      <c r="C5227" s="201"/>
      <c r="D5227" s="201"/>
      <c r="E5227" s="202"/>
      <c r="F5227" s="210"/>
      <c r="G5227" s="210"/>
      <c r="H5227" s="206" t="s">
        <v>121</v>
      </c>
      <c r="I5227" s="206" t="s">
        <v>121</v>
      </c>
      <c r="J5227" s="206" t="s">
        <v>121</v>
      </c>
      <c r="K5227" s="206" t="s">
        <v>121</v>
      </c>
      <c r="L5227" s="206" t="str">
        <v/>
      </c>
      <c r="M5227" s="206" t="str">
        <v/>
      </c>
    </row>
    <row r="5228" spans="1:13" ht="14.4">
      <c r="A5228" s="201"/>
      <c r="B5228" s="209"/>
      <c r="C5228" s="201"/>
      <c r="D5228" s="201"/>
      <c r="E5228" s="202"/>
      <c r="F5228" s="210"/>
      <c r="G5228" s="210"/>
      <c r="H5228" s="206" t="s">
        <v>121</v>
      </c>
      <c r="I5228" s="206" t="s">
        <v>121</v>
      </c>
      <c r="J5228" s="206" t="s">
        <v>121</v>
      </c>
      <c r="K5228" s="206" t="s">
        <v>121</v>
      </c>
      <c r="L5228" s="206" t="str">
        <v/>
      </c>
      <c r="M5228" s="206" t="str">
        <v/>
      </c>
    </row>
    <row r="5229" spans="1:13" ht="14.4">
      <c r="A5229" s="201"/>
      <c r="B5229" s="209"/>
      <c r="C5229" s="201"/>
      <c r="D5229" s="201"/>
      <c r="E5229" s="202"/>
      <c r="F5229" s="210"/>
      <c r="G5229" s="210"/>
      <c r="H5229" s="206" t="s">
        <v>121</v>
      </c>
      <c r="I5229" s="206" t="s">
        <v>121</v>
      </c>
      <c r="J5229" s="206" t="s">
        <v>121</v>
      </c>
      <c r="K5229" s="206" t="s">
        <v>121</v>
      </c>
      <c r="L5229" s="206" t="str">
        <v/>
      </c>
      <c r="M5229" s="206" t="str">
        <v/>
      </c>
    </row>
    <row r="5230" spans="1:13" ht="14.4">
      <c r="A5230" s="201"/>
      <c r="B5230" s="209"/>
      <c r="C5230" s="201"/>
      <c r="D5230" s="201"/>
      <c r="E5230" s="202"/>
      <c r="F5230" s="210"/>
      <c r="G5230" s="210"/>
      <c r="H5230" s="206" t="s">
        <v>121</v>
      </c>
      <c r="I5230" s="206" t="s">
        <v>121</v>
      </c>
      <c r="J5230" s="206" t="s">
        <v>121</v>
      </c>
      <c r="K5230" s="206" t="s">
        <v>121</v>
      </c>
      <c r="L5230" s="206" t="str">
        <v/>
      </c>
      <c r="M5230" s="206" t="str">
        <v/>
      </c>
    </row>
    <row r="5231" spans="1:13" ht="14.4">
      <c r="A5231" s="201"/>
      <c r="B5231" s="209"/>
      <c r="C5231" s="201"/>
      <c r="D5231" s="201"/>
      <c r="E5231" s="202"/>
      <c r="F5231" s="210"/>
      <c r="G5231" s="210"/>
      <c r="H5231" s="206" t="s">
        <v>121</v>
      </c>
      <c r="I5231" s="206" t="s">
        <v>121</v>
      </c>
      <c r="J5231" s="206" t="s">
        <v>121</v>
      </c>
      <c r="K5231" s="206" t="s">
        <v>121</v>
      </c>
      <c r="L5231" s="206" t="str">
        <v/>
      </c>
      <c r="M5231" s="206" t="str">
        <v/>
      </c>
    </row>
    <row r="5232" spans="1:13" ht="14.4">
      <c r="A5232" s="201"/>
      <c r="B5232" s="209"/>
      <c r="C5232" s="201"/>
      <c r="D5232" s="201"/>
      <c r="E5232" s="202"/>
      <c r="F5232" s="210"/>
      <c r="G5232" s="210"/>
      <c r="H5232" s="206" t="s">
        <v>121</v>
      </c>
      <c r="I5232" s="206" t="s">
        <v>121</v>
      </c>
      <c r="J5232" s="206" t="s">
        <v>121</v>
      </c>
      <c r="K5232" s="206" t="s">
        <v>121</v>
      </c>
      <c r="L5232" s="206" t="str">
        <v/>
      </c>
      <c r="M5232" s="206" t="str">
        <v/>
      </c>
    </row>
    <row r="5233" spans="1:13" ht="14.4">
      <c r="A5233" s="201"/>
      <c r="B5233" s="209"/>
      <c r="C5233" s="201"/>
      <c r="D5233" s="201"/>
      <c r="E5233" s="202"/>
      <c r="F5233" s="210"/>
      <c r="G5233" s="210"/>
      <c r="H5233" s="206" t="s">
        <v>121</v>
      </c>
      <c r="I5233" s="206" t="s">
        <v>121</v>
      </c>
      <c r="J5233" s="206" t="s">
        <v>121</v>
      </c>
      <c r="K5233" s="206" t="s">
        <v>121</v>
      </c>
      <c r="L5233" s="206" t="str">
        <v/>
      </c>
      <c r="M5233" s="206" t="str">
        <v/>
      </c>
    </row>
    <row r="5234" spans="1:13" ht="14.4">
      <c r="A5234" s="201"/>
      <c r="B5234" s="209"/>
      <c r="C5234" s="201"/>
      <c r="D5234" s="201"/>
      <c r="E5234" s="202"/>
      <c r="F5234" s="210"/>
      <c r="G5234" s="210"/>
      <c r="H5234" s="206" t="s">
        <v>121</v>
      </c>
      <c r="I5234" s="206" t="s">
        <v>121</v>
      </c>
      <c r="J5234" s="206" t="s">
        <v>121</v>
      </c>
      <c r="K5234" s="206" t="s">
        <v>121</v>
      </c>
      <c r="L5234" s="206" t="str">
        <v/>
      </c>
      <c r="M5234" s="206" t="str">
        <v/>
      </c>
    </row>
    <row r="5235" spans="1:13" ht="14.4">
      <c r="A5235" s="201"/>
      <c r="B5235" s="209"/>
      <c r="C5235" s="201"/>
      <c r="D5235" s="201"/>
      <c r="E5235" s="202"/>
      <c r="F5235" s="210"/>
      <c r="G5235" s="210"/>
      <c r="H5235" s="206" t="s">
        <v>121</v>
      </c>
      <c r="I5235" s="206" t="s">
        <v>121</v>
      </c>
      <c r="J5235" s="206" t="s">
        <v>121</v>
      </c>
      <c r="K5235" s="206" t="s">
        <v>121</v>
      </c>
      <c r="L5235" s="206" t="str">
        <v/>
      </c>
      <c r="M5235" s="206" t="str">
        <v/>
      </c>
    </row>
    <row r="5236" spans="1:13" ht="14.4">
      <c r="A5236" s="201"/>
      <c r="B5236" s="209"/>
      <c r="C5236" s="201"/>
      <c r="D5236" s="201"/>
      <c r="E5236" s="202"/>
      <c r="F5236" s="210"/>
      <c r="G5236" s="210"/>
      <c r="H5236" s="206" t="s">
        <v>121</v>
      </c>
      <c r="I5236" s="206" t="s">
        <v>121</v>
      </c>
      <c r="J5236" s="206" t="s">
        <v>121</v>
      </c>
      <c r="K5236" s="206" t="s">
        <v>121</v>
      </c>
      <c r="L5236" s="206" t="str">
        <v/>
      </c>
      <c r="M5236" s="206" t="str">
        <v/>
      </c>
    </row>
    <row r="5237" spans="1:13" ht="14.4">
      <c r="A5237" s="201"/>
      <c r="B5237" s="209"/>
      <c r="C5237" s="201"/>
      <c r="D5237" s="201"/>
      <c r="E5237" s="202"/>
      <c r="F5237" s="210"/>
      <c r="G5237" s="210"/>
      <c r="H5237" s="206" t="s">
        <v>121</v>
      </c>
      <c r="I5237" s="206" t="s">
        <v>121</v>
      </c>
      <c r="J5237" s="206" t="s">
        <v>121</v>
      </c>
      <c r="K5237" s="206" t="s">
        <v>121</v>
      </c>
      <c r="L5237" s="206" t="str">
        <v/>
      </c>
      <c r="M5237" s="206" t="str">
        <v/>
      </c>
    </row>
    <row r="5238" spans="1:13" ht="14.4">
      <c r="A5238" s="201"/>
      <c r="B5238" s="209"/>
      <c r="C5238" s="201"/>
      <c r="D5238" s="201"/>
      <c r="E5238" s="202"/>
      <c r="F5238" s="210"/>
      <c r="G5238" s="210"/>
      <c r="H5238" s="206" t="s">
        <v>121</v>
      </c>
      <c r="I5238" s="206" t="s">
        <v>121</v>
      </c>
      <c r="J5238" s="206" t="s">
        <v>121</v>
      </c>
      <c r="K5238" s="206" t="s">
        <v>121</v>
      </c>
      <c r="L5238" s="206" t="str">
        <v/>
      </c>
      <c r="M5238" s="206" t="str">
        <v/>
      </c>
    </row>
    <row r="5239" spans="1:13" ht="14.4">
      <c r="A5239" s="201"/>
      <c r="B5239" s="209"/>
      <c r="C5239" s="201"/>
      <c r="D5239" s="201"/>
      <c r="E5239" s="202"/>
      <c r="F5239" s="210"/>
      <c r="G5239" s="210"/>
      <c r="H5239" s="206" t="s">
        <v>121</v>
      </c>
      <c r="I5239" s="206" t="s">
        <v>121</v>
      </c>
      <c r="J5239" s="206" t="s">
        <v>121</v>
      </c>
      <c r="K5239" s="206" t="s">
        <v>121</v>
      </c>
      <c r="L5239" s="206" t="str">
        <v/>
      </c>
      <c r="M5239" s="206" t="str">
        <v/>
      </c>
    </row>
    <row r="5240" spans="1:13" ht="14.4">
      <c r="A5240" s="201"/>
      <c r="B5240" s="209"/>
      <c r="C5240" s="201"/>
      <c r="D5240" s="201"/>
      <c r="E5240" s="202"/>
      <c r="F5240" s="210"/>
      <c r="G5240" s="210"/>
      <c r="H5240" s="206" t="s">
        <v>121</v>
      </c>
      <c r="I5240" s="206" t="s">
        <v>121</v>
      </c>
      <c r="J5240" s="206" t="s">
        <v>121</v>
      </c>
      <c r="K5240" s="206" t="s">
        <v>121</v>
      </c>
      <c r="L5240" s="206" t="str">
        <v/>
      </c>
      <c r="M5240" s="206" t="str">
        <v/>
      </c>
    </row>
    <row r="5241" spans="1:13" ht="14.4">
      <c r="A5241" s="201"/>
      <c r="B5241" s="209"/>
      <c r="C5241" s="201"/>
      <c r="D5241" s="201"/>
      <c r="E5241" s="202"/>
      <c r="F5241" s="210"/>
      <c r="G5241" s="210"/>
      <c r="H5241" s="206" t="s">
        <v>121</v>
      </c>
      <c r="I5241" s="206" t="s">
        <v>121</v>
      </c>
      <c r="J5241" s="206" t="s">
        <v>121</v>
      </c>
      <c r="K5241" s="206" t="s">
        <v>121</v>
      </c>
      <c r="L5241" s="206" t="str">
        <v/>
      </c>
      <c r="M5241" s="206" t="str">
        <v/>
      </c>
    </row>
    <row r="5242" spans="1:13" ht="14.4">
      <c r="A5242" s="201"/>
      <c r="B5242" s="209"/>
      <c r="C5242" s="201"/>
      <c r="D5242" s="201"/>
      <c r="E5242" s="202"/>
      <c r="F5242" s="210"/>
      <c r="G5242" s="210"/>
      <c r="H5242" s="206" t="s">
        <v>121</v>
      </c>
      <c r="I5242" s="206" t="s">
        <v>121</v>
      </c>
      <c r="J5242" s="206" t="s">
        <v>121</v>
      </c>
      <c r="K5242" s="206" t="s">
        <v>121</v>
      </c>
      <c r="L5242" s="206" t="str">
        <v/>
      </c>
      <c r="M5242" s="206" t="str">
        <v/>
      </c>
    </row>
    <row r="5243" spans="1:13" ht="14.4">
      <c r="A5243" s="201"/>
      <c r="B5243" s="209"/>
      <c r="C5243" s="201"/>
      <c r="D5243" s="201"/>
      <c r="E5243" s="202"/>
      <c r="F5243" s="210"/>
      <c r="G5243" s="210"/>
      <c r="H5243" s="206" t="s">
        <v>121</v>
      </c>
      <c r="I5243" s="206" t="s">
        <v>121</v>
      </c>
      <c r="J5243" s="206" t="s">
        <v>121</v>
      </c>
      <c r="K5243" s="206" t="s">
        <v>121</v>
      </c>
      <c r="L5243" s="206" t="str">
        <v/>
      </c>
      <c r="M5243" s="206" t="str">
        <v/>
      </c>
    </row>
    <row r="5244" spans="1:13" ht="14.4">
      <c r="A5244" s="201"/>
      <c r="B5244" s="209"/>
      <c r="C5244" s="201"/>
      <c r="D5244" s="201"/>
      <c r="E5244" s="202"/>
      <c r="F5244" s="210"/>
      <c r="G5244" s="210"/>
      <c r="H5244" s="206" t="s">
        <v>121</v>
      </c>
      <c r="I5244" s="206" t="s">
        <v>121</v>
      </c>
      <c r="J5244" s="206" t="s">
        <v>121</v>
      </c>
      <c r="K5244" s="206" t="s">
        <v>121</v>
      </c>
      <c r="L5244" s="206" t="str">
        <v/>
      </c>
      <c r="M5244" s="206" t="str">
        <v/>
      </c>
    </row>
    <row r="5245" spans="1:13" ht="14.4">
      <c r="A5245" s="201"/>
      <c r="B5245" s="209"/>
      <c r="C5245" s="201"/>
      <c r="D5245" s="201"/>
      <c r="E5245" s="202"/>
      <c r="F5245" s="210"/>
      <c r="G5245" s="210"/>
      <c r="H5245" s="206" t="s">
        <v>121</v>
      </c>
      <c r="I5245" s="206" t="s">
        <v>121</v>
      </c>
      <c r="J5245" s="206" t="s">
        <v>121</v>
      </c>
      <c r="K5245" s="206" t="s">
        <v>121</v>
      </c>
      <c r="L5245" s="206" t="str">
        <v/>
      </c>
      <c r="M5245" s="206" t="str">
        <v/>
      </c>
    </row>
    <row r="5246" spans="1:13" ht="14.4">
      <c r="A5246" s="201"/>
      <c r="B5246" s="209"/>
      <c r="C5246" s="201"/>
      <c r="D5246" s="201"/>
      <c r="E5246" s="202"/>
      <c r="F5246" s="210"/>
      <c r="G5246" s="210"/>
      <c r="H5246" s="206" t="s">
        <v>121</v>
      </c>
      <c r="I5246" s="206" t="s">
        <v>121</v>
      </c>
      <c r="J5246" s="206" t="s">
        <v>121</v>
      </c>
      <c r="K5246" s="206" t="s">
        <v>121</v>
      </c>
      <c r="L5246" s="206" t="str">
        <v/>
      </c>
      <c r="M5246" s="206" t="str">
        <v/>
      </c>
    </row>
    <row r="5247" spans="1:13" ht="14.4">
      <c r="A5247" s="201"/>
      <c r="B5247" s="209"/>
      <c r="C5247" s="201"/>
      <c r="D5247" s="201"/>
      <c r="E5247" s="202"/>
      <c r="F5247" s="210"/>
      <c r="G5247" s="210"/>
      <c r="H5247" s="206" t="s">
        <v>121</v>
      </c>
      <c r="I5247" s="206" t="s">
        <v>121</v>
      </c>
      <c r="J5247" s="206" t="s">
        <v>121</v>
      </c>
      <c r="K5247" s="206" t="s">
        <v>121</v>
      </c>
      <c r="L5247" s="206" t="str">
        <v/>
      </c>
      <c r="M5247" s="206" t="str">
        <v/>
      </c>
    </row>
    <row r="5248" spans="1:13" ht="14.4">
      <c r="A5248" s="201"/>
      <c r="B5248" s="209"/>
      <c r="C5248" s="201"/>
      <c r="D5248" s="201"/>
      <c r="E5248" s="202"/>
      <c r="F5248" s="210"/>
      <c r="G5248" s="210"/>
      <c r="H5248" s="206" t="s">
        <v>121</v>
      </c>
      <c r="I5248" s="206" t="s">
        <v>121</v>
      </c>
      <c r="J5248" s="206" t="s">
        <v>121</v>
      </c>
      <c r="K5248" s="206" t="s">
        <v>121</v>
      </c>
      <c r="L5248" s="206" t="str">
        <v/>
      </c>
      <c r="M5248" s="206" t="str">
        <v/>
      </c>
    </row>
    <row r="5249" spans="1:13" ht="14.4">
      <c r="A5249" s="201"/>
      <c r="B5249" s="209"/>
      <c r="C5249" s="201"/>
      <c r="D5249" s="201"/>
      <c r="E5249" s="202"/>
      <c r="F5249" s="210"/>
      <c r="G5249" s="210"/>
      <c r="H5249" s="206" t="s">
        <v>121</v>
      </c>
      <c r="I5249" s="206" t="s">
        <v>121</v>
      </c>
      <c r="J5249" s="206" t="s">
        <v>121</v>
      </c>
      <c r="K5249" s="206" t="s">
        <v>121</v>
      </c>
      <c r="L5249" s="206" t="str">
        <v/>
      </c>
      <c r="M5249" s="206" t="str">
        <v/>
      </c>
    </row>
    <row r="5250" spans="1:13" ht="14.4">
      <c r="A5250" s="201"/>
      <c r="B5250" s="209"/>
      <c r="C5250" s="201"/>
      <c r="D5250" s="201"/>
      <c r="E5250" s="202"/>
      <c r="F5250" s="210"/>
      <c r="G5250" s="210"/>
      <c r="H5250" s="206" t="s">
        <v>121</v>
      </c>
      <c r="I5250" s="206" t="s">
        <v>121</v>
      </c>
      <c r="J5250" s="206" t="s">
        <v>121</v>
      </c>
      <c r="K5250" s="206" t="s">
        <v>121</v>
      </c>
      <c r="L5250" s="206" t="str">
        <v/>
      </c>
      <c r="M5250" s="206" t="str">
        <v/>
      </c>
    </row>
    <row r="5251" spans="1:13" ht="14.4">
      <c r="A5251" s="201"/>
      <c r="B5251" s="209"/>
      <c r="C5251" s="201"/>
      <c r="D5251" s="201"/>
      <c r="E5251" s="202"/>
      <c r="F5251" s="210"/>
      <c r="G5251" s="210"/>
      <c r="H5251" s="206" t="s">
        <v>121</v>
      </c>
      <c r="I5251" s="206" t="s">
        <v>121</v>
      </c>
      <c r="J5251" s="206" t="s">
        <v>121</v>
      </c>
      <c r="K5251" s="206" t="s">
        <v>121</v>
      </c>
      <c r="L5251" s="206" t="str">
        <v/>
      </c>
      <c r="M5251" s="206" t="str">
        <v/>
      </c>
    </row>
    <row r="5252" spans="1:13" ht="14.4">
      <c r="A5252" s="201"/>
      <c r="B5252" s="209"/>
      <c r="C5252" s="201"/>
      <c r="D5252" s="201"/>
      <c r="E5252" s="202"/>
      <c r="F5252" s="210"/>
      <c r="G5252" s="210"/>
      <c r="H5252" s="206" t="s">
        <v>121</v>
      </c>
      <c r="I5252" s="206" t="s">
        <v>121</v>
      </c>
      <c r="J5252" s="206" t="s">
        <v>121</v>
      </c>
      <c r="K5252" s="206" t="s">
        <v>121</v>
      </c>
      <c r="L5252" s="206" t="str">
        <v/>
      </c>
      <c r="M5252" s="206" t="str">
        <v/>
      </c>
    </row>
    <row r="5253" spans="1:13" ht="14.4">
      <c r="A5253" s="201"/>
      <c r="B5253" s="209"/>
      <c r="C5253" s="201"/>
      <c r="D5253" s="201"/>
      <c r="E5253" s="202"/>
      <c r="F5253" s="210"/>
      <c r="G5253" s="210"/>
      <c r="H5253" s="206" t="s">
        <v>121</v>
      </c>
      <c r="I5253" s="206" t="s">
        <v>121</v>
      </c>
      <c r="J5253" s="206" t="s">
        <v>121</v>
      </c>
      <c r="K5253" s="206" t="s">
        <v>121</v>
      </c>
      <c r="L5253" s="206" t="str">
        <v/>
      </c>
      <c r="M5253" s="206" t="str">
        <v/>
      </c>
    </row>
    <row r="5254" spans="1:13" ht="14.4">
      <c r="A5254" s="201"/>
      <c r="B5254" s="209"/>
      <c r="C5254" s="201"/>
      <c r="D5254" s="201"/>
      <c r="E5254" s="202"/>
      <c r="F5254" s="210"/>
      <c r="G5254" s="210"/>
      <c r="H5254" s="206" t="s">
        <v>121</v>
      </c>
      <c r="I5254" s="206" t="s">
        <v>121</v>
      </c>
      <c r="J5254" s="206" t="s">
        <v>121</v>
      </c>
      <c r="K5254" s="206" t="s">
        <v>121</v>
      </c>
      <c r="L5254" s="206" t="str">
        <v/>
      </c>
      <c r="M5254" s="206" t="str">
        <v/>
      </c>
    </row>
    <row r="5255" spans="1:13" ht="14.4">
      <c r="A5255" s="201"/>
      <c r="B5255" s="209"/>
      <c r="C5255" s="201"/>
      <c r="D5255" s="201"/>
      <c r="E5255" s="202"/>
      <c r="F5255" s="210"/>
      <c r="G5255" s="210"/>
      <c r="H5255" s="206" t="s">
        <v>121</v>
      </c>
      <c r="I5255" s="206" t="s">
        <v>121</v>
      </c>
      <c r="J5255" s="206" t="s">
        <v>121</v>
      </c>
      <c r="K5255" s="206" t="s">
        <v>121</v>
      </c>
      <c r="L5255" s="206" t="str">
        <v/>
      </c>
      <c r="M5255" s="206" t="str">
        <v/>
      </c>
    </row>
    <row r="5256" spans="1:13" ht="14.4">
      <c r="A5256" s="201"/>
      <c r="B5256" s="209"/>
      <c r="C5256" s="201"/>
      <c r="D5256" s="201"/>
      <c r="E5256" s="202"/>
      <c r="F5256" s="210"/>
      <c r="G5256" s="210"/>
      <c r="H5256" s="206" t="s">
        <v>121</v>
      </c>
      <c r="I5256" s="206" t="s">
        <v>121</v>
      </c>
      <c r="J5256" s="206" t="s">
        <v>121</v>
      </c>
      <c r="K5256" s="206" t="s">
        <v>121</v>
      </c>
      <c r="L5256" s="206" t="str">
        <v/>
      </c>
      <c r="M5256" s="206" t="str">
        <v/>
      </c>
    </row>
    <row r="5257" spans="1:13" ht="14.4">
      <c r="A5257" s="201"/>
      <c r="B5257" s="209"/>
      <c r="C5257" s="201"/>
      <c r="D5257" s="201"/>
      <c r="E5257" s="202"/>
      <c r="F5257" s="210"/>
      <c r="G5257" s="210"/>
      <c r="H5257" s="206" t="s">
        <v>121</v>
      </c>
      <c r="I5257" s="206" t="s">
        <v>121</v>
      </c>
      <c r="J5257" s="206" t="s">
        <v>121</v>
      </c>
      <c r="K5257" s="206" t="s">
        <v>121</v>
      </c>
      <c r="L5257" s="206" t="str">
        <v/>
      </c>
      <c r="M5257" s="206" t="str">
        <v/>
      </c>
    </row>
    <row r="5258" spans="1:13" ht="14.4">
      <c r="A5258" s="201"/>
      <c r="B5258" s="209"/>
      <c r="C5258" s="201"/>
      <c r="D5258" s="201"/>
      <c r="E5258" s="202"/>
      <c r="F5258" s="210"/>
      <c r="G5258" s="210"/>
      <c r="H5258" s="206" t="s">
        <v>121</v>
      </c>
      <c r="I5258" s="206" t="s">
        <v>121</v>
      </c>
      <c r="J5258" s="206" t="s">
        <v>121</v>
      </c>
      <c r="K5258" s="206" t="s">
        <v>121</v>
      </c>
      <c r="L5258" s="206" t="str">
        <v/>
      </c>
      <c r="M5258" s="206" t="str">
        <v/>
      </c>
    </row>
    <row r="5259" spans="1:13" ht="14.4">
      <c r="A5259" s="201"/>
      <c r="B5259" s="209"/>
      <c r="C5259" s="201"/>
      <c r="D5259" s="201"/>
      <c r="E5259" s="202"/>
      <c r="F5259" s="210"/>
      <c r="G5259" s="210"/>
      <c r="H5259" s="206" t="s">
        <v>121</v>
      </c>
      <c r="I5259" s="206" t="s">
        <v>121</v>
      </c>
      <c r="J5259" s="206" t="s">
        <v>121</v>
      </c>
      <c r="K5259" s="206" t="s">
        <v>121</v>
      </c>
      <c r="L5259" s="206" t="str">
        <v/>
      </c>
      <c r="M5259" s="206" t="str">
        <v/>
      </c>
    </row>
    <row r="5260" spans="1:13" ht="14.4">
      <c r="A5260" s="201"/>
      <c r="B5260" s="209"/>
      <c r="C5260" s="201"/>
      <c r="D5260" s="201"/>
      <c r="E5260" s="202"/>
      <c r="F5260" s="210"/>
      <c r="G5260" s="210"/>
      <c r="H5260" s="206" t="s">
        <v>121</v>
      </c>
      <c r="I5260" s="206" t="s">
        <v>121</v>
      </c>
      <c r="J5260" s="206" t="s">
        <v>121</v>
      </c>
      <c r="K5260" s="206" t="s">
        <v>121</v>
      </c>
      <c r="L5260" s="206" t="str">
        <v/>
      </c>
      <c r="M5260" s="206" t="str">
        <v/>
      </c>
    </row>
    <row r="5261" spans="1:13" ht="14.4">
      <c r="A5261" s="201"/>
      <c r="B5261" s="209"/>
      <c r="C5261" s="201"/>
      <c r="D5261" s="201"/>
      <c r="E5261" s="202"/>
      <c r="F5261" s="210"/>
      <c r="G5261" s="210"/>
      <c r="H5261" s="206" t="s">
        <v>121</v>
      </c>
      <c r="I5261" s="206" t="s">
        <v>121</v>
      </c>
      <c r="J5261" s="206" t="s">
        <v>121</v>
      </c>
      <c r="K5261" s="206" t="s">
        <v>121</v>
      </c>
      <c r="L5261" s="206" t="str">
        <v/>
      </c>
      <c r="M5261" s="206" t="str">
        <v/>
      </c>
    </row>
    <row r="5262" spans="1:13" ht="14.4">
      <c r="A5262" s="201"/>
      <c r="B5262" s="209"/>
      <c r="C5262" s="201"/>
      <c r="D5262" s="201"/>
      <c r="E5262" s="202"/>
      <c r="F5262" s="210"/>
      <c r="G5262" s="210"/>
      <c r="H5262" s="206" t="s">
        <v>121</v>
      </c>
      <c r="I5262" s="206" t="s">
        <v>121</v>
      </c>
      <c r="J5262" s="206" t="s">
        <v>121</v>
      </c>
      <c r="K5262" s="206" t="s">
        <v>121</v>
      </c>
      <c r="L5262" s="206" t="str">
        <v/>
      </c>
      <c r="M5262" s="206" t="str">
        <v/>
      </c>
    </row>
    <row r="5263" spans="1:13" ht="14.4">
      <c r="A5263" s="201"/>
      <c r="B5263" s="209"/>
      <c r="C5263" s="201"/>
      <c r="D5263" s="201"/>
      <c r="E5263" s="202"/>
      <c r="F5263" s="210"/>
      <c r="G5263" s="210"/>
      <c r="H5263" s="206" t="s">
        <v>121</v>
      </c>
      <c r="I5263" s="206" t="s">
        <v>121</v>
      </c>
      <c r="J5263" s="206" t="s">
        <v>121</v>
      </c>
      <c r="K5263" s="206" t="s">
        <v>121</v>
      </c>
      <c r="L5263" s="206" t="str">
        <v/>
      </c>
      <c r="M5263" s="206" t="str">
        <v/>
      </c>
    </row>
    <row r="5264" spans="1:13" ht="14.4">
      <c r="A5264" s="201"/>
      <c r="B5264" s="209"/>
      <c r="C5264" s="201"/>
      <c r="D5264" s="201"/>
      <c r="E5264" s="202"/>
      <c r="F5264" s="210"/>
      <c r="G5264" s="210"/>
      <c r="H5264" s="206" t="s">
        <v>121</v>
      </c>
      <c r="I5264" s="206" t="s">
        <v>121</v>
      </c>
      <c r="J5264" s="206" t="s">
        <v>121</v>
      </c>
      <c r="K5264" s="206" t="s">
        <v>121</v>
      </c>
      <c r="L5264" s="206" t="str">
        <v/>
      </c>
      <c r="M5264" s="206" t="str">
        <v/>
      </c>
    </row>
    <row r="5265" spans="1:13" ht="14.4">
      <c r="A5265" s="201"/>
      <c r="B5265" s="209"/>
      <c r="C5265" s="201"/>
      <c r="D5265" s="201"/>
      <c r="E5265" s="202"/>
      <c r="F5265" s="210"/>
      <c r="G5265" s="210"/>
      <c r="H5265" s="206" t="s">
        <v>121</v>
      </c>
      <c r="I5265" s="206" t="s">
        <v>121</v>
      </c>
      <c r="J5265" s="206" t="s">
        <v>121</v>
      </c>
      <c r="K5265" s="206" t="s">
        <v>121</v>
      </c>
      <c r="L5265" s="206" t="str">
        <v/>
      </c>
      <c r="M5265" s="206" t="str">
        <v/>
      </c>
    </row>
    <row r="5266" spans="1:13" ht="14.4">
      <c r="A5266" s="201"/>
      <c r="B5266" s="209"/>
      <c r="C5266" s="201"/>
      <c r="D5266" s="201"/>
      <c r="E5266" s="202"/>
      <c r="F5266" s="210"/>
      <c r="G5266" s="210"/>
      <c r="H5266" s="206" t="s">
        <v>121</v>
      </c>
      <c r="I5266" s="206" t="s">
        <v>121</v>
      </c>
      <c r="J5266" s="206" t="s">
        <v>121</v>
      </c>
      <c r="K5266" s="206" t="s">
        <v>121</v>
      </c>
      <c r="L5266" s="206" t="str">
        <v/>
      </c>
      <c r="M5266" s="206" t="str">
        <v/>
      </c>
    </row>
    <row r="5267" spans="1:13" ht="14.4">
      <c r="A5267" s="201"/>
      <c r="B5267" s="209"/>
      <c r="C5267" s="201"/>
      <c r="D5267" s="201"/>
      <c r="E5267" s="202"/>
      <c r="F5267" s="210"/>
      <c r="G5267" s="210"/>
      <c r="H5267" s="206" t="s">
        <v>121</v>
      </c>
      <c r="I5267" s="206" t="s">
        <v>121</v>
      </c>
      <c r="J5267" s="206" t="s">
        <v>121</v>
      </c>
      <c r="K5267" s="206" t="s">
        <v>121</v>
      </c>
      <c r="L5267" s="206" t="str">
        <v/>
      </c>
      <c r="M5267" s="206" t="str">
        <v/>
      </c>
    </row>
    <row r="5268" spans="1:13" ht="14.4">
      <c r="A5268" s="201"/>
      <c r="B5268" s="209"/>
      <c r="C5268" s="201"/>
      <c r="D5268" s="201"/>
      <c r="E5268" s="202"/>
      <c r="F5268" s="210"/>
      <c r="G5268" s="210"/>
      <c r="H5268" s="206" t="s">
        <v>121</v>
      </c>
      <c r="I5268" s="206" t="s">
        <v>121</v>
      </c>
      <c r="J5268" s="206" t="s">
        <v>121</v>
      </c>
      <c r="K5268" s="206" t="s">
        <v>121</v>
      </c>
      <c r="L5268" s="206" t="str">
        <v/>
      </c>
      <c r="M5268" s="206" t="str">
        <v/>
      </c>
    </row>
    <row r="5269" spans="1:13" ht="14.4">
      <c r="A5269" s="201"/>
      <c r="B5269" s="209"/>
      <c r="C5269" s="201"/>
      <c r="D5269" s="201"/>
      <c r="E5269" s="202"/>
      <c r="F5269" s="210"/>
      <c r="G5269" s="210"/>
      <c r="H5269" s="206" t="s">
        <v>121</v>
      </c>
      <c r="I5269" s="206" t="s">
        <v>121</v>
      </c>
      <c r="J5269" s="206" t="s">
        <v>121</v>
      </c>
      <c r="K5269" s="206" t="s">
        <v>121</v>
      </c>
      <c r="L5269" s="206" t="str">
        <v/>
      </c>
      <c r="M5269" s="206" t="str">
        <v/>
      </c>
    </row>
    <row r="5270" spans="1:13" ht="14.4">
      <c r="A5270" s="201"/>
      <c r="B5270" s="209"/>
      <c r="C5270" s="201"/>
      <c r="D5270" s="201"/>
      <c r="E5270" s="202"/>
      <c r="F5270" s="210"/>
      <c r="G5270" s="210"/>
      <c r="H5270" s="206" t="s">
        <v>121</v>
      </c>
      <c r="I5270" s="206" t="s">
        <v>121</v>
      </c>
      <c r="J5270" s="206" t="s">
        <v>121</v>
      </c>
      <c r="K5270" s="206" t="s">
        <v>121</v>
      </c>
      <c r="L5270" s="206" t="str">
        <v/>
      </c>
      <c r="M5270" s="206" t="str">
        <v/>
      </c>
    </row>
    <row r="5271" spans="1:13" ht="14.4">
      <c r="A5271" s="201"/>
      <c r="B5271" s="209"/>
      <c r="C5271" s="201"/>
      <c r="D5271" s="201"/>
      <c r="E5271" s="202"/>
      <c r="F5271" s="210"/>
      <c r="G5271" s="210"/>
      <c r="H5271" s="206" t="s">
        <v>121</v>
      </c>
      <c r="I5271" s="206" t="s">
        <v>121</v>
      </c>
      <c r="J5271" s="206" t="s">
        <v>121</v>
      </c>
      <c r="K5271" s="206" t="s">
        <v>121</v>
      </c>
      <c r="L5271" s="206" t="str">
        <v/>
      </c>
      <c r="M5271" s="206" t="str">
        <v/>
      </c>
    </row>
    <row r="5272" spans="1:13" ht="14.4">
      <c r="A5272" s="201"/>
      <c r="B5272" s="209"/>
      <c r="C5272" s="201"/>
      <c r="D5272" s="201"/>
      <c r="E5272" s="202"/>
      <c r="F5272" s="210"/>
      <c r="G5272" s="210"/>
      <c r="H5272" s="206" t="s">
        <v>121</v>
      </c>
      <c r="I5272" s="206" t="s">
        <v>121</v>
      </c>
      <c r="J5272" s="206" t="s">
        <v>121</v>
      </c>
      <c r="K5272" s="206" t="s">
        <v>121</v>
      </c>
      <c r="L5272" s="206" t="str">
        <v/>
      </c>
      <c r="M5272" s="206" t="str">
        <v/>
      </c>
    </row>
    <row r="5273" spans="1:13" ht="14.4">
      <c r="A5273" s="201"/>
      <c r="B5273" s="209"/>
      <c r="C5273" s="201"/>
      <c r="D5273" s="201"/>
      <c r="E5273" s="202"/>
      <c r="F5273" s="210"/>
      <c r="G5273" s="210"/>
      <c r="H5273" s="206" t="s">
        <v>121</v>
      </c>
      <c r="I5273" s="206" t="s">
        <v>121</v>
      </c>
      <c r="J5273" s="206" t="s">
        <v>121</v>
      </c>
      <c r="K5273" s="206" t="s">
        <v>121</v>
      </c>
      <c r="L5273" s="206" t="str">
        <v/>
      </c>
      <c r="M5273" s="206" t="str">
        <v/>
      </c>
    </row>
    <row r="5274" spans="1:13" ht="14.4">
      <c r="A5274" s="201"/>
      <c r="B5274" s="209"/>
      <c r="C5274" s="201"/>
      <c r="D5274" s="201"/>
      <c r="E5274" s="202"/>
      <c r="F5274" s="210"/>
      <c r="G5274" s="210"/>
      <c r="H5274" s="206" t="s">
        <v>121</v>
      </c>
      <c r="I5274" s="206" t="s">
        <v>121</v>
      </c>
      <c r="J5274" s="206" t="s">
        <v>121</v>
      </c>
      <c r="K5274" s="206" t="s">
        <v>121</v>
      </c>
      <c r="L5274" s="206" t="str">
        <v/>
      </c>
      <c r="M5274" s="206" t="str">
        <v/>
      </c>
    </row>
    <row r="5275" spans="1:13" ht="14.4">
      <c r="A5275" s="201"/>
      <c r="B5275" s="209"/>
      <c r="C5275" s="201"/>
      <c r="D5275" s="201"/>
      <c r="E5275" s="202"/>
      <c r="F5275" s="210"/>
      <c r="G5275" s="210"/>
      <c r="H5275" s="206" t="s">
        <v>121</v>
      </c>
      <c r="I5275" s="206" t="s">
        <v>121</v>
      </c>
      <c r="J5275" s="206" t="s">
        <v>121</v>
      </c>
      <c r="K5275" s="206" t="s">
        <v>121</v>
      </c>
      <c r="L5275" s="206" t="str">
        <v/>
      </c>
      <c r="M5275" s="206" t="str">
        <v/>
      </c>
    </row>
    <row r="5276" spans="1:13" ht="14.4">
      <c r="A5276" s="201"/>
      <c r="B5276" s="209"/>
      <c r="C5276" s="201"/>
      <c r="D5276" s="201"/>
      <c r="E5276" s="202"/>
      <c r="F5276" s="210"/>
      <c r="G5276" s="210"/>
      <c r="H5276" s="206" t="s">
        <v>121</v>
      </c>
      <c r="I5276" s="206" t="s">
        <v>121</v>
      </c>
      <c r="J5276" s="206" t="s">
        <v>121</v>
      </c>
      <c r="K5276" s="206" t="s">
        <v>121</v>
      </c>
      <c r="L5276" s="206" t="str">
        <v/>
      </c>
      <c r="M5276" s="206" t="str">
        <v/>
      </c>
    </row>
    <row r="5277" spans="1:13" ht="14.4">
      <c r="A5277" s="201"/>
      <c r="B5277" s="209"/>
      <c r="C5277" s="201"/>
      <c r="D5277" s="201"/>
      <c r="E5277" s="202"/>
      <c r="F5277" s="210"/>
      <c r="G5277" s="210"/>
      <c r="H5277" s="206" t="s">
        <v>121</v>
      </c>
      <c r="I5277" s="206" t="s">
        <v>121</v>
      </c>
      <c r="J5277" s="206" t="s">
        <v>121</v>
      </c>
      <c r="K5277" s="206" t="s">
        <v>121</v>
      </c>
      <c r="L5277" s="206" t="str">
        <v/>
      </c>
      <c r="M5277" s="206" t="str">
        <v/>
      </c>
    </row>
    <row r="5278" spans="1:13" ht="14.4">
      <c r="A5278" s="201"/>
      <c r="B5278" s="209"/>
      <c r="C5278" s="201"/>
      <c r="D5278" s="201"/>
      <c r="E5278" s="202"/>
      <c r="F5278" s="210"/>
      <c r="G5278" s="210"/>
      <c r="H5278" s="206" t="s">
        <v>121</v>
      </c>
      <c r="I5278" s="206" t="s">
        <v>121</v>
      </c>
      <c r="J5278" s="206" t="s">
        <v>121</v>
      </c>
      <c r="K5278" s="206" t="s">
        <v>121</v>
      </c>
      <c r="L5278" s="206" t="str">
        <v/>
      </c>
      <c r="M5278" s="206" t="str">
        <v/>
      </c>
    </row>
    <row r="5279" spans="1:13" ht="14.4">
      <c r="A5279" s="201"/>
      <c r="B5279" s="209"/>
      <c r="C5279" s="201"/>
      <c r="D5279" s="201"/>
      <c r="E5279" s="202"/>
      <c r="F5279" s="210"/>
      <c r="G5279" s="210"/>
      <c r="H5279" s="206" t="s">
        <v>121</v>
      </c>
      <c r="I5279" s="206" t="s">
        <v>121</v>
      </c>
      <c r="J5279" s="206" t="s">
        <v>121</v>
      </c>
      <c r="K5279" s="206" t="s">
        <v>121</v>
      </c>
      <c r="L5279" s="206" t="str">
        <v/>
      </c>
      <c r="M5279" s="206" t="str">
        <v/>
      </c>
    </row>
    <row r="5280" spans="1:13" ht="14.4">
      <c r="A5280" s="201"/>
      <c r="B5280" s="209"/>
      <c r="C5280" s="201"/>
      <c r="D5280" s="201"/>
      <c r="E5280" s="202"/>
      <c r="F5280" s="210"/>
      <c r="G5280" s="210"/>
      <c r="H5280" s="206" t="s">
        <v>121</v>
      </c>
      <c r="I5280" s="206" t="s">
        <v>121</v>
      </c>
      <c r="J5280" s="206" t="s">
        <v>121</v>
      </c>
      <c r="K5280" s="206" t="s">
        <v>121</v>
      </c>
      <c r="L5280" s="206" t="str">
        <v/>
      </c>
      <c r="M5280" s="206" t="str">
        <v/>
      </c>
    </row>
    <row r="5281" spans="1:13" ht="14.4">
      <c r="A5281" s="201"/>
      <c r="B5281" s="209"/>
      <c r="C5281" s="201"/>
      <c r="D5281" s="201"/>
      <c r="E5281" s="202"/>
      <c r="F5281" s="210"/>
      <c r="G5281" s="210"/>
      <c r="H5281" s="206" t="s">
        <v>121</v>
      </c>
      <c r="I5281" s="206" t="s">
        <v>121</v>
      </c>
      <c r="J5281" s="206" t="s">
        <v>121</v>
      </c>
      <c r="K5281" s="206" t="s">
        <v>121</v>
      </c>
      <c r="L5281" s="206" t="str">
        <v/>
      </c>
      <c r="M5281" s="206" t="str">
        <v/>
      </c>
    </row>
    <row r="5282" spans="1:13" ht="14.4">
      <c r="A5282" s="201"/>
      <c r="B5282" s="209"/>
      <c r="C5282" s="201"/>
      <c r="D5282" s="201"/>
      <c r="E5282" s="202"/>
      <c r="F5282" s="210"/>
      <c r="G5282" s="210"/>
      <c r="H5282" s="206" t="s">
        <v>121</v>
      </c>
      <c r="I5282" s="206" t="s">
        <v>121</v>
      </c>
      <c r="J5282" s="206" t="s">
        <v>121</v>
      </c>
      <c r="K5282" s="206" t="s">
        <v>121</v>
      </c>
      <c r="L5282" s="206" t="str">
        <v/>
      </c>
      <c r="M5282" s="206" t="str">
        <v/>
      </c>
    </row>
    <row r="5283" spans="1:13" ht="14.4">
      <c r="A5283" s="201"/>
      <c r="B5283" s="209"/>
      <c r="C5283" s="201"/>
      <c r="D5283" s="201"/>
      <c r="E5283" s="202"/>
      <c r="F5283" s="210"/>
      <c r="G5283" s="210"/>
      <c r="H5283" s="206" t="s">
        <v>121</v>
      </c>
      <c r="I5283" s="206" t="s">
        <v>121</v>
      </c>
      <c r="J5283" s="206" t="s">
        <v>121</v>
      </c>
      <c r="K5283" s="206" t="s">
        <v>121</v>
      </c>
      <c r="L5283" s="206" t="str">
        <v/>
      </c>
      <c r="M5283" s="206" t="str">
        <v/>
      </c>
    </row>
    <row r="5284" spans="1:13" ht="14.4">
      <c r="A5284" s="201"/>
      <c r="B5284" s="209"/>
      <c r="C5284" s="201"/>
      <c r="D5284" s="201"/>
      <c r="E5284" s="202"/>
      <c r="F5284" s="210"/>
      <c r="G5284" s="210"/>
      <c r="H5284" s="206" t="s">
        <v>121</v>
      </c>
      <c r="I5284" s="206" t="s">
        <v>121</v>
      </c>
      <c r="J5284" s="206" t="s">
        <v>121</v>
      </c>
      <c r="K5284" s="206" t="s">
        <v>121</v>
      </c>
      <c r="L5284" s="206" t="str">
        <v/>
      </c>
      <c r="M5284" s="206" t="str">
        <v/>
      </c>
    </row>
    <row r="5285" spans="1:13" ht="14.4">
      <c r="A5285" s="201"/>
      <c r="B5285" s="209"/>
      <c r="C5285" s="201"/>
      <c r="D5285" s="201"/>
      <c r="E5285" s="202"/>
      <c r="F5285" s="210"/>
      <c r="G5285" s="210"/>
      <c r="H5285" s="206" t="s">
        <v>121</v>
      </c>
      <c r="I5285" s="206" t="s">
        <v>121</v>
      </c>
      <c r="J5285" s="206" t="s">
        <v>121</v>
      </c>
      <c r="K5285" s="206" t="s">
        <v>121</v>
      </c>
      <c r="L5285" s="206" t="str">
        <v/>
      </c>
      <c r="M5285" s="206" t="str">
        <v/>
      </c>
    </row>
    <row r="5286" spans="1:13" ht="14.4">
      <c r="A5286" s="201"/>
      <c r="B5286" s="209"/>
      <c r="C5286" s="201"/>
      <c r="D5286" s="201"/>
      <c r="E5286" s="202"/>
      <c r="F5286" s="210"/>
      <c r="G5286" s="210"/>
      <c r="H5286" s="206" t="s">
        <v>121</v>
      </c>
      <c r="I5286" s="206" t="s">
        <v>121</v>
      </c>
      <c r="J5286" s="206" t="s">
        <v>121</v>
      </c>
      <c r="K5286" s="206" t="s">
        <v>121</v>
      </c>
      <c r="L5286" s="206" t="str">
        <v/>
      </c>
      <c r="M5286" s="206" t="str">
        <v/>
      </c>
    </row>
    <row r="5287" spans="1:13" ht="14.4">
      <c r="A5287" s="201"/>
      <c r="B5287" s="209"/>
      <c r="C5287" s="201"/>
      <c r="D5287" s="201"/>
      <c r="E5287" s="202"/>
      <c r="F5287" s="210"/>
      <c r="G5287" s="210"/>
      <c r="H5287" s="206" t="s">
        <v>121</v>
      </c>
      <c r="I5287" s="206" t="s">
        <v>121</v>
      </c>
      <c r="J5287" s="206" t="s">
        <v>121</v>
      </c>
      <c r="K5287" s="206" t="s">
        <v>121</v>
      </c>
      <c r="L5287" s="206" t="str">
        <v/>
      </c>
      <c r="M5287" s="206" t="str">
        <v/>
      </c>
    </row>
    <row r="5288" spans="1:13" ht="14.4">
      <c r="A5288" s="201"/>
      <c r="B5288" s="209"/>
      <c r="C5288" s="201"/>
      <c r="D5288" s="201"/>
      <c r="E5288" s="202"/>
      <c r="F5288" s="210"/>
      <c r="G5288" s="210"/>
      <c r="H5288" s="206" t="s">
        <v>121</v>
      </c>
      <c r="I5288" s="206" t="s">
        <v>121</v>
      </c>
      <c r="J5288" s="206" t="s">
        <v>121</v>
      </c>
      <c r="K5288" s="206" t="s">
        <v>121</v>
      </c>
      <c r="L5288" s="206" t="str">
        <v/>
      </c>
      <c r="M5288" s="206" t="str">
        <v/>
      </c>
    </row>
    <row r="5289" spans="1:13" ht="14.4">
      <c r="A5289" s="201"/>
      <c r="B5289" s="209"/>
      <c r="C5289" s="201"/>
      <c r="D5289" s="201"/>
      <c r="E5289" s="202"/>
      <c r="F5289" s="210"/>
      <c r="G5289" s="210"/>
      <c r="H5289" s="206" t="s">
        <v>121</v>
      </c>
      <c r="I5289" s="206" t="s">
        <v>121</v>
      </c>
      <c r="J5289" s="206" t="s">
        <v>121</v>
      </c>
      <c r="K5289" s="206" t="s">
        <v>121</v>
      </c>
      <c r="L5289" s="206" t="str">
        <v/>
      </c>
      <c r="M5289" s="206" t="str">
        <v/>
      </c>
    </row>
    <row r="5290" spans="1:13" ht="14.4">
      <c r="A5290" s="201"/>
      <c r="B5290" s="209"/>
      <c r="C5290" s="201"/>
      <c r="D5290" s="201"/>
      <c r="E5290" s="202"/>
      <c r="F5290" s="210"/>
      <c r="G5290" s="210"/>
      <c r="H5290" s="206" t="s">
        <v>121</v>
      </c>
      <c r="I5290" s="206" t="s">
        <v>121</v>
      </c>
      <c r="J5290" s="206" t="s">
        <v>121</v>
      </c>
      <c r="K5290" s="206" t="s">
        <v>121</v>
      </c>
      <c r="L5290" s="206" t="str">
        <v/>
      </c>
      <c r="M5290" s="206" t="str">
        <v/>
      </c>
    </row>
    <row r="5291" spans="1:13" ht="14.4">
      <c r="A5291" s="201"/>
      <c r="B5291" s="209"/>
      <c r="C5291" s="201"/>
      <c r="D5291" s="201"/>
      <c r="E5291" s="202"/>
      <c r="F5291" s="210"/>
      <c r="G5291" s="210"/>
      <c r="H5291" s="206" t="s">
        <v>121</v>
      </c>
      <c r="I5291" s="206" t="s">
        <v>121</v>
      </c>
      <c r="J5291" s="206" t="s">
        <v>121</v>
      </c>
      <c r="K5291" s="206" t="s">
        <v>121</v>
      </c>
      <c r="L5291" s="206" t="str">
        <v/>
      </c>
      <c r="M5291" s="206" t="str">
        <v/>
      </c>
    </row>
    <row r="5292" spans="1:13" ht="14.4">
      <c r="A5292" s="201"/>
      <c r="B5292" s="209"/>
      <c r="C5292" s="201"/>
      <c r="D5292" s="201"/>
      <c r="E5292" s="202"/>
      <c r="F5292" s="210"/>
      <c r="G5292" s="210"/>
      <c r="H5292" s="206" t="s">
        <v>121</v>
      </c>
      <c r="I5292" s="206" t="s">
        <v>121</v>
      </c>
      <c r="J5292" s="206" t="s">
        <v>121</v>
      </c>
      <c r="K5292" s="206" t="s">
        <v>121</v>
      </c>
      <c r="L5292" s="206" t="str">
        <v/>
      </c>
      <c r="M5292" s="206" t="str">
        <v/>
      </c>
    </row>
    <row r="5293" spans="1:13" ht="14.4">
      <c r="A5293" s="201"/>
      <c r="B5293" s="209"/>
      <c r="C5293" s="201"/>
      <c r="D5293" s="201"/>
      <c r="E5293" s="202"/>
      <c r="F5293" s="210"/>
      <c r="G5293" s="210"/>
      <c r="H5293" s="206" t="s">
        <v>121</v>
      </c>
      <c r="I5293" s="206" t="s">
        <v>121</v>
      </c>
      <c r="J5293" s="206" t="s">
        <v>121</v>
      </c>
      <c r="K5293" s="206" t="s">
        <v>121</v>
      </c>
      <c r="L5293" s="206" t="str">
        <v/>
      </c>
      <c r="M5293" s="206" t="str">
        <v/>
      </c>
    </row>
    <row r="5294" spans="1:13" ht="14.4">
      <c r="A5294" s="201"/>
      <c r="B5294" s="209"/>
      <c r="C5294" s="201"/>
      <c r="D5294" s="201"/>
      <c r="E5294" s="202"/>
      <c r="F5294" s="210"/>
      <c r="G5294" s="210"/>
      <c r="H5294" s="206" t="s">
        <v>121</v>
      </c>
      <c r="I5294" s="206" t="s">
        <v>121</v>
      </c>
      <c r="J5294" s="206" t="s">
        <v>121</v>
      </c>
      <c r="K5294" s="206" t="s">
        <v>121</v>
      </c>
      <c r="L5294" s="206" t="str">
        <v/>
      </c>
      <c r="M5294" s="206" t="str">
        <v/>
      </c>
    </row>
    <row r="5295" spans="1:13" ht="14.4">
      <c r="A5295" s="201"/>
      <c r="B5295" s="209"/>
      <c r="C5295" s="201"/>
      <c r="D5295" s="201"/>
      <c r="E5295" s="202"/>
      <c r="F5295" s="210"/>
      <c r="G5295" s="210"/>
      <c r="H5295" s="206" t="s">
        <v>121</v>
      </c>
      <c r="I5295" s="206" t="s">
        <v>121</v>
      </c>
      <c r="J5295" s="206" t="s">
        <v>121</v>
      </c>
      <c r="K5295" s="206" t="s">
        <v>121</v>
      </c>
      <c r="L5295" s="206" t="str">
        <v/>
      </c>
      <c r="M5295" s="206" t="str">
        <v/>
      </c>
    </row>
    <row r="5296" spans="1:13" ht="14.4">
      <c r="A5296" s="201"/>
      <c r="B5296" s="209"/>
      <c r="C5296" s="201"/>
      <c r="D5296" s="201"/>
      <c r="E5296" s="202"/>
      <c r="F5296" s="210"/>
      <c r="G5296" s="210"/>
      <c r="H5296" s="206" t="s">
        <v>121</v>
      </c>
      <c r="I5296" s="206" t="s">
        <v>121</v>
      </c>
      <c r="J5296" s="206" t="s">
        <v>121</v>
      </c>
      <c r="K5296" s="206" t="s">
        <v>121</v>
      </c>
      <c r="L5296" s="206" t="str">
        <v/>
      </c>
      <c r="M5296" s="206" t="str">
        <v/>
      </c>
    </row>
    <row r="5297" spans="1:13" ht="14.4">
      <c r="A5297" s="201"/>
      <c r="B5297" s="209"/>
      <c r="C5297" s="201"/>
      <c r="D5297" s="201"/>
      <c r="E5297" s="202"/>
      <c r="F5297" s="210"/>
      <c r="G5297" s="210"/>
      <c r="H5297" s="206" t="s">
        <v>121</v>
      </c>
      <c r="I5297" s="206" t="s">
        <v>121</v>
      </c>
      <c r="J5297" s="206" t="s">
        <v>121</v>
      </c>
      <c r="K5297" s="206" t="s">
        <v>121</v>
      </c>
      <c r="L5297" s="206" t="str">
        <v/>
      </c>
      <c r="M5297" s="206" t="str">
        <v/>
      </c>
    </row>
    <row r="5298" spans="1:13" ht="14.4">
      <c r="A5298" s="201"/>
      <c r="B5298" s="209"/>
      <c r="C5298" s="201"/>
      <c r="D5298" s="201"/>
      <c r="E5298" s="202"/>
      <c r="F5298" s="210"/>
      <c r="G5298" s="210"/>
      <c r="H5298" s="206" t="s">
        <v>121</v>
      </c>
      <c r="I5298" s="206" t="s">
        <v>121</v>
      </c>
      <c r="J5298" s="206" t="s">
        <v>121</v>
      </c>
      <c r="K5298" s="206" t="s">
        <v>121</v>
      </c>
      <c r="L5298" s="206" t="str">
        <v/>
      </c>
      <c r="M5298" s="206" t="str">
        <v/>
      </c>
    </row>
    <row r="5299" spans="1:13" ht="14.4">
      <c r="A5299" s="201"/>
      <c r="B5299" s="209"/>
      <c r="C5299" s="201"/>
      <c r="D5299" s="201"/>
      <c r="E5299" s="202"/>
      <c r="F5299" s="210"/>
      <c r="G5299" s="210"/>
      <c r="H5299" s="206" t="s">
        <v>121</v>
      </c>
      <c r="I5299" s="206" t="s">
        <v>121</v>
      </c>
      <c r="J5299" s="206" t="s">
        <v>121</v>
      </c>
      <c r="K5299" s="206" t="s">
        <v>121</v>
      </c>
      <c r="L5299" s="206" t="str">
        <v/>
      </c>
      <c r="M5299" s="206" t="str">
        <v/>
      </c>
    </row>
    <row r="5300" spans="1:13" ht="14.4">
      <c r="A5300" s="201"/>
      <c r="B5300" s="209"/>
      <c r="C5300" s="201"/>
      <c r="D5300" s="201"/>
      <c r="E5300" s="202"/>
      <c r="F5300" s="210"/>
      <c r="G5300" s="210"/>
      <c r="H5300" s="206" t="s">
        <v>121</v>
      </c>
      <c r="I5300" s="206" t="s">
        <v>121</v>
      </c>
      <c r="J5300" s="206" t="s">
        <v>121</v>
      </c>
      <c r="K5300" s="206" t="s">
        <v>121</v>
      </c>
      <c r="L5300" s="206" t="str">
        <v/>
      </c>
      <c r="M5300" s="206" t="str">
        <v/>
      </c>
    </row>
    <row r="5301" spans="1:13" ht="14.4">
      <c r="A5301" s="201"/>
      <c r="B5301" s="209"/>
      <c r="C5301" s="201"/>
      <c r="D5301" s="201"/>
      <c r="E5301" s="202"/>
      <c r="F5301" s="210"/>
      <c r="G5301" s="210"/>
      <c r="H5301" s="206" t="s">
        <v>121</v>
      </c>
      <c r="I5301" s="206" t="s">
        <v>121</v>
      </c>
      <c r="J5301" s="206" t="s">
        <v>121</v>
      </c>
      <c r="K5301" s="206" t="s">
        <v>121</v>
      </c>
      <c r="L5301" s="206" t="str">
        <v/>
      </c>
      <c r="M5301" s="206" t="str">
        <v/>
      </c>
    </row>
    <row r="5302" spans="1:13" ht="14.4">
      <c r="A5302" s="201"/>
      <c r="B5302" s="209"/>
      <c r="C5302" s="201"/>
      <c r="D5302" s="201"/>
      <c r="E5302" s="202"/>
      <c r="F5302" s="210"/>
      <c r="G5302" s="210"/>
      <c r="H5302" s="206" t="s">
        <v>121</v>
      </c>
      <c r="I5302" s="206" t="s">
        <v>121</v>
      </c>
      <c r="J5302" s="206" t="s">
        <v>121</v>
      </c>
      <c r="K5302" s="206" t="s">
        <v>121</v>
      </c>
      <c r="L5302" s="206" t="str">
        <v/>
      </c>
      <c r="M5302" s="206" t="str">
        <v/>
      </c>
    </row>
    <row r="5303" spans="1:13" ht="14.4">
      <c r="A5303" s="201"/>
      <c r="B5303" s="209"/>
      <c r="C5303" s="201"/>
      <c r="D5303" s="201"/>
      <c r="E5303" s="202"/>
      <c r="F5303" s="210"/>
      <c r="G5303" s="210"/>
      <c r="H5303" s="206" t="s">
        <v>121</v>
      </c>
      <c r="I5303" s="206" t="s">
        <v>121</v>
      </c>
      <c r="J5303" s="206" t="s">
        <v>121</v>
      </c>
      <c r="K5303" s="206" t="s">
        <v>121</v>
      </c>
      <c r="L5303" s="206" t="str">
        <v/>
      </c>
      <c r="M5303" s="206" t="str">
        <v/>
      </c>
    </row>
    <row r="5304" spans="1:13" ht="14.4">
      <c r="A5304" s="201"/>
      <c r="B5304" s="209"/>
      <c r="C5304" s="201"/>
      <c r="D5304" s="201"/>
      <c r="E5304" s="202"/>
      <c r="F5304" s="210"/>
      <c r="G5304" s="210"/>
      <c r="H5304" s="206" t="s">
        <v>121</v>
      </c>
      <c r="I5304" s="206" t="s">
        <v>121</v>
      </c>
      <c r="J5304" s="206" t="s">
        <v>121</v>
      </c>
      <c r="K5304" s="206" t="s">
        <v>121</v>
      </c>
      <c r="L5304" s="206" t="str">
        <v/>
      </c>
      <c r="M5304" s="206" t="str">
        <v/>
      </c>
    </row>
    <row r="5305" spans="1:13" ht="14.4">
      <c r="A5305" s="201"/>
      <c r="B5305" s="209"/>
      <c r="C5305" s="201"/>
      <c r="D5305" s="201"/>
      <c r="E5305" s="202"/>
      <c r="F5305" s="210"/>
      <c r="G5305" s="210"/>
      <c r="H5305" s="206" t="s">
        <v>121</v>
      </c>
      <c r="I5305" s="206" t="s">
        <v>121</v>
      </c>
      <c r="J5305" s="206" t="s">
        <v>121</v>
      </c>
      <c r="K5305" s="206" t="s">
        <v>121</v>
      </c>
      <c r="L5305" s="206" t="str">
        <v/>
      </c>
      <c r="M5305" s="206" t="str">
        <v/>
      </c>
    </row>
    <row r="5306" spans="1:13" ht="14.4">
      <c r="A5306" s="201"/>
      <c r="B5306" s="209"/>
      <c r="C5306" s="201"/>
      <c r="D5306" s="201"/>
      <c r="E5306" s="202"/>
      <c r="F5306" s="210"/>
      <c r="G5306" s="210"/>
      <c r="H5306" s="206" t="s">
        <v>121</v>
      </c>
      <c r="I5306" s="206" t="s">
        <v>121</v>
      </c>
      <c r="J5306" s="206" t="s">
        <v>121</v>
      </c>
      <c r="K5306" s="206" t="s">
        <v>121</v>
      </c>
      <c r="L5306" s="206" t="str">
        <v/>
      </c>
      <c r="M5306" s="206" t="str">
        <v/>
      </c>
    </row>
    <row r="5307" spans="1:13" ht="14.4">
      <c r="A5307" s="201"/>
      <c r="B5307" s="209"/>
      <c r="C5307" s="201"/>
      <c r="D5307" s="201"/>
      <c r="E5307" s="202"/>
      <c r="F5307" s="210"/>
      <c r="G5307" s="210"/>
      <c r="H5307" s="206" t="s">
        <v>121</v>
      </c>
      <c r="I5307" s="206" t="s">
        <v>121</v>
      </c>
      <c r="J5307" s="206" t="s">
        <v>121</v>
      </c>
      <c r="K5307" s="206" t="s">
        <v>121</v>
      </c>
      <c r="L5307" s="206" t="str">
        <v/>
      </c>
      <c r="M5307" s="206" t="str">
        <v/>
      </c>
    </row>
    <row r="5308" spans="1:13" ht="14.4">
      <c r="A5308" s="201"/>
      <c r="B5308" s="209"/>
      <c r="C5308" s="201"/>
      <c r="D5308" s="201"/>
      <c r="E5308" s="202"/>
      <c r="F5308" s="210"/>
      <c r="G5308" s="210"/>
      <c r="H5308" s="206" t="s">
        <v>121</v>
      </c>
      <c r="I5308" s="206" t="s">
        <v>121</v>
      </c>
      <c r="J5308" s="206" t="s">
        <v>121</v>
      </c>
      <c r="K5308" s="206" t="s">
        <v>121</v>
      </c>
      <c r="L5308" s="206" t="str">
        <v/>
      </c>
      <c r="M5308" s="206" t="str">
        <v/>
      </c>
    </row>
    <row r="5309" spans="1:13" ht="14.4">
      <c r="A5309" s="201"/>
      <c r="B5309" s="209"/>
      <c r="C5309" s="201"/>
      <c r="D5309" s="201"/>
      <c r="E5309" s="202"/>
      <c r="F5309" s="210"/>
      <c r="G5309" s="210"/>
      <c r="H5309" s="206" t="s">
        <v>121</v>
      </c>
      <c r="I5309" s="206" t="s">
        <v>121</v>
      </c>
      <c r="J5309" s="206" t="s">
        <v>121</v>
      </c>
      <c r="K5309" s="206" t="s">
        <v>121</v>
      </c>
      <c r="L5309" s="206" t="str">
        <v/>
      </c>
      <c r="M5309" s="206" t="str">
        <v/>
      </c>
    </row>
    <row r="5310" spans="1:13" ht="14.4">
      <c r="A5310" s="201"/>
      <c r="B5310" s="209"/>
      <c r="C5310" s="201"/>
      <c r="D5310" s="201"/>
      <c r="E5310" s="202"/>
      <c r="F5310" s="210"/>
      <c r="G5310" s="210"/>
      <c r="H5310" s="206" t="s">
        <v>121</v>
      </c>
      <c r="I5310" s="206" t="s">
        <v>121</v>
      </c>
      <c r="J5310" s="206" t="s">
        <v>121</v>
      </c>
      <c r="K5310" s="206" t="s">
        <v>121</v>
      </c>
      <c r="L5310" s="206" t="str">
        <v/>
      </c>
      <c r="M5310" s="206" t="str">
        <v/>
      </c>
    </row>
    <row r="5311" spans="1:13" ht="14.4">
      <c r="A5311" s="201"/>
      <c r="B5311" s="209"/>
      <c r="C5311" s="201"/>
      <c r="D5311" s="201"/>
      <c r="E5311" s="202"/>
      <c r="F5311" s="210"/>
      <c r="G5311" s="210"/>
      <c r="H5311" s="206" t="s">
        <v>121</v>
      </c>
      <c r="I5311" s="206" t="s">
        <v>121</v>
      </c>
      <c r="J5311" s="206" t="s">
        <v>121</v>
      </c>
      <c r="K5311" s="206" t="s">
        <v>121</v>
      </c>
      <c r="L5311" s="206" t="str">
        <v/>
      </c>
      <c r="M5311" s="206" t="str">
        <v/>
      </c>
    </row>
    <row r="5312" spans="1:13" ht="14.4">
      <c r="A5312" s="201"/>
      <c r="B5312" s="209"/>
      <c r="C5312" s="201"/>
      <c r="D5312" s="201"/>
      <c r="E5312" s="202"/>
      <c r="F5312" s="210"/>
      <c r="G5312" s="210"/>
      <c r="H5312" s="206" t="s">
        <v>121</v>
      </c>
      <c r="I5312" s="206" t="s">
        <v>121</v>
      </c>
      <c r="J5312" s="206" t="s">
        <v>121</v>
      </c>
      <c r="K5312" s="206" t="s">
        <v>121</v>
      </c>
      <c r="L5312" s="206" t="str">
        <v/>
      </c>
      <c r="M5312" s="206" t="str">
        <v/>
      </c>
    </row>
    <row r="5313" spans="1:13" ht="14.4">
      <c r="A5313" s="201"/>
      <c r="B5313" s="209"/>
      <c r="C5313" s="201"/>
      <c r="D5313" s="201"/>
      <c r="E5313" s="202"/>
      <c r="F5313" s="210"/>
      <c r="G5313" s="210"/>
      <c r="H5313" s="206" t="s">
        <v>121</v>
      </c>
      <c r="I5313" s="206" t="s">
        <v>121</v>
      </c>
      <c r="J5313" s="206" t="s">
        <v>121</v>
      </c>
      <c r="K5313" s="206" t="s">
        <v>121</v>
      </c>
      <c r="L5313" s="206" t="str">
        <v/>
      </c>
      <c r="M5313" s="206" t="str">
        <v/>
      </c>
    </row>
    <row r="5314" spans="1:13" ht="14.4">
      <c r="A5314" s="201"/>
      <c r="B5314" s="209"/>
      <c r="C5314" s="201"/>
      <c r="D5314" s="201"/>
      <c r="E5314" s="202"/>
      <c r="F5314" s="210"/>
      <c r="G5314" s="210"/>
      <c r="H5314" s="206" t="s">
        <v>121</v>
      </c>
      <c r="I5314" s="206" t="s">
        <v>121</v>
      </c>
      <c r="J5314" s="206" t="s">
        <v>121</v>
      </c>
      <c r="K5314" s="206" t="s">
        <v>121</v>
      </c>
      <c r="L5314" s="206" t="str">
        <v/>
      </c>
      <c r="M5314" s="206" t="str">
        <v/>
      </c>
    </row>
    <row r="5315" spans="1:13" ht="14.4">
      <c r="A5315" s="201"/>
      <c r="B5315" s="209"/>
      <c r="C5315" s="201"/>
      <c r="D5315" s="201"/>
      <c r="E5315" s="202"/>
      <c r="F5315" s="210"/>
      <c r="G5315" s="210"/>
      <c r="H5315" s="206" t="s">
        <v>121</v>
      </c>
      <c r="I5315" s="206" t="s">
        <v>121</v>
      </c>
      <c r="J5315" s="206" t="s">
        <v>121</v>
      </c>
      <c r="K5315" s="206" t="s">
        <v>121</v>
      </c>
      <c r="L5315" s="206" t="str">
        <v/>
      </c>
      <c r="M5315" s="206" t="str">
        <v/>
      </c>
    </row>
    <row r="5316" spans="1:13" ht="14.4">
      <c r="A5316" s="201"/>
      <c r="B5316" s="209"/>
      <c r="C5316" s="201"/>
      <c r="D5316" s="201"/>
      <c r="E5316" s="202"/>
      <c r="F5316" s="210"/>
      <c r="G5316" s="210"/>
      <c r="H5316" s="206" t="s">
        <v>121</v>
      </c>
      <c r="I5316" s="206" t="s">
        <v>121</v>
      </c>
      <c r="J5316" s="206" t="s">
        <v>121</v>
      </c>
      <c r="K5316" s="206" t="s">
        <v>121</v>
      </c>
      <c r="L5316" s="206" t="str">
        <v/>
      </c>
      <c r="M5316" s="206" t="str">
        <v/>
      </c>
    </row>
    <row r="5317" spans="1:13" ht="14.4">
      <c r="A5317" s="201"/>
      <c r="B5317" s="209"/>
      <c r="C5317" s="201"/>
      <c r="D5317" s="201"/>
      <c r="E5317" s="202"/>
      <c r="F5317" s="210"/>
      <c r="G5317" s="210"/>
      <c r="H5317" s="206" t="s">
        <v>121</v>
      </c>
      <c r="I5317" s="206" t="s">
        <v>121</v>
      </c>
      <c r="J5317" s="206" t="s">
        <v>121</v>
      </c>
      <c r="K5317" s="206" t="s">
        <v>121</v>
      </c>
      <c r="L5317" s="206" t="str">
        <v/>
      </c>
      <c r="M5317" s="206" t="str">
        <v/>
      </c>
    </row>
    <row r="5318" spans="1:13" ht="14.4">
      <c r="A5318" s="201"/>
      <c r="B5318" s="209"/>
      <c r="C5318" s="201"/>
      <c r="D5318" s="201"/>
      <c r="E5318" s="202"/>
      <c r="F5318" s="210"/>
      <c r="G5318" s="210"/>
      <c r="H5318" s="206" t="s">
        <v>121</v>
      </c>
      <c r="I5318" s="206" t="s">
        <v>121</v>
      </c>
      <c r="J5318" s="206" t="s">
        <v>121</v>
      </c>
      <c r="K5318" s="206" t="s">
        <v>121</v>
      </c>
      <c r="L5318" s="206" t="str">
        <v/>
      </c>
      <c r="M5318" s="206" t="str">
        <v/>
      </c>
    </row>
    <row r="5319" spans="1:13" ht="14.4">
      <c r="A5319" s="201"/>
      <c r="B5319" s="209"/>
      <c r="C5319" s="201"/>
      <c r="D5319" s="201"/>
      <c r="E5319" s="202"/>
      <c r="F5319" s="210"/>
      <c r="G5319" s="210"/>
      <c r="H5319" s="206" t="s">
        <v>121</v>
      </c>
      <c r="I5319" s="206" t="s">
        <v>121</v>
      </c>
      <c r="J5319" s="206" t="s">
        <v>121</v>
      </c>
      <c r="K5319" s="206" t="s">
        <v>121</v>
      </c>
      <c r="L5319" s="206" t="str">
        <v/>
      </c>
      <c r="M5319" s="206" t="str">
        <v/>
      </c>
    </row>
    <row r="5320" spans="1:13" ht="14.4">
      <c r="A5320" s="201"/>
      <c r="B5320" s="209"/>
      <c r="C5320" s="201"/>
      <c r="D5320" s="201"/>
      <c r="E5320" s="202"/>
      <c r="F5320" s="210"/>
      <c r="G5320" s="210"/>
      <c r="H5320" s="206" t="s">
        <v>121</v>
      </c>
      <c r="I5320" s="206" t="s">
        <v>121</v>
      </c>
      <c r="J5320" s="206" t="s">
        <v>121</v>
      </c>
      <c r="K5320" s="206" t="s">
        <v>121</v>
      </c>
      <c r="L5320" s="206" t="str">
        <v/>
      </c>
      <c r="M5320" s="206" t="str">
        <v/>
      </c>
    </row>
    <row r="5321" spans="1:13" ht="14.4">
      <c r="A5321" s="201"/>
      <c r="B5321" s="209"/>
      <c r="C5321" s="201"/>
      <c r="D5321" s="201"/>
      <c r="E5321" s="202"/>
      <c r="F5321" s="210"/>
      <c r="G5321" s="210"/>
      <c r="H5321" s="206" t="s">
        <v>121</v>
      </c>
      <c r="I5321" s="206" t="s">
        <v>121</v>
      </c>
      <c r="J5321" s="206" t="s">
        <v>121</v>
      </c>
      <c r="K5321" s="206" t="s">
        <v>121</v>
      </c>
      <c r="L5321" s="206" t="str">
        <v/>
      </c>
      <c r="M5321" s="206" t="str">
        <v/>
      </c>
    </row>
    <row r="5322" spans="1:13" ht="14.4">
      <c r="A5322" s="201"/>
      <c r="B5322" s="209"/>
      <c r="C5322" s="201"/>
      <c r="D5322" s="201"/>
      <c r="E5322" s="202"/>
      <c r="F5322" s="210"/>
      <c r="G5322" s="210"/>
      <c r="H5322" s="206" t="s">
        <v>121</v>
      </c>
      <c r="I5322" s="206" t="s">
        <v>121</v>
      </c>
      <c r="J5322" s="206" t="s">
        <v>121</v>
      </c>
      <c r="K5322" s="206" t="s">
        <v>121</v>
      </c>
      <c r="L5322" s="206" t="str">
        <v/>
      </c>
      <c r="M5322" s="206" t="str">
        <v/>
      </c>
    </row>
    <row r="5323" spans="1:13" ht="14.4">
      <c r="A5323" s="201"/>
      <c r="B5323" s="209"/>
      <c r="C5323" s="201"/>
      <c r="D5323" s="201"/>
      <c r="E5323" s="202"/>
      <c r="F5323" s="210"/>
      <c r="G5323" s="210"/>
      <c r="H5323" s="206" t="s">
        <v>121</v>
      </c>
      <c r="I5323" s="206" t="s">
        <v>121</v>
      </c>
      <c r="J5323" s="206" t="s">
        <v>121</v>
      </c>
      <c r="K5323" s="206" t="s">
        <v>121</v>
      </c>
      <c r="L5323" s="206" t="str">
        <v/>
      </c>
      <c r="M5323" s="206" t="str">
        <v/>
      </c>
    </row>
    <row r="5324" spans="1:13" ht="14.4">
      <c r="A5324" s="201"/>
      <c r="B5324" s="209"/>
      <c r="C5324" s="201"/>
      <c r="D5324" s="201"/>
      <c r="E5324" s="202"/>
      <c r="F5324" s="210"/>
      <c r="G5324" s="210"/>
      <c r="H5324" s="206" t="s">
        <v>121</v>
      </c>
      <c r="I5324" s="206" t="s">
        <v>121</v>
      </c>
      <c r="J5324" s="206" t="s">
        <v>121</v>
      </c>
      <c r="K5324" s="206" t="s">
        <v>121</v>
      </c>
      <c r="L5324" s="206" t="str">
        <v/>
      </c>
      <c r="M5324" s="206" t="str">
        <v/>
      </c>
    </row>
    <row r="5325" spans="1:13" ht="14.4">
      <c r="A5325" s="201"/>
      <c r="B5325" s="209"/>
      <c r="C5325" s="201"/>
      <c r="D5325" s="201"/>
      <c r="E5325" s="202"/>
      <c r="F5325" s="210"/>
      <c r="G5325" s="210"/>
      <c r="H5325" s="206" t="s">
        <v>121</v>
      </c>
      <c r="I5325" s="206" t="s">
        <v>121</v>
      </c>
      <c r="J5325" s="206" t="s">
        <v>121</v>
      </c>
      <c r="K5325" s="206" t="s">
        <v>121</v>
      </c>
      <c r="L5325" s="206" t="str">
        <v/>
      </c>
      <c r="M5325" s="206" t="str">
        <v/>
      </c>
    </row>
    <row r="5326" spans="1:13" ht="14.4">
      <c r="A5326" s="201"/>
      <c r="B5326" s="209"/>
      <c r="C5326" s="201"/>
      <c r="D5326" s="201"/>
      <c r="E5326" s="202"/>
      <c r="F5326" s="210"/>
      <c r="G5326" s="210"/>
      <c r="H5326" s="206" t="s">
        <v>121</v>
      </c>
      <c r="I5326" s="206" t="s">
        <v>121</v>
      </c>
      <c r="J5326" s="206" t="s">
        <v>121</v>
      </c>
      <c r="K5326" s="206" t="s">
        <v>121</v>
      </c>
      <c r="L5326" s="206" t="str">
        <v/>
      </c>
      <c r="M5326" s="206" t="str">
        <v/>
      </c>
    </row>
    <row r="5327" spans="1:13" ht="14.4">
      <c r="A5327" s="201"/>
      <c r="B5327" s="209"/>
      <c r="C5327" s="201"/>
      <c r="D5327" s="201"/>
      <c r="E5327" s="202"/>
      <c r="F5327" s="210"/>
      <c r="G5327" s="210"/>
      <c r="H5327" s="206" t="s">
        <v>121</v>
      </c>
      <c r="I5327" s="206" t="s">
        <v>121</v>
      </c>
      <c r="J5327" s="206" t="s">
        <v>121</v>
      </c>
      <c r="K5327" s="206" t="s">
        <v>121</v>
      </c>
      <c r="L5327" s="206" t="str">
        <v/>
      </c>
      <c r="M5327" s="206" t="str">
        <v/>
      </c>
    </row>
    <row r="5328" spans="1:13" ht="14.4">
      <c r="A5328" s="201"/>
      <c r="B5328" s="209"/>
      <c r="C5328" s="201"/>
      <c r="D5328" s="201"/>
      <c r="E5328" s="202"/>
      <c r="F5328" s="210"/>
      <c r="G5328" s="210"/>
      <c r="H5328" s="206" t="s">
        <v>121</v>
      </c>
      <c r="I5328" s="206" t="s">
        <v>121</v>
      </c>
      <c r="J5328" s="206" t="s">
        <v>121</v>
      </c>
      <c r="K5328" s="206" t="s">
        <v>121</v>
      </c>
      <c r="L5328" s="206" t="str">
        <v/>
      </c>
      <c r="M5328" s="206" t="str">
        <v/>
      </c>
    </row>
    <row r="5329" spans="1:13" ht="14.4">
      <c r="A5329" s="201"/>
      <c r="B5329" s="209"/>
      <c r="C5329" s="201"/>
      <c r="D5329" s="201"/>
      <c r="E5329" s="202"/>
      <c r="F5329" s="210"/>
      <c r="G5329" s="210"/>
      <c r="H5329" s="206" t="s">
        <v>121</v>
      </c>
      <c r="I5329" s="206" t="s">
        <v>121</v>
      </c>
      <c r="J5329" s="206" t="s">
        <v>121</v>
      </c>
      <c r="K5329" s="206" t="s">
        <v>121</v>
      </c>
      <c r="L5329" s="206" t="str">
        <v/>
      </c>
      <c r="M5329" s="206" t="str">
        <v/>
      </c>
    </row>
    <row r="5330" spans="1:13" ht="14.4">
      <c r="A5330" s="201"/>
      <c r="B5330" s="209"/>
      <c r="C5330" s="201"/>
      <c r="D5330" s="201"/>
      <c r="E5330" s="202"/>
      <c r="F5330" s="210"/>
      <c r="G5330" s="210"/>
      <c r="H5330" s="206" t="s">
        <v>121</v>
      </c>
      <c r="I5330" s="206" t="s">
        <v>121</v>
      </c>
      <c r="J5330" s="206" t="s">
        <v>121</v>
      </c>
      <c r="K5330" s="206" t="s">
        <v>121</v>
      </c>
      <c r="L5330" s="206" t="str">
        <v/>
      </c>
      <c r="M5330" s="206" t="str">
        <v/>
      </c>
    </row>
    <row r="5331" spans="1:13" ht="14.4">
      <c r="A5331" s="201"/>
      <c r="B5331" s="209"/>
      <c r="C5331" s="201"/>
      <c r="D5331" s="201"/>
      <c r="E5331" s="202"/>
      <c r="F5331" s="210"/>
      <c r="G5331" s="210"/>
      <c r="H5331" s="206" t="s">
        <v>121</v>
      </c>
      <c r="I5331" s="206" t="s">
        <v>121</v>
      </c>
      <c r="J5331" s="206" t="s">
        <v>121</v>
      </c>
      <c r="K5331" s="206" t="s">
        <v>121</v>
      </c>
      <c r="L5331" s="206" t="str">
        <v/>
      </c>
      <c r="M5331" s="206" t="str">
        <v/>
      </c>
    </row>
    <row r="5332" spans="1:13" ht="14.4">
      <c r="A5332" s="201"/>
      <c r="B5332" s="209"/>
      <c r="C5332" s="201"/>
      <c r="D5332" s="201"/>
      <c r="E5332" s="202"/>
      <c r="F5332" s="210"/>
      <c r="G5332" s="210"/>
      <c r="H5332" s="206" t="s">
        <v>121</v>
      </c>
      <c r="I5332" s="206" t="s">
        <v>121</v>
      </c>
      <c r="J5332" s="206" t="s">
        <v>121</v>
      </c>
      <c r="K5332" s="206" t="s">
        <v>121</v>
      </c>
      <c r="L5332" s="206" t="str">
        <v/>
      </c>
      <c r="M5332" s="206" t="str">
        <v/>
      </c>
    </row>
    <row r="5333" spans="1:13" ht="14.4">
      <c r="A5333" s="201"/>
      <c r="B5333" s="209"/>
      <c r="C5333" s="201"/>
      <c r="D5333" s="201"/>
      <c r="E5333" s="202"/>
      <c r="F5333" s="210"/>
      <c r="G5333" s="210"/>
      <c r="H5333" s="206" t="s">
        <v>121</v>
      </c>
      <c r="I5333" s="206" t="s">
        <v>121</v>
      </c>
      <c r="J5333" s="206" t="s">
        <v>121</v>
      </c>
      <c r="K5333" s="206" t="s">
        <v>121</v>
      </c>
      <c r="L5333" s="206" t="str">
        <v/>
      </c>
      <c r="M5333" s="206" t="str">
        <v/>
      </c>
    </row>
    <row r="5334" spans="1:13" ht="14.4">
      <c r="A5334" s="201"/>
      <c r="B5334" s="209"/>
      <c r="C5334" s="201"/>
      <c r="D5334" s="201"/>
      <c r="E5334" s="202"/>
      <c r="F5334" s="210"/>
      <c r="G5334" s="210"/>
      <c r="H5334" s="206" t="s">
        <v>121</v>
      </c>
      <c r="I5334" s="206" t="s">
        <v>121</v>
      </c>
      <c r="J5334" s="206" t="s">
        <v>121</v>
      </c>
      <c r="K5334" s="206" t="s">
        <v>121</v>
      </c>
      <c r="L5334" s="206" t="str">
        <v/>
      </c>
      <c r="M5334" s="206" t="str">
        <v/>
      </c>
    </row>
    <row r="5335" spans="1:13" ht="14.4">
      <c r="A5335" s="201"/>
      <c r="B5335" s="209"/>
      <c r="C5335" s="201"/>
      <c r="D5335" s="201"/>
      <c r="E5335" s="202"/>
      <c r="F5335" s="210"/>
      <c r="G5335" s="210"/>
      <c r="H5335" s="206" t="s">
        <v>121</v>
      </c>
      <c r="I5335" s="206" t="s">
        <v>121</v>
      </c>
      <c r="J5335" s="206" t="s">
        <v>121</v>
      </c>
      <c r="K5335" s="206" t="s">
        <v>121</v>
      </c>
      <c r="L5335" s="206" t="str">
        <v/>
      </c>
      <c r="M5335" s="206" t="str">
        <v/>
      </c>
    </row>
    <row r="5336" spans="1:13" ht="14.4">
      <c r="A5336" s="201"/>
      <c r="B5336" s="209"/>
      <c r="C5336" s="201"/>
      <c r="D5336" s="201"/>
      <c r="E5336" s="202"/>
      <c r="F5336" s="210"/>
      <c r="G5336" s="210"/>
      <c r="H5336" s="206" t="s">
        <v>121</v>
      </c>
      <c r="I5336" s="206" t="s">
        <v>121</v>
      </c>
      <c r="J5336" s="206" t="s">
        <v>121</v>
      </c>
      <c r="K5336" s="206" t="s">
        <v>121</v>
      </c>
      <c r="L5336" s="206" t="str">
        <v/>
      </c>
      <c r="M5336" s="206" t="str">
        <v/>
      </c>
    </row>
    <row r="5337" spans="1:13" ht="14.4">
      <c r="A5337" s="201"/>
      <c r="B5337" s="209"/>
      <c r="C5337" s="201"/>
      <c r="D5337" s="201"/>
      <c r="E5337" s="202"/>
      <c r="F5337" s="210"/>
      <c r="G5337" s="210"/>
      <c r="H5337" s="206" t="s">
        <v>121</v>
      </c>
      <c r="I5337" s="206" t="s">
        <v>121</v>
      </c>
      <c r="J5337" s="206" t="s">
        <v>121</v>
      </c>
      <c r="K5337" s="206" t="s">
        <v>121</v>
      </c>
      <c r="L5337" s="206" t="str">
        <v/>
      </c>
      <c r="M5337" s="206" t="str">
        <v/>
      </c>
    </row>
    <row r="5338" spans="1:13" ht="14.4">
      <c r="A5338" s="201"/>
      <c r="B5338" s="209"/>
      <c r="C5338" s="201"/>
      <c r="D5338" s="201"/>
      <c r="E5338" s="202"/>
      <c r="F5338" s="210"/>
      <c r="G5338" s="210"/>
      <c r="H5338" s="206" t="s">
        <v>121</v>
      </c>
      <c r="I5338" s="206" t="s">
        <v>121</v>
      </c>
      <c r="J5338" s="206" t="s">
        <v>121</v>
      </c>
      <c r="K5338" s="206" t="s">
        <v>121</v>
      </c>
      <c r="L5338" s="206" t="str">
        <v/>
      </c>
      <c r="M5338" s="206" t="str">
        <v/>
      </c>
    </row>
    <row r="5339" spans="1:13" ht="14.4">
      <c r="A5339" s="201"/>
      <c r="B5339" s="209"/>
      <c r="C5339" s="201"/>
      <c r="D5339" s="201"/>
      <c r="E5339" s="202"/>
      <c r="F5339" s="210"/>
      <c r="G5339" s="210"/>
      <c r="H5339" s="206" t="s">
        <v>121</v>
      </c>
      <c r="I5339" s="206" t="s">
        <v>121</v>
      </c>
      <c r="J5339" s="206" t="s">
        <v>121</v>
      </c>
      <c r="K5339" s="206" t="s">
        <v>121</v>
      </c>
      <c r="L5339" s="206" t="str">
        <v/>
      </c>
      <c r="M5339" s="206" t="str">
        <v/>
      </c>
    </row>
    <row r="5340" spans="1:13" ht="14.4">
      <c r="A5340" s="201"/>
      <c r="B5340" s="209"/>
      <c r="C5340" s="201"/>
      <c r="D5340" s="201"/>
      <c r="E5340" s="202"/>
      <c r="F5340" s="210"/>
      <c r="G5340" s="210"/>
      <c r="H5340" s="206" t="s">
        <v>121</v>
      </c>
      <c r="I5340" s="206" t="s">
        <v>121</v>
      </c>
      <c r="J5340" s="206" t="s">
        <v>121</v>
      </c>
      <c r="K5340" s="206" t="s">
        <v>121</v>
      </c>
      <c r="L5340" s="206" t="str">
        <v/>
      </c>
      <c r="M5340" s="206" t="str">
        <v/>
      </c>
    </row>
    <row r="5341" spans="1:13" ht="14.4">
      <c r="A5341" s="201"/>
      <c r="B5341" s="209"/>
      <c r="C5341" s="201"/>
      <c r="D5341" s="201"/>
      <c r="E5341" s="202"/>
      <c r="F5341" s="210"/>
      <c r="G5341" s="210"/>
      <c r="H5341" s="206" t="s">
        <v>121</v>
      </c>
      <c r="I5341" s="206" t="s">
        <v>121</v>
      </c>
      <c r="J5341" s="206" t="s">
        <v>121</v>
      </c>
      <c r="K5341" s="206" t="s">
        <v>121</v>
      </c>
      <c r="L5341" s="206" t="str">
        <v/>
      </c>
      <c r="M5341" s="206" t="str">
        <v/>
      </c>
    </row>
    <row r="5342" spans="1:13" ht="14.4">
      <c r="A5342" s="201"/>
      <c r="B5342" s="209"/>
      <c r="C5342" s="201"/>
      <c r="D5342" s="201"/>
      <c r="E5342" s="202"/>
      <c r="F5342" s="210"/>
      <c r="G5342" s="210"/>
      <c r="H5342" s="206" t="s">
        <v>121</v>
      </c>
      <c r="I5342" s="206" t="s">
        <v>121</v>
      </c>
      <c r="J5342" s="206" t="s">
        <v>121</v>
      </c>
      <c r="K5342" s="206" t="s">
        <v>121</v>
      </c>
      <c r="L5342" s="206" t="str">
        <v/>
      </c>
      <c r="M5342" s="206" t="str">
        <v/>
      </c>
    </row>
    <row r="5343" spans="1:13" ht="14.4">
      <c r="A5343" s="201"/>
      <c r="B5343" s="209"/>
      <c r="C5343" s="201"/>
      <c r="D5343" s="201"/>
      <c r="E5343" s="202"/>
      <c r="F5343" s="210"/>
      <c r="G5343" s="210"/>
      <c r="H5343" s="206" t="s">
        <v>121</v>
      </c>
      <c r="I5343" s="206" t="s">
        <v>121</v>
      </c>
      <c r="J5343" s="206" t="s">
        <v>121</v>
      </c>
      <c r="K5343" s="206" t="s">
        <v>121</v>
      </c>
      <c r="L5343" s="206" t="str">
        <v/>
      </c>
      <c r="M5343" s="206" t="str">
        <v/>
      </c>
    </row>
    <row r="5344" spans="1:13" ht="14.4">
      <c r="A5344" s="201"/>
      <c r="B5344" s="209"/>
      <c r="C5344" s="201"/>
      <c r="D5344" s="201"/>
      <c r="E5344" s="202"/>
      <c r="F5344" s="210"/>
      <c r="G5344" s="210"/>
      <c r="H5344" s="206" t="s">
        <v>121</v>
      </c>
      <c r="I5344" s="206" t="s">
        <v>121</v>
      </c>
      <c r="J5344" s="206" t="s">
        <v>121</v>
      </c>
      <c r="K5344" s="206" t="s">
        <v>121</v>
      </c>
      <c r="L5344" s="206" t="str">
        <v/>
      </c>
      <c r="M5344" s="206" t="str">
        <v/>
      </c>
    </row>
    <row r="5345" spans="1:13" ht="14.4">
      <c r="A5345" s="201"/>
      <c r="B5345" s="209"/>
      <c r="C5345" s="201"/>
      <c r="D5345" s="201"/>
      <c r="E5345" s="202"/>
      <c r="F5345" s="210"/>
      <c r="G5345" s="210"/>
      <c r="H5345" s="206" t="s">
        <v>121</v>
      </c>
      <c r="I5345" s="206" t="s">
        <v>121</v>
      </c>
      <c r="J5345" s="206" t="s">
        <v>121</v>
      </c>
      <c r="K5345" s="206" t="s">
        <v>121</v>
      </c>
      <c r="L5345" s="206" t="str">
        <v/>
      </c>
      <c r="M5345" s="206" t="str">
        <v/>
      </c>
    </row>
    <row r="5346" spans="1:13" ht="14.4">
      <c r="A5346" s="201"/>
      <c r="B5346" s="209"/>
      <c r="C5346" s="201"/>
      <c r="D5346" s="201"/>
      <c r="E5346" s="202"/>
      <c r="F5346" s="210"/>
      <c r="G5346" s="210"/>
      <c r="H5346" s="206" t="s">
        <v>121</v>
      </c>
      <c r="I5346" s="206" t="s">
        <v>121</v>
      </c>
      <c r="J5346" s="206" t="s">
        <v>121</v>
      </c>
      <c r="K5346" s="206" t="s">
        <v>121</v>
      </c>
      <c r="L5346" s="206" t="str">
        <v/>
      </c>
      <c r="M5346" s="206" t="str">
        <v/>
      </c>
    </row>
    <row r="5347" spans="1:13" ht="14.4">
      <c r="A5347" s="201"/>
      <c r="B5347" s="209"/>
      <c r="C5347" s="201"/>
      <c r="D5347" s="201"/>
      <c r="E5347" s="202"/>
      <c r="F5347" s="210"/>
      <c r="G5347" s="210"/>
      <c r="H5347" s="206" t="s">
        <v>121</v>
      </c>
      <c r="I5347" s="206" t="s">
        <v>121</v>
      </c>
      <c r="J5347" s="206" t="s">
        <v>121</v>
      </c>
      <c r="K5347" s="206" t="s">
        <v>121</v>
      </c>
      <c r="L5347" s="206" t="str">
        <v/>
      </c>
      <c r="M5347" s="206" t="str">
        <v/>
      </c>
    </row>
    <row r="5348" spans="1:13" ht="14.4">
      <c r="A5348" s="201"/>
      <c r="B5348" s="209"/>
      <c r="C5348" s="201"/>
      <c r="D5348" s="201"/>
      <c r="E5348" s="202"/>
      <c r="F5348" s="210"/>
      <c r="G5348" s="210"/>
      <c r="H5348" s="206" t="s">
        <v>121</v>
      </c>
      <c r="I5348" s="206" t="s">
        <v>121</v>
      </c>
      <c r="J5348" s="206" t="s">
        <v>121</v>
      </c>
      <c r="K5348" s="206" t="s">
        <v>121</v>
      </c>
      <c r="L5348" s="206" t="str">
        <v/>
      </c>
      <c r="M5348" s="206" t="str">
        <v/>
      </c>
    </row>
    <row r="5349" spans="1:13" ht="14.4">
      <c r="A5349" s="201"/>
      <c r="B5349" s="209"/>
      <c r="C5349" s="201"/>
      <c r="D5349" s="201"/>
      <c r="E5349" s="202"/>
      <c r="F5349" s="210"/>
      <c r="G5349" s="210"/>
      <c r="H5349" s="206" t="s">
        <v>121</v>
      </c>
      <c r="I5349" s="206" t="s">
        <v>121</v>
      </c>
      <c r="J5349" s="206" t="s">
        <v>121</v>
      </c>
      <c r="K5349" s="206" t="s">
        <v>121</v>
      </c>
      <c r="L5349" s="206" t="str">
        <v/>
      </c>
      <c r="M5349" s="206" t="str">
        <v/>
      </c>
    </row>
    <row r="5350" spans="1:13" ht="14.4">
      <c r="A5350" s="201"/>
      <c r="B5350" s="209"/>
      <c r="C5350" s="201"/>
      <c r="D5350" s="201"/>
      <c r="E5350" s="202"/>
      <c r="F5350" s="210"/>
      <c r="G5350" s="210"/>
      <c r="H5350" s="206" t="s">
        <v>121</v>
      </c>
      <c r="I5350" s="206" t="s">
        <v>121</v>
      </c>
      <c r="J5350" s="206" t="s">
        <v>121</v>
      </c>
      <c r="K5350" s="206" t="s">
        <v>121</v>
      </c>
      <c r="L5350" s="206" t="str">
        <v/>
      </c>
      <c r="M5350" s="206" t="str">
        <v/>
      </c>
    </row>
    <row r="5351" spans="1:13" ht="14.4">
      <c r="A5351" s="201"/>
      <c r="B5351" s="209"/>
      <c r="C5351" s="201"/>
      <c r="D5351" s="201"/>
      <c r="E5351" s="202"/>
      <c r="F5351" s="210"/>
      <c r="G5351" s="210"/>
      <c r="H5351" s="206" t="s">
        <v>121</v>
      </c>
      <c r="I5351" s="206" t="s">
        <v>121</v>
      </c>
      <c r="J5351" s="206" t="s">
        <v>121</v>
      </c>
      <c r="K5351" s="206" t="s">
        <v>121</v>
      </c>
      <c r="L5351" s="206" t="str">
        <v/>
      </c>
      <c r="M5351" s="206" t="str">
        <v/>
      </c>
    </row>
    <row r="5352" spans="1:13" ht="14.4">
      <c r="A5352" s="201"/>
      <c r="B5352" s="209"/>
      <c r="C5352" s="201"/>
      <c r="D5352" s="201"/>
      <c r="E5352" s="202"/>
      <c r="F5352" s="210"/>
      <c r="G5352" s="210"/>
      <c r="H5352" s="206" t="s">
        <v>121</v>
      </c>
      <c r="I5352" s="206" t="s">
        <v>121</v>
      </c>
      <c r="J5352" s="206" t="s">
        <v>121</v>
      </c>
      <c r="K5352" s="206" t="s">
        <v>121</v>
      </c>
      <c r="L5352" s="206" t="str">
        <v/>
      </c>
      <c r="M5352" s="206" t="str">
        <v/>
      </c>
    </row>
    <row r="5353" spans="1:13" ht="14.4">
      <c r="A5353" s="201"/>
      <c r="B5353" s="209"/>
      <c r="C5353" s="201"/>
      <c r="D5353" s="201"/>
      <c r="E5353" s="202"/>
      <c r="F5353" s="210"/>
      <c r="G5353" s="210"/>
      <c r="H5353" s="206" t="s">
        <v>121</v>
      </c>
      <c r="I5353" s="206" t="s">
        <v>121</v>
      </c>
      <c r="J5353" s="206" t="s">
        <v>121</v>
      </c>
      <c r="K5353" s="206" t="s">
        <v>121</v>
      </c>
      <c r="L5353" s="206" t="str">
        <v/>
      </c>
      <c r="M5353" s="206" t="str">
        <v/>
      </c>
    </row>
    <row r="5354" spans="1:13" ht="14.4">
      <c r="A5354" s="201"/>
      <c r="B5354" s="209"/>
      <c r="C5354" s="201"/>
      <c r="D5354" s="201"/>
      <c r="E5354" s="202"/>
      <c r="F5354" s="210"/>
      <c r="G5354" s="210"/>
      <c r="H5354" s="206" t="s">
        <v>121</v>
      </c>
      <c r="I5354" s="206" t="s">
        <v>121</v>
      </c>
      <c r="J5354" s="206" t="s">
        <v>121</v>
      </c>
      <c r="K5354" s="206" t="s">
        <v>121</v>
      </c>
      <c r="L5354" s="206" t="str">
        <v/>
      </c>
      <c r="M5354" s="206" t="str">
        <v/>
      </c>
    </row>
    <row r="5355" spans="1:13" ht="14.4">
      <c r="A5355" s="201"/>
      <c r="B5355" s="209"/>
      <c r="C5355" s="201"/>
      <c r="D5355" s="201"/>
      <c r="E5355" s="202"/>
      <c r="F5355" s="210"/>
      <c r="G5355" s="210"/>
      <c r="H5355" s="206" t="s">
        <v>121</v>
      </c>
      <c r="I5355" s="206" t="s">
        <v>121</v>
      </c>
      <c r="J5355" s="206" t="s">
        <v>121</v>
      </c>
      <c r="K5355" s="206" t="s">
        <v>121</v>
      </c>
      <c r="L5355" s="206" t="str">
        <v/>
      </c>
      <c r="M5355" s="206" t="str">
        <v/>
      </c>
    </row>
    <row r="5356" spans="1:13" ht="14.4">
      <c r="A5356" s="201"/>
      <c r="B5356" s="209"/>
      <c r="C5356" s="201"/>
      <c r="D5356" s="201"/>
      <c r="E5356" s="202"/>
      <c r="F5356" s="210"/>
      <c r="G5356" s="210"/>
      <c r="H5356" s="206" t="s">
        <v>121</v>
      </c>
      <c r="I5356" s="206" t="s">
        <v>121</v>
      </c>
      <c r="J5356" s="206" t="s">
        <v>121</v>
      </c>
      <c r="K5356" s="206" t="s">
        <v>121</v>
      </c>
      <c r="L5356" s="206" t="str">
        <v/>
      </c>
      <c r="M5356" s="206" t="str">
        <v/>
      </c>
    </row>
    <row r="5357" spans="1:13" ht="14.4">
      <c r="A5357" s="201"/>
      <c r="B5357" s="209"/>
      <c r="C5357" s="201"/>
      <c r="D5357" s="201"/>
      <c r="E5357" s="202"/>
      <c r="F5357" s="210"/>
      <c r="G5357" s="210"/>
      <c r="H5357" s="206" t="s">
        <v>121</v>
      </c>
      <c r="I5357" s="206" t="s">
        <v>121</v>
      </c>
      <c r="J5357" s="206" t="s">
        <v>121</v>
      </c>
      <c r="K5357" s="206" t="s">
        <v>121</v>
      </c>
      <c r="L5357" s="206" t="str">
        <v/>
      </c>
      <c r="M5357" s="206" t="str">
        <v/>
      </c>
    </row>
    <row r="5358" spans="1:13" ht="14.4">
      <c r="A5358" s="201"/>
      <c r="B5358" s="209"/>
      <c r="C5358" s="201"/>
      <c r="D5358" s="201"/>
      <c r="E5358" s="202"/>
      <c r="F5358" s="210"/>
      <c r="G5358" s="210"/>
      <c r="H5358" s="206" t="s">
        <v>121</v>
      </c>
      <c r="I5358" s="206" t="s">
        <v>121</v>
      </c>
      <c r="J5358" s="206" t="s">
        <v>121</v>
      </c>
      <c r="K5358" s="206" t="s">
        <v>121</v>
      </c>
      <c r="L5358" s="206" t="str">
        <v/>
      </c>
      <c r="M5358" s="206" t="str">
        <v/>
      </c>
    </row>
    <row r="5359" spans="1:13" ht="14.4">
      <c r="A5359" s="201"/>
      <c r="B5359" s="209"/>
      <c r="C5359" s="201"/>
      <c r="D5359" s="201"/>
      <c r="E5359" s="202"/>
      <c r="F5359" s="210"/>
      <c r="G5359" s="210"/>
      <c r="H5359" s="206" t="s">
        <v>121</v>
      </c>
      <c r="I5359" s="206" t="s">
        <v>121</v>
      </c>
      <c r="J5359" s="206" t="s">
        <v>121</v>
      </c>
      <c r="K5359" s="206" t="s">
        <v>121</v>
      </c>
      <c r="L5359" s="206" t="str">
        <v/>
      </c>
      <c r="M5359" s="206" t="str">
        <v/>
      </c>
    </row>
    <row r="5360" spans="1:13" ht="14.4">
      <c r="A5360" s="201"/>
      <c r="B5360" s="209"/>
      <c r="C5360" s="201"/>
      <c r="D5360" s="201"/>
      <c r="E5360" s="202"/>
      <c r="F5360" s="210"/>
      <c r="G5360" s="210"/>
      <c r="H5360" s="206" t="s">
        <v>121</v>
      </c>
      <c r="I5360" s="206" t="s">
        <v>121</v>
      </c>
      <c r="J5360" s="206" t="s">
        <v>121</v>
      </c>
      <c r="K5360" s="206" t="s">
        <v>121</v>
      </c>
      <c r="L5360" s="206" t="str">
        <v/>
      </c>
      <c r="M5360" s="206" t="str">
        <v/>
      </c>
    </row>
    <row r="5361" spans="1:13" ht="14.4">
      <c r="A5361" s="201"/>
      <c r="B5361" s="209"/>
      <c r="C5361" s="201"/>
      <c r="D5361" s="201"/>
      <c r="E5361" s="202"/>
      <c r="F5361" s="210"/>
      <c r="G5361" s="210"/>
      <c r="H5361" s="206" t="s">
        <v>121</v>
      </c>
      <c r="I5361" s="206" t="s">
        <v>121</v>
      </c>
      <c r="J5361" s="206" t="s">
        <v>121</v>
      </c>
      <c r="K5361" s="206" t="s">
        <v>121</v>
      </c>
      <c r="L5361" s="206" t="str">
        <v/>
      </c>
      <c r="M5361" s="206" t="str">
        <v/>
      </c>
    </row>
    <row r="5362" spans="1:13" ht="14.4">
      <c r="A5362" s="201"/>
      <c r="B5362" s="209"/>
      <c r="C5362" s="201"/>
      <c r="D5362" s="201"/>
      <c r="E5362" s="202"/>
      <c r="F5362" s="210"/>
      <c r="G5362" s="210"/>
      <c r="H5362" s="206" t="s">
        <v>121</v>
      </c>
      <c r="I5362" s="206" t="s">
        <v>121</v>
      </c>
      <c r="J5362" s="206" t="s">
        <v>121</v>
      </c>
      <c r="K5362" s="206" t="s">
        <v>121</v>
      </c>
      <c r="L5362" s="206" t="str">
        <v/>
      </c>
      <c r="M5362" s="206" t="str">
        <v/>
      </c>
    </row>
    <row r="5363" spans="1:13" ht="14.4">
      <c r="A5363" s="201"/>
      <c r="B5363" s="209"/>
      <c r="C5363" s="201"/>
      <c r="D5363" s="201"/>
      <c r="E5363" s="202"/>
      <c r="F5363" s="210"/>
      <c r="G5363" s="210"/>
      <c r="H5363" s="206" t="s">
        <v>121</v>
      </c>
      <c r="I5363" s="206" t="s">
        <v>121</v>
      </c>
      <c r="J5363" s="206" t="s">
        <v>121</v>
      </c>
      <c r="K5363" s="206" t="s">
        <v>121</v>
      </c>
      <c r="L5363" s="206" t="str">
        <v/>
      </c>
      <c r="M5363" s="206" t="str">
        <v/>
      </c>
    </row>
    <row r="5364" spans="1:13" ht="14.4">
      <c r="A5364" s="201"/>
      <c r="B5364" s="209"/>
      <c r="C5364" s="201"/>
      <c r="D5364" s="201"/>
      <c r="E5364" s="202"/>
      <c r="F5364" s="210"/>
      <c r="G5364" s="210"/>
      <c r="H5364" s="206" t="s">
        <v>121</v>
      </c>
      <c r="I5364" s="206" t="s">
        <v>121</v>
      </c>
      <c r="J5364" s="206" t="s">
        <v>121</v>
      </c>
      <c r="K5364" s="206" t="s">
        <v>121</v>
      </c>
      <c r="L5364" s="206" t="str">
        <v/>
      </c>
      <c r="M5364" s="206" t="str">
        <v/>
      </c>
    </row>
    <row r="5365" spans="1:13" ht="14.4">
      <c r="A5365" s="201"/>
      <c r="B5365" s="209"/>
      <c r="C5365" s="201"/>
      <c r="D5365" s="201"/>
      <c r="E5365" s="202"/>
      <c r="F5365" s="210"/>
      <c r="G5365" s="210"/>
      <c r="H5365" s="206" t="s">
        <v>121</v>
      </c>
      <c r="I5365" s="206" t="s">
        <v>121</v>
      </c>
      <c r="J5365" s="206" t="s">
        <v>121</v>
      </c>
      <c r="K5365" s="206" t="s">
        <v>121</v>
      </c>
      <c r="L5365" s="206" t="str">
        <v/>
      </c>
      <c r="M5365" s="206" t="str">
        <v/>
      </c>
    </row>
    <row r="5366" spans="1:13" ht="14.4">
      <c r="A5366" s="201"/>
      <c r="B5366" s="209"/>
      <c r="C5366" s="201"/>
      <c r="D5366" s="201"/>
      <c r="E5366" s="202"/>
      <c r="F5366" s="210"/>
      <c r="G5366" s="210"/>
      <c r="H5366" s="206" t="s">
        <v>121</v>
      </c>
      <c r="I5366" s="206" t="s">
        <v>121</v>
      </c>
      <c r="J5366" s="206" t="s">
        <v>121</v>
      </c>
      <c r="K5366" s="206" t="s">
        <v>121</v>
      </c>
      <c r="L5366" s="206" t="str">
        <v/>
      </c>
      <c r="M5366" s="206" t="str">
        <v/>
      </c>
    </row>
    <row r="5367" spans="1:13" ht="14.4">
      <c r="A5367" s="201"/>
      <c r="B5367" s="209"/>
      <c r="C5367" s="201"/>
      <c r="D5367" s="201"/>
      <c r="E5367" s="202"/>
      <c r="F5367" s="210"/>
      <c r="G5367" s="210"/>
      <c r="H5367" s="206" t="s">
        <v>121</v>
      </c>
      <c r="I5367" s="206" t="s">
        <v>121</v>
      </c>
      <c r="J5367" s="206" t="s">
        <v>121</v>
      </c>
      <c r="K5367" s="206" t="s">
        <v>121</v>
      </c>
      <c r="L5367" s="206" t="str">
        <v/>
      </c>
      <c r="M5367" s="206" t="str">
        <v/>
      </c>
    </row>
    <row r="5368" spans="1:13" ht="14.4">
      <c r="A5368" s="201"/>
      <c r="B5368" s="209"/>
      <c r="C5368" s="201"/>
      <c r="D5368" s="201"/>
      <c r="E5368" s="202"/>
      <c r="F5368" s="210"/>
      <c r="G5368" s="210"/>
      <c r="H5368" s="206" t="s">
        <v>121</v>
      </c>
      <c r="I5368" s="206" t="s">
        <v>121</v>
      </c>
      <c r="J5368" s="206" t="s">
        <v>121</v>
      </c>
      <c r="K5368" s="206" t="s">
        <v>121</v>
      </c>
      <c r="L5368" s="206" t="str">
        <v/>
      </c>
      <c r="M5368" s="206" t="str">
        <v/>
      </c>
    </row>
    <row r="5369" spans="1:13" ht="14.4">
      <c r="A5369" s="201"/>
      <c r="B5369" s="209"/>
      <c r="C5369" s="201"/>
      <c r="D5369" s="201"/>
      <c r="E5369" s="202"/>
      <c r="F5369" s="210"/>
      <c r="G5369" s="210"/>
      <c r="H5369" s="206" t="s">
        <v>121</v>
      </c>
      <c r="I5369" s="206" t="s">
        <v>121</v>
      </c>
      <c r="J5369" s="206" t="s">
        <v>121</v>
      </c>
      <c r="K5369" s="206" t="s">
        <v>121</v>
      </c>
      <c r="L5369" s="206" t="str">
        <v/>
      </c>
      <c r="M5369" s="206" t="str">
        <v/>
      </c>
    </row>
    <row r="5370" spans="1:13" ht="14.4">
      <c r="A5370" s="201"/>
      <c r="B5370" s="209"/>
      <c r="C5370" s="201"/>
      <c r="D5370" s="201"/>
      <c r="E5370" s="202"/>
      <c r="F5370" s="210"/>
      <c r="G5370" s="210"/>
      <c r="H5370" s="206" t="s">
        <v>121</v>
      </c>
      <c r="I5370" s="206" t="s">
        <v>121</v>
      </c>
      <c r="J5370" s="206" t="s">
        <v>121</v>
      </c>
      <c r="K5370" s="206" t="s">
        <v>121</v>
      </c>
      <c r="L5370" s="206" t="str">
        <v/>
      </c>
      <c r="M5370" s="206" t="str">
        <v/>
      </c>
    </row>
    <row r="5371" spans="1:13" ht="14.4">
      <c r="A5371" s="201"/>
      <c r="B5371" s="209"/>
      <c r="C5371" s="201"/>
      <c r="D5371" s="201"/>
      <c r="E5371" s="202"/>
      <c r="F5371" s="210"/>
      <c r="G5371" s="210"/>
      <c r="H5371" s="206" t="s">
        <v>121</v>
      </c>
      <c r="I5371" s="206" t="s">
        <v>121</v>
      </c>
      <c r="J5371" s="206" t="s">
        <v>121</v>
      </c>
      <c r="K5371" s="206" t="s">
        <v>121</v>
      </c>
      <c r="L5371" s="206" t="str">
        <v/>
      </c>
      <c r="M5371" s="206" t="str">
        <v/>
      </c>
    </row>
    <row r="5372" spans="1:13" ht="14.4">
      <c r="A5372" s="201"/>
      <c r="B5372" s="209"/>
      <c r="C5372" s="201"/>
      <c r="D5372" s="201"/>
      <c r="E5372" s="202"/>
      <c r="F5372" s="210"/>
      <c r="G5372" s="210"/>
      <c r="H5372" s="206" t="s">
        <v>121</v>
      </c>
      <c r="I5372" s="206" t="s">
        <v>121</v>
      </c>
      <c r="J5372" s="206" t="s">
        <v>121</v>
      </c>
      <c r="K5372" s="206" t="s">
        <v>121</v>
      </c>
      <c r="L5372" s="206" t="str">
        <v/>
      </c>
      <c r="M5372" s="206" t="str">
        <v/>
      </c>
    </row>
    <row r="5373" spans="1:13" ht="14.4">
      <c r="A5373" s="201"/>
      <c r="B5373" s="209"/>
      <c r="C5373" s="201"/>
      <c r="D5373" s="201"/>
      <c r="E5373" s="202"/>
      <c r="F5373" s="210"/>
      <c r="G5373" s="210"/>
      <c r="H5373" s="206" t="s">
        <v>121</v>
      </c>
      <c r="I5373" s="206" t="s">
        <v>121</v>
      </c>
      <c r="J5373" s="206" t="s">
        <v>121</v>
      </c>
      <c r="K5373" s="206" t="s">
        <v>121</v>
      </c>
      <c r="L5373" s="206" t="str">
        <v/>
      </c>
      <c r="M5373" s="206" t="str">
        <v/>
      </c>
    </row>
    <row r="5374" spans="1:13" ht="14.4">
      <c r="A5374" s="201"/>
      <c r="B5374" s="209"/>
      <c r="C5374" s="201"/>
      <c r="D5374" s="201"/>
      <c r="E5374" s="202"/>
      <c r="F5374" s="210"/>
      <c r="G5374" s="210"/>
      <c r="H5374" s="206" t="s">
        <v>121</v>
      </c>
      <c r="I5374" s="206" t="s">
        <v>121</v>
      </c>
      <c r="J5374" s="206" t="s">
        <v>121</v>
      </c>
      <c r="K5374" s="206" t="s">
        <v>121</v>
      </c>
      <c r="L5374" s="206" t="str">
        <v/>
      </c>
      <c r="M5374" s="206" t="str">
        <v/>
      </c>
    </row>
    <row r="5375" spans="1:13" ht="14.4">
      <c r="A5375" s="201"/>
      <c r="B5375" s="209"/>
      <c r="C5375" s="201"/>
      <c r="D5375" s="201"/>
      <c r="E5375" s="202"/>
      <c r="F5375" s="210"/>
      <c r="G5375" s="210"/>
      <c r="H5375" s="206" t="s">
        <v>121</v>
      </c>
      <c r="I5375" s="206" t="s">
        <v>121</v>
      </c>
      <c r="J5375" s="206" t="s">
        <v>121</v>
      </c>
      <c r="K5375" s="206" t="s">
        <v>121</v>
      </c>
      <c r="L5375" s="206" t="str">
        <v/>
      </c>
      <c r="M5375" s="206" t="str">
        <v/>
      </c>
    </row>
    <row r="5376" spans="1:13" ht="14.4">
      <c r="A5376" s="201"/>
      <c r="B5376" s="209"/>
      <c r="C5376" s="201"/>
      <c r="D5376" s="201"/>
      <c r="E5376" s="202"/>
      <c r="F5376" s="210"/>
      <c r="G5376" s="210"/>
      <c r="H5376" s="206" t="s">
        <v>121</v>
      </c>
      <c r="I5376" s="206" t="s">
        <v>121</v>
      </c>
      <c r="J5376" s="206" t="s">
        <v>121</v>
      </c>
      <c r="K5376" s="206" t="s">
        <v>121</v>
      </c>
      <c r="L5376" s="206" t="str">
        <v/>
      </c>
      <c r="M5376" s="206" t="str">
        <v/>
      </c>
    </row>
    <row r="5377" spans="1:13" ht="14.4">
      <c r="A5377" s="201"/>
      <c r="B5377" s="209"/>
      <c r="C5377" s="201"/>
      <c r="D5377" s="201"/>
      <c r="E5377" s="202"/>
      <c r="F5377" s="210"/>
      <c r="G5377" s="210"/>
      <c r="H5377" s="206" t="s">
        <v>121</v>
      </c>
      <c r="I5377" s="206" t="s">
        <v>121</v>
      </c>
      <c r="J5377" s="206" t="s">
        <v>121</v>
      </c>
      <c r="K5377" s="206" t="s">
        <v>121</v>
      </c>
      <c r="L5377" s="206" t="str">
        <v/>
      </c>
      <c r="M5377" s="206" t="str">
        <v/>
      </c>
    </row>
    <row r="5378" spans="1:13" ht="14.4">
      <c r="A5378" s="201"/>
      <c r="B5378" s="209"/>
      <c r="C5378" s="201"/>
      <c r="D5378" s="201"/>
      <c r="E5378" s="202"/>
      <c r="F5378" s="210"/>
      <c r="G5378" s="210"/>
      <c r="H5378" s="206" t="s">
        <v>121</v>
      </c>
      <c r="I5378" s="206" t="s">
        <v>121</v>
      </c>
      <c r="J5378" s="206" t="s">
        <v>121</v>
      </c>
      <c r="K5378" s="206" t="s">
        <v>121</v>
      </c>
      <c r="L5378" s="206" t="str">
        <v/>
      </c>
      <c r="M5378" s="206" t="str">
        <v/>
      </c>
    </row>
    <row r="5379" spans="1:13" ht="14.4">
      <c r="A5379" s="201"/>
      <c r="B5379" s="209"/>
      <c r="C5379" s="201"/>
      <c r="D5379" s="201"/>
      <c r="E5379" s="202"/>
      <c r="F5379" s="210"/>
      <c r="G5379" s="210"/>
      <c r="H5379" s="206" t="s">
        <v>121</v>
      </c>
      <c r="I5379" s="206" t="s">
        <v>121</v>
      </c>
      <c r="J5379" s="206" t="s">
        <v>121</v>
      </c>
      <c r="K5379" s="206" t="s">
        <v>121</v>
      </c>
      <c r="L5379" s="206" t="str">
        <v/>
      </c>
      <c r="M5379" s="206" t="str">
        <v/>
      </c>
    </row>
    <row r="5380" spans="1:13" ht="14.4">
      <c r="A5380" s="201"/>
      <c r="B5380" s="209"/>
      <c r="C5380" s="201"/>
      <c r="D5380" s="201"/>
      <c r="E5380" s="202"/>
      <c r="F5380" s="210"/>
      <c r="G5380" s="210"/>
      <c r="H5380" s="206" t="s">
        <v>121</v>
      </c>
      <c r="I5380" s="206" t="s">
        <v>121</v>
      </c>
      <c r="J5380" s="206" t="s">
        <v>121</v>
      </c>
      <c r="K5380" s="206" t="s">
        <v>121</v>
      </c>
      <c r="L5380" s="206" t="str">
        <v/>
      </c>
      <c r="M5380" s="206" t="str">
        <v/>
      </c>
    </row>
    <row r="5381" spans="1:13" ht="14.4">
      <c r="A5381" s="201"/>
      <c r="B5381" s="209"/>
      <c r="C5381" s="201"/>
      <c r="D5381" s="201"/>
      <c r="E5381" s="202"/>
      <c r="F5381" s="210"/>
      <c r="G5381" s="210"/>
      <c r="H5381" s="206" t="s">
        <v>121</v>
      </c>
      <c r="I5381" s="206" t="s">
        <v>121</v>
      </c>
      <c r="J5381" s="206" t="s">
        <v>121</v>
      </c>
      <c r="K5381" s="206" t="s">
        <v>121</v>
      </c>
      <c r="L5381" s="206" t="str">
        <v/>
      </c>
      <c r="M5381" s="206" t="str">
        <v/>
      </c>
    </row>
    <row r="5382" spans="1:13" ht="14.4">
      <c r="A5382" s="201"/>
      <c r="B5382" s="209"/>
      <c r="C5382" s="201"/>
      <c r="D5382" s="201"/>
      <c r="E5382" s="202"/>
      <c r="F5382" s="210"/>
      <c r="G5382" s="210"/>
      <c r="H5382" s="206" t="s">
        <v>121</v>
      </c>
      <c r="I5382" s="206" t="s">
        <v>121</v>
      </c>
      <c r="J5382" s="206" t="s">
        <v>121</v>
      </c>
      <c r="K5382" s="206" t="s">
        <v>121</v>
      </c>
      <c r="L5382" s="206" t="str">
        <v/>
      </c>
      <c r="M5382" s="206" t="str">
        <v/>
      </c>
    </row>
    <row r="5383" spans="1:13" ht="14.4">
      <c r="A5383" s="201"/>
      <c r="B5383" s="209"/>
      <c r="C5383" s="201"/>
      <c r="D5383" s="201"/>
      <c r="E5383" s="202"/>
      <c r="F5383" s="210"/>
      <c r="G5383" s="210"/>
      <c r="H5383" s="206" t="s">
        <v>121</v>
      </c>
      <c r="I5383" s="206" t="s">
        <v>121</v>
      </c>
      <c r="J5383" s="206" t="s">
        <v>121</v>
      </c>
      <c r="K5383" s="206" t="s">
        <v>121</v>
      </c>
      <c r="L5383" s="206" t="str">
        <v/>
      </c>
      <c r="M5383" s="206" t="str">
        <v/>
      </c>
    </row>
    <row r="5384" spans="1:13" ht="14.4">
      <c r="A5384" s="201"/>
      <c r="B5384" s="209"/>
      <c r="C5384" s="201"/>
      <c r="D5384" s="201"/>
      <c r="E5384" s="202"/>
      <c r="F5384" s="210"/>
      <c r="G5384" s="210"/>
      <c r="H5384" s="206" t="s">
        <v>121</v>
      </c>
      <c r="I5384" s="206" t="s">
        <v>121</v>
      </c>
      <c r="J5384" s="206" t="s">
        <v>121</v>
      </c>
      <c r="K5384" s="206" t="s">
        <v>121</v>
      </c>
      <c r="L5384" s="206" t="str">
        <v/>
      </c>
      <c r="M5384" s="206" t="str">
        <v/>
      </c>
    </row>
    <row r="5385" spans="1:13" ht="14.4">
      <c r="A5385" s="201"/>
      <c r="B5385" s="209"/>
      <c r="C5385" s="201"/>
      <c r="D5385" s="201"/>
      <c r="E5385" s="202"/>
      <c r="F5385" s="210"/>
      <c r="G5385" s="210"/>
      <c r="H5385" s="206" t="s">
        <v>121</v>
      </c>
      <c r="I5385" s="206" t="s">
        <v>121</v>
      </c>
      <c r="J5385" s="206" t="s">
        <v>121</v>
      </c>
      <c r="K5385" s="206" t="s">
        <v>121</v>
      </c>
      <c r="L5385" s="206" t="str">
        <v/>
      </c>
      <c r="M5385" s="206" t="str">
        <v/>
      </c>
    </row>
    <row r="5386" spans="1:13" ht="14.4">
      <c r="A5386" s="201"/>
      <c r="B5386" s="209"/>
      <c r="C5386" s="201"/>
      <c r="D5386" s="201"/>
      <c r="E5386" s="202"/>
      <c r="F5386" s="210"/>
      <c r="G5386" s="210"/>
      <c r="H5386" s="206" t="s">
        <v>121</v>
      </c>
      <c r="I5386" s="206" t="s">
        <v>121</v>
      </c>
      <c r="J5386" s="206" t="s">
        <v>121</v>
      </c>
      <c r="K5386" s="206" t="s">
        <v>121</v>
      </c>
      <c r="L5386" s="206" t="str">
        <v/>
      </c>
      <c r="M5386" s="206" t="str">
        <v/>
      </c>
    </row>
    <row r="5387" spans="1:13" ht="14.4">
      <c r="A5387" s="201"/>
      <c r="B5387" s="209"/>
      <c r="C5387" s="201"/>
      <c r="D5387" s="201"/>
      <c r="E5387" s="202"/>
      <c r="F5387" s="210"/>
      <c r="G5387" s="210"/>
      <c r="H5387" s="206" t="s">
        <v>121</v>
      </c>
      <c r="I5387" s="206" t="s">
        <v>121</v>
      </c>
      <c r="J5387" s="206" t="s">
        <v>121</v>
      </c>
      <c r="K5387" s="206" t="s">
        <v>121</v>
      </c>
      <c r="L5387" s="206" t="str">
        <v/>
      </c>
      <c r="M5387" s="206" t="str">
        <v/>
      </c>
    </row>
    <row r="5388" spans="1:13" ht="14.4">
      <c r="A5388" s="201"/>
      <c r="B5388" s="209"/>
      <c r="C5388" s="201"/>
      <c r="D5388" s="201"/>
      <c r="E5388" s="202"/>
      <c r="F5388" s="210"/>
      <c r="G5388" s="210"/>
      <c r="H5388" s="206" t="s">
        <v>121</v>
      </c>
      <c r="I5388" s="206" t="s">
        <v>121</v>
      </c>
      <c r="J5388" s="206" t="s">
        <v>121</v>
      </c>
      <c r="K5388" s="206" t="s">
        <v>121</v>
      </c>
      <c r="L5388" s="206" t="str">
        <v/>
      </c>
      <c r="M5388" s="206" t="str">
        <v/>
      </c>
    </row>
    <row r="5389" spans="1:13" ht="14.4">
      <c r="A5389" s="201"/>
      <c r="B5389" s="209"/>
      <c r="C5389" s="201"/>
      <c r="D5389" s="201"/>
      <c r="E5389" s="202"/>
      <c r="F5389" s="210"/>
      <c r="G5389" s="210"/>
      <c r="H5389" s="206" t="s">
        <v>121</v>
      </c>
      <c r="I5389" s="206" t="s">
        <v>121</v>
      </c>
      <c r="J5389" s="206" t="s">
        <v>121</v>
      </c>
      <c r="K5389" s="206" t="s">
        <v>121</v>
      </c>
      <c r="L5389" s="206" t="str">
        <v/>
      </c>
      <c r="M5389" s="206" t="str">
        <v/>
      </c>
    </row>
    <row r="5390" spans="1:13" ht="14.4">
      <c r="A5390" s="201"/>
      <c r="B5390" s="209"/>
      <c r="C5390" s="201"/>
      <c r="D5390" s="201"/>
      <c r="E5390" s="202"/>
      <c r="F5390" s="210"/>
      <c r="G5390" s="210"/>
      <c r="H5390" s="206" t="s">
        <v>121</v>
      </c>
      <c r="I5390" s="206" t="s">
        <v>121</v>
      </c>
      <c r="J5390" s="206" t="s">
        <v>121</v>
      </c>
      <c r="K5390" s="206" t="s">
        <v>121</v>
      </c>
      <c r="L5390" s="206" t="str">
        <v/>
      </c>
      <c r="M5390" s="206" t="str">
        <v/>
      </c>
    </row>
    <row r="5391" spans="1:13" ht="14.4">
      <c r="A5391" s="201"/>
      <c r="B5391" s="209"/>
      <c r="C5391" s="201"/>
      <c r="D5391" s="201"/>
      <c r="E5391" s="202"/>
      <c r="F5391" s="210"/>
      <c r="G5391" s="210"/>
      <c r="H5391" s="206" t="s">
        <v>121</v>
      </c>
      <c r="I5391" s="206" t="s">
        <v>121</v>
      </c>
      <c r="J5391" s="206" t="s">
        <v>121</v>
      </c>
      <c r="K5391" s="206" t="s">
        <v>121</v>
      </c>
      <c r="L5391" s="206" t="str">
        <v/>
      </c>
      <c r="M5391" s="206" t="str">
        <v/>
      </c>
    </row>
    <row r="5392" spans="1:13" ht="14.4">
      <c r="A5392" s="201"/>
      <c r="B5392" s="209"/>
      <c r="C5392" s="201"/>
      <c r="D5392" s="201"/>
      <c r="E5392" s="202"/>
      <c r="F5392" s="210"/>
      <c r="G5392" s="210"/>
      <c r="H5392" s="206" t="s">
        <v>121</v>
      </c>
      <c r="I5392" s="206" t="s">
        <v>121</v>
      </c>
      <c r="J5392" s="206" t="s">
        <v>121</v>
      </c>
      <c r="K5392" s="206" t="s">
        <v>121</v>
      </c>
      <c r="L5392" s="206" t="str">
        <v/>
      </c>
      <c r="M5392" s="206" t="str">
        <v/>
      </c>
    </row>
    <row r="5393" spans="1:13" ht="14.4">
      <c r="A5393" s="201"/>
      <c r="B5393" s="209"/>
      <c r="C5393" s="201"/>
      <c r="D5393" s="201"/>
      <c r="E5393" s="202"/>
      <c r="F5393" s="210"/>
      <c r="G5393" s="210"/>
      <c r="H5393" s="206" t="s">
        <v>121</v>
      </c>
      <c r="I5393" s="206" t="s">
        <v>121</v>
      </c>
      <c r="J5393" s="206" t="s">
        <v>121</v>
      </c>
      <c r="K5393" s="206" t="s">
        <v>121</v>
      </c>
      <c r="L5393" s="206" t="str">
        <v/>
      </c>
      <c r="M5393" s="206" t="str">
        <v/>
      </c>
    </row>
    <row r="5394" spans="1:13" ht="14.4">
      <c r="A5394" s="201"/>
      <c r="B5394" s="209"/>
      <c r="C5394" s="201"/>
      <c r="D5394" s="201"/>
      <c r="E5394" s="202"/>
      <c r="F5394" s="210"/>
      <c r="G5394" s="210"/>
      <c r="H5394" s="206" t="s">
        <v>121</v>
      </c>
      <c r="I5394" s="206" t="s">
        <v>121</v>
      </c>
      <c r="J5394" s="206" t="s">
        <v>121</v>
      </c>
      <c r="K5394" s="206" t="s">
        <v>121</v>
      </c>
      <c r="L5394" s="206" t="str">
        <v/>
      </c>
      <c r="M5394" s="206" t="str">
        <v/>
      </c>
    </row>
    <row r="5395" spans="1:13" ht="14.4">
      <c r="A5395" s="201"/>
      <c r="B5395" s="209"/>
      <c r="C5395" s="201"/>
      <c r="D5395" s="201"/>
      <c r="E5395" s="202"/>
      <c r="F5395" s="210"/>
      <c r="G5395" s="210"/>
      <c r="H5395" s="206" t="s">
        <v>121</v>
      </c>
      <c r="I5395" s="206" t="s">
        <v>121</v>
      </c>
      <c r="J5395" s="206" t="s">
        <v>121</v>
      </c>
      <c r="K5395" s="206" t="s">
        <v>121</v>
      </c>
      <c r="L5395" s="206" t="str">
        <v/>
      </c>
      <c r="M5395" s="206" t="str">
        <v/>
      </c>
    </row>
    <row r="5396" spans="1:13" ht="14.4">
      <c r="A5396" s="201"/>
      <c r="B5396" s="209"/>
      <c r="C5396" s="201"/>
      <c r="D5396" s="201"/>
      <c r="E5396" s="202"/>
      <c r="F5396" s="210"/>
      <c r="G5396" s="210"/>
      <c r="H5396" s="206" t="s">
        <v>121</v>
      </c>
      <c r="I5396" s="206" t="s">
        <v>121</v>
      </c>
      <c r="J5396" s="206" t="s">
        <v>121</v>
      </c>
      <c r="K5396" s="206" t="s">
        <v>121</v>
      </c>
      <c r="L5396" s="206" t="str">
        <v/>
      </c>
      <c r="M5396" s="206" t="str">
        <v/>
      </c>
    </row>
    <row r="5397" spans="1:13" ht="14.4">
      <c r="A5397" s="201"/>
      <c r="B5397" s="209"/>
      <c r="C5397" s="201"/>
      <c r="D5397" s="201"/>
      <c r="E5397" s="202"/>
      <c r="F5397" s="210"/>
      <c r="G5397" s="210"/>
      <c r="H5397" s="206" t="s">
        <v>121</v>
      </c>
      <c r="I5397" s="206" t="s">
        <v>121</v>
      </c>
      <c r="J5397" s="206" t="s">
        <v>121</v>
      </c>
      <c r="K5397" s="206" t="s">
        <v>121</v>
      </c>
      <c r="L5397" s="206" t="str">
        <v/>
      </c>
      <c r="M5397" s="206" t="str">
        <v/>
      </c>
    </row>
    <row r="5398" spans="1:13" ht="14.4">
      <c r="A5398" s="201"/>
      <c r="B5398" s="209"/>
      <c r="C5398" s="201"/>
      <c r="D5398" s="201"/>
      <c r="E5398" s="202"/>
      <c r="F5398" s="210"/>
      <c r="G5398" s="210"/>
      <c r="H5398" s="206" t="s">
        <v>121</v>
      </c>
      <c r="I5398" s="206" t="s">
        <v>121</v>
      </c>
      <c r="J5398" s="206" t="s">
        <v>121</v>
      </c>
      <c r="K5398" s="206" t="s">
        <v>121</v>
      </c>
      <c r="L5398" s="206" t="str">
        <v/>
      </c>
      <c r="M5398" s="206" t="str">
        <v/>
      </c>
    </row>
    <row r="5399" spans="1:13" ht="14.4">
      <c r="A5399" s="201"/>
      <c r="B5399" s="209"/>
      <c r="C5399" s="201"/>
      <c r="D5399" s="201"/>
      <c r="E5399" s="202"/>
      <c r="F5399" s="210"/>
      <c r="G5399" s="210"/>
      <c r="H5399" s="206" t="s">
        <v>121</v>
      </c>
      <c r="I5399" s="206" t="s">
        <v>121</v>
      </c>
      <c r="J5399" s="206" t="s">
        <v>121</v>
      </c>
      <c r="K5399" s="206" t="s">
        <v>121</v>
      </c>
      <c r="L5399" s="206" t="str">
        <v/>
      </c>
      <c r="M5399" s="206" t="str">
        <v/>
      </c>
    </row>
    <row r="5400" spans="1:13" ht="14.4">
      <c r="A5400" s="201"/>
      <c r="B5400" s="209"/>
      <c r="C5400" s="201"/>
      <c r="D5400" s="201"/>
      <c r="E5400" s="202"/>
      <c r="F5400" s="210"/>
      <c r="G5400" s="210"/>
      <c r="H5400" s="206" t="s">
        <v>121</v>
      </c>
      <c r="I5400" s="206" t="s">
        <v>121</v>
      </c>
      <c r="J5400" s="206" t="s">
        <v>121</v>
      </c>
      <c r="K5400" s="206" t="s">
        <v>121</v>
      </c>
      <c r="L5400" s="206" t="str">
        <v/>
      </c>
      <c r="M5400" s="206" t="str">
        <v/>
      </c>
    </row>
    <row r="5401" spans="1:13" ht="14.4">
      <c r="A5401" s="201"/>
      <c r="B5401" s="209"/>
      <c r="C5401" s="201"/>
      <c r="D5401" s="201"/>
      <c r="E5401" s="202"/>
      <c r="F5401" s="210"/>
      <c r="G5401" s="210"/>
      <c r="H5401" s="206" t="s">
        <v>121</v>
      </c>
      <c r="I5401" s="206" t="s">
        <v>121</v>
      </c>
      <c r="J5401" s="206" t="s">
        <v>121</v>
      </c>
      <c r="K5401" s="206" t="s">
        <v>121</v>
      </c>
      <c r="L5401" s="206" t="str">
        <v/>
      </c>
      <c r="M5401" s="206" t="str">
        <v/>
      </c>
    </row>
    <row r="5402" spans="1:13" ht="14.4">
      <c r="A5402" s="201"/>
      <c r="B5402" s="209"/>
      <c r="C5402" s="201"/>
      <c r="D5402" s="201"/>
      <c r="E5402" s="202"/>
      <c r="F5402" s="210"/>
      <c r="G5402" s="210"/>
      <c r="H5402" s="206" t="s">
        <v>121</v>
      </c>
      <c r="I5402" s="206" t="s">
        <v>121</v>
      </c>
      <c r="J5402" s="206" t="s">
        <v>121</v>
      </c>
      <c r="K5402" s="206" t="s">
        <v>121</v>
      </c>
      <c r="L5402" s="206" t="str">
        <v/>
      </c>
      <c r="M5402" s="206" t="str">
        <v/>
      </c>
    </row>
    <row r="5403" spans="1:13" ht="14.4">
      <c r="A5403" s="201"/>
      <c r="B5403" s="209"/>
      <c r="C5403" s="201"/>
      <c r="D5403" s="201"/>
      <c r="E5403" s="202"/>
      <c r="F5403" s="210"/>
      <c r="G5403" s="210"/>
      <c r="H5403" s="206" t="s">
        <v>121</v>
      </c>
      <c r="I5403" s="206" t="s">
        <v>121</v>
      </c>
      <c r="J5403" s="206" t="s">
        <v>121</v>
      </c>
      <c r="K5403" s="206" t="s">
        <v>121</v>
      </c>
      <c r="L5403" s="206" t="str">
        <v/>
      </c>
      <c r="M5403" s="206" t="str">
        <v/>
      </c>
    </row>
    <row r="5404" spans="1:13" ht="14.4">
      <c r="A5404" s="201"/>
      <c r="B5404" s="209"/>
      <c r="C5404" s="201"/>
      <c r="D5404" s="201"/>
      <c r="E5404" s="202"/>
      <c r="F5404" s="210"/>
      <c r="G5404" s="210"/>
      <c r="H5404" s="206" t="s">
        <v>121</v>
      </c>
      <c r="I5404" s="206" t="s">
        <v>121</v>
      </c>
      <c r="J5404" s="206" t="s">
        <v>121</v>
      </c>
      <c r="K5404" s="206" t="s">
        <v>121</v>
      </c>
      <c r="L5404" s="206" t="str">
        <v/>
      </c>
      <c r="M5404" s="206" t="str">
        <v/>
      </c>
    </row>
    <row r="5405" spans="1:13" ht="14.4">
      <c r="A5405" s="201"/>
      <c r="B5405" s="209"/>
      <c r="C5405" s="201"/>
      <c r="D5405" s="201"/>
      <c r="E5405" s="202"/>
      <c r="F5405" s="210"/>
      <c r="G5405" s="210"/>
      <c r="H5405" s="206" t="s">
        <v>121</v>
      </c>
      <c r="I5405" s="206" t="s">
        <v>121</v>
      </c>
      <c r="J5405" s="206" t="s">
        <v>121</v>
      </c>
      <c r="K5405" s="206" t="s">
        <v>121</v>
      </c>
      <c r="L5405" s="206" t="str">
        <v/>
      </c>
      <c r="M5405" s="206" t="str">
        <v/>
      </c>
    </row>
    <row r="5406" spans="1:13" ht="14.4">
      <c r="A5406" s="201"/>
      <c r="B5406" s="209"/>
      <c r="C5406" s="201"/>
      <c r="D5406" s="201"/>
      <c r="E5406" s="202"/>
      <c r="F5406" s="210"/>
      <c r="G5406" s="210"/>
      <c r="H5406" s="206" t="s">
        <v>121</v>
      </c>
      <c r="I5406" s="206" t="s">
        <v>121</v>
      </c>
      <c r="J5406" s="206" t="s">
        <v>121</v>
      </c>
      <c r="K5406" s="206" t="s">
        <v>121</v>
      </c>
      <c r="L5406" s="206" t="str">
        <v/>
      </c>
      <c r="M5406" s="206" t="str">
        <v/>
      </c>
    </row>
    <row r="5407" spans="1:13" ht="14.4">
      <c r="A5407" s="201"/>
      <c r="B5407" s="209"/>
      <c r="C5407" s="201"/>
      <c r="D5407" s="201"/>
      <c r="E5407" s="202"/>
      <c r="F5407" s="210"/>
      <c r="G5407" s="210"/>
      <c r="H5407" s="206" t="s">
        <v>121</v>
      </c>
      <c r="I5407" s="206" t="s">
        <v>121</v>
      </c>
      <c r="J5407" s="206" t="s">
        <v>121</v>
      </c>
      <c r="K5407" s="206" t="s">
        <v>121</v>
      </c>
      <c r="L5407" s="206" t="str">
        <v/>
      </c>
      <c r="M5407" s="206" t="str">
        <v/>
      </c>
    </row>
    <row r="5408" spans="1:13" ht="14.4">
      <c r="A5408" s="201"/>
      <c r="B5408" s="209"/>
      <c r="C5408" s="201"/>
      <c r="D5408" s="201"/>
      <c r="E5408" s="202"/>
      <c r="F5408" s="210"/>
      <c r="G5408" s="210"/>
      <c r="H5408" s="206" t="s">
        <v>121</v>
      </c>
      <c r="I5408" s="206" t="s">
        <v>121</v>
      </c>
      <c r="J5408" s="206" t="s">
        <v>121</v>
      </c>
      <c r="K5408" s="206" t="s">
        <v>121</v>
      </c>
      <c r="L5408" s="206" t="str">
        <v/>
      </c>
      <c r="M5408" s="206" t="str">
        <v/>
      </c>
    </row>
    <row r="5409" spans="1:13" ht="14.4">
      <c r="A5409" s="201"/>
      <c r="B5409" s="209"/>
      <c r="C5409" s="201"/>
      <c r="D5409" s="201"/>
      <c r="E5409" s="202"/>
      <c r="F5409" s="210"/>
      <c r="G5409" s="210"/>
      <c r="H5409" s="206" t="s">
        <v>121</v>
      </c>
      <c r="I5409" s="206" t="s">
        <v>121</v>
      </c>
      <c r="J5409" s="206" t="s">
        <v>121</v>
      </c>
      <c r="K5409" s="206" t="s">
        <v>121</v>
      </c>
      <c r="L5409" s="206" t="str">
        <v/>
      </c>
      <c r="M5409" s="206" t="str">
        <v/>
      </c>
    </row>
    <row r="5410" spans="1:13" ht="14.4">
      <c r="A5410" s="201"/>
      <c r="B5410" s="209"/>
      <c r="C5410" s="201"/>
      <c r="D5410" s="201"/>
      <c r="E5410" s="202"/>
      <c r="F5410" s="210"/>
      <c r="G5410" s="210"/>
      <c r="H5410" s="206" t="s">
        <v>121</v>
      </c>
      <c r="I5410" s="206" t="s">
        <v>121</v>
      </c>
      <c r="J5410" s="206" t="s">
        <v>121</v>
      </c>
      <c r="K5410" s="206" t="s">
        <v>121</v>
      </c>
      <c r="L5410" s="206" t="str">
        <v/>
      </c>
      <c r="M5410" s="206" t="str">
        <v/>
      </c>
    </row>
    <row r="5411" spans="1:13" ht="14.4">
      <c r="A5411" s="201"/>
      <c r="B5411" s="209"/>
      <c r="C5411" s="201"/>
      <c r="D5411" s="201"/>
      <c r="E5411" s="202"/>
      <c r="F5411" s="210"/>
      <c r="G5411" s="210"/>
      <c r="H5411" s="206" t="s">
        <v>121</v>
      </c>
      <c r="I5411" s="206" t="s">
        <v>121</v>
      </c>
      <c r="J5411" s="206" t="s">
        <v>121</v>
      </c>
      <c r="K5411" s="206" t="s">
        <v>121</v>
      </c>
      <c r="L5411" s="206" t="str">
        <v/>
      </c>
      <c r="M5411" s="206" t="str">
        <v/>
      </c>
    </row>
    <row r="5412" spans="1:13" ht="14.4">
      <c r="A5412" s="201"/>
      <c r="B5412" s="209"/>
      <c r="C5412" s="201"/>
      <c r="D5412" s="201"/>
      <c r="E5412" s="202"/>
      <c r="F5412" s="210"/>
      <c r="G5412" s="210"/>
      <c r="H5412" s="206" t="s">
        <v>121</v>
      </c>
      <c r="I5412" s="206" t="s">
        <v>121</v>
      </c>
      <c r="J5412" s="206" t="s">
        <v>121</v>
      </c>
      <c r="K5412" s="206" t="s">
        <v>121</v>
      </c>
      <c r="L5412" s="206" t="str">
        <v/>
      </c>
      <c r="M5412" s="206" t="str">
        <v/>
      </c>
    </row>
    <row r="5413" spans="1:13" ht="14.4">
      <c r="A5413" s="201"/>
      <c r="B5413" s="209"/>
      <c r="C5413" s="201"/>
      <c r="D5413" s="201"/>
      <c r="E5413" s="202"/>
      <c r="F5413" s="210"/>
      <c r="G5413" s="210"/>
      <c r="H5413" s="206" t="s">
        <v>121</v>
      </c>
      <c r="I5413" s="206" t="s">
        <v>121</v>
      </c>
      <c r="J5413" s="206" t="s">
        <v>121</v>
      </c>
      <c r="K5413" s="206" t="s">
        <v>121</v>
      </c>
      <c r="L5413" s="206" t="str">
        <v/>
      </c>
      <c r="M5413" s="206" t="str">
        <v/>
      </c>
    </row>
    <row r="5414" spans="1:13" ht="14.4">
      <c r="A5414" s="201"/>
      <c r="B5414" s="209"/>
      <c r="C5414" s="201"/>
      <c r="D5414" s="201"/>
      <c r="E5414" s="202"/>
      <c r="F5414" s="210"/>
      <c r="G5414" s="210"/>
      <c r="H5414" s="206" t="s">
        <v>121</v>
      </c>
      <c r="I5414" s="206" t="s">
        <v>121</v>
      </c>
      <c r="J5414" s="206" t="s">
        <v>121</v>
      </c>
      <c r="K5414" s="206" t="s">
        <v>121</v>
      </c>
      <c r="L5414" s="206" t="str">
        <v/>
      </c>
      <c r="M5414" s="206" t="str">
        <v/>
      </c>
    </row>
    <row r="5415" spans="1:13" ht="14.4">
      <c r="A5415" s="201"/>
      <c r="B5415" s="209"/>
      <c r="C5415" s="201"/>
      <c r="D5415" s="201"/>
      <c r="E5415" s="202"/>
      <c r="F5415" s="210"/>
      <c r="G5415" s="210"/>
      <c r="H5415" s="206" t="s">
        <v>121</v>
      </c>
      <c r="I5415" s="206" t="s">
        <v>121</v>
      </c>
      <c r="J5415" s="206" t="s">
        <v>121</v>
      </c>
      <c r="K5415" s="206" t="s">
        <v>121</v>
      </c>
      <c r="L5415" s="206" t="str">
        <v/>
      </c>
      <c r="M5415" s="206" t="str">
        <v/>
      </c>
    </row>
    <row r="5416" spans="1:13" ht="14.4">
      <c r="A5416" s="201"/>
      <c r="B5416" s="209"/>
      <c r="C5416" s="201"/>
      <c r="D5416" s="201"/>
      <c r="E5416" s="202"/>
      <c r="F5416" s="210"/>
      <c r="G5416" s="210"/>
      <c r="H5416" s="206" t="s">
        <v>121</v>
      </c>
      <c r="I5416" s="206" t="s">
        <v>121</v>
      </c>
      <c r="J5416" s="206" t="s">
        <v>121</v>
      </c>
      <c r="K5416" s="206" t="s">
        <v>121</v>
      </c>
      <c r="L5416" s="206" t="str">
        <v/>
      </c>
      <c r="M5416" s="206" t="str">
        <v/>
      </c>
    </row>
    <row r="5417" spans="1:13" ht="14.4">
      <c r="A5417" s="201"/>
      <c r="B5417" s="209"/>
      <c r="C5417" s="201"/>
      <c r="D5417" s="201"/>
      <c r="E5417" s="202"/>
      <c r="F5417" s="210"/>
      <c r="G5417" s="210"/>
      <c r="H5417" s="206" t="s">
        <v>121</v>
      </c>
      <c r="I5417" s="206" t="s">
        <v>121</v>
      </c>
      <c r="J5417" s="206" t="s">
        <v>121</v>
      </c>
      <c r="K5417" s="206" t="s">
        <v>121</v>
      </c>
      <c r="L5417" s="206" t="str">
        <v/>
      </c>
      <c r="M5417" s="206" t="str">
        <v/>
      </c>
    </row>
    <row r="5418" spans="1:13" ht="14.4">
      <c r="A5418" s="201"/>
      <c r="B5418" s="209"/>
      <c r="C5418" s="201"/>
      <c r="D5418" s="201"/>
      <c r="E5418" s="202"/>
      <c r="F5418" s="210"/>
      <c r="G5418" s="210"/>
      <c r="H5418" s="206" t="s">
        <v>121</v>
      </c>
      <c r="I5418" s="206" t="s">
        <v>121</v>
      </c>
      <c r="J5418" s="206" t="s">
        <v>121</v>
      </c>
      <c r="K5418" s="206" t="s">
        <v>121</v>
      </c>
      <c r="L5418" s="206" t="str">
        <v/>
      </c>
      <c r="M5418" s="206" t="str">
        <v/>
      </c>
    </row>
    <row r="5419" spans="1:13" ht="14.4">
      <c r="A5419" s="201"/>
      <c r="B5419" s="209"/>
      <c r="C5419" s="201"/>
      <c r="D5419" s="201"/>
      <c r="E5419" s="202"/>
      <c r="F5419" s="210"/>
      <c r="G5419" s="210"/>
      <c r="H5419" s="206" t="s">
        <v>121</v>
      </c>
      <c r="I5419" s="206" t="s">
        <v>121</v>
      </c>
      <c r="J5419" s="206" t="s">
        <v>121</v>
      </c>
      <c r="K5419" s="206" t="s">
        <v>121</v>
      </c>
      <c r="L5419" s="206" t="str">
        <v/>
      </c>
      <c r="M5419" s="206" t="str">
        <v/>
      </c>
    </row>
    <row r="5420" spans="1:13" ht="14.4">
      <c r="A5420" s="201"/>
      <c r="B5420" s="209"/>
      <c r="C5420" s="201"/>
      <c r="D5420" s="201"/>
      <c r="E5420" s="202"/>
      <c r="F5420" s="210"/>
      <c r="G5420" s="210"/>
      <c r="H5420" s="206" t="s">
        <v>121</v>
      </c>
      <c r="I5420" s="206" t="s">
        <v>121</v>
      </c>
      <c r="J5420" s="206" t="s">
        <v>121</v>
      </c>
      <c r="K5420" s="206" t="s">
        <v>121</v>
      </c>
      <c r="L5420" s="206" t="str">
        <v/>
      </c>
      <c r="M5420" s="206" t="str">
        <v/>
      </c>
    </row>
    <row r="5421" spans="1:13" ht="14.4">
      <c r="A5421" s="201"/>
      <c r="B5421" s="209"/>
      <c r="C5421" s="201"/>
      <c r="D5421" s="201"/>
      <c r="E5421" s="202"/>
      <c r="F5421" s="210"/>
      <c r="G5421" s="210"/>
      <c r="H5421" s="206" t="s">
        <v>121</v>
      </c>
      <c r="I5421" s="206" t="s">
        <v>121</v>
      </c>
      <c r="J5421" s="206" t="s">
        <v>121</v>
      </c>
      <c r="K5421" s="206" t="s">
        <v>121</v>
      </c>
      <c r="L5421" s="206" t="str">
        <v/>
      </c>
      <c r="M5421" s="206" t="str">
        <v/>
      </c>
    </row>
    <row r="5422" spans="1:13" ht="14.4">
      <c r="A5422" s="201"/>
      <c r="B5422" s="209"/>
      <c r="C5422" s="201"/>
      <c r="D5422" s="201"/>
      <c r="E5422" s="202"/>
      <c r="F5422" s="210"/>
      <c r="G5422" s="210"/>
      <c r="H5422" s="206" t="s">
        <v>121</v>
      </c>
      <c r="I5422" s="206" t="s">
        <v>121</v>
      </c>
      <c r="J5422" s="206" t="s">
        <v>121</v>
      </c>
      <c r="K5422" s="206" t="s">
        <v>121</v>
      </c>
      <c r="L5422" s="206" t="str">
        <v/>
      </c>
      <c r="M5422" s="206" t="str">
        <v/>
      </c>
    </row>
    <row r="5423" spans="1:13" ht="14.4">
      <c r="A5423" s="201"/>
      <c r="B5423" s="209"/>
      <c r="C5423" s="201"/>
      <c r="D5423" s="201"/>
      <c r="E5423" s="202"/>
      <c r="F5423" s="210"/>
      <c r="G5423" s="210"/>
      <c r="H5423" s="206" t="s">
        <v>121</v>
      </c>
      <c r="I5423" s="206" t="s">
        <v>121</v>
      </c>
      <c r="J5423" s="206" t="s">
        <v>121</v>
      </c>
      <c r="K5423" s="206" t="s">
        <v>121</v>
      </c>
      <c r="L5423" s="206" t="str">
        <v/>
      </c>
      <c r="M5423" s="206" t="str">
        <v/>
      </c>
    </row>
    <row r="5424" spans="1:13" ht="14.4">
      <c r="A5424" s="201"/>
      <c r="B5424" s="209"/>
      <c r="C5424" s="201"/>
      <c r="D5424" s="201"/>
      <c r="E5424" s="202"/>
      <c r="F5424" s="210"/>
      <c r="G5424" s="210"/>
      <c r="H5424" s="206" t="s">
        <v>121</v>
      </c>
      <c r="I5424" s="206" t="s">
        <v>121</v>
      </c>
      <c r="J5424" s="206" t="s">
        <v>121</v>
      </c>
      <c r="K5424" s="206" t="s">
        <v>121</v>
      </c>
      <c r="L5424" s="206" t="str">
        <v/>
      </c>
      <c r="M5424" s="206" t="str">
        <v/>
      </c>
    </row>
    <row r="5425" spans="1:13" ht="14.4">
      <c r="A5425" s="201"/>
      <c r="B5425" s="209"/>
      <c r="C5425" s="201"/>
      <c r="D5425" s="201"/>
      <c r="E5425" s="202"/>
      <c r="F5425" s="210"/>
      <c r="G5425" s="210"/>
      <c r="H5425" s="206" t="s">
        <v>121</v>
      </c>
      <c r="I5425" s="206" t="s">
        <v>121</v>
      </c>
      <c r="J5425" s="206" t="s">
        <v>121</v>
      </c>
      <c r="K5425" s="206" t="s">
        <v>121</v>
      </c>
      <c r="L5425" s="206" t="str">
        <v/>
      </c>
      <c r="M5425" s="206" t="str">
        <v/>
      </c>
    </row>
    <row r="5426" spans="1:13" ht="14.4">
      <c r="A5426" s="201"/>
      <c r="B5426" s="209"/>
      <c r="C5426" s="201"/>
      <c r="D5426" s="201"/>
      <c r="E5426" s="202"/>
      <c r="F5426" s="210"/>
      <c r="G5426" s="210"/>
      <c r="H5426" s="206" t="s">
        <v>121</v>
      </c>
      <c r="I5426" s="206" t="s">
        <v>121</v>
      </c>
      <c r="J5426" s="206" t="s">
        <v>121</v>
      </c>
      <c r="K5426" s="206" t="s">
        <v>121</v>
      </c>
      <c r="L5426" s="206" t="str">
        <v/>
      </c>
      <c r="M5426" s="206" t="str">
        <v/>
      </c>
    </row>
    <row r="5427" spans="1:13" ht="14.4">
      <c r="A5427" s="201"/>
      <c r="B5427" s="209"/>
      <c r="C5427" s="201"/>
      <c r="D5427" s="201"/>
      <c r="E5427" s="202"/>
      <c r="F5427" s="210"/>
      <c r="G5427" s="210"/>
      <c r="H5427" s="206" t="s">
        <v>121</v>
      </c>
      <c r="I5427" s="206" t="s">
        <v>121</v>
      </c>
      <c r="J5427" s="206" t="s">
        <v>121</v>
      </c>
      <c r="K5427" s="206" t="s">
        <v>121</v>
      </c>
      <c r="L5427" s="206" t="str">
        <v/>
      </c>
      <c r="M5427" s="206" t="str">
        <v/>
      </c>
    </row>
    <row r="5428" spans="1:13" ht="14.4">
      <c r="A5428" s="201"/>
      <c r="B5428" s="209"/>
      <c r="C5428" s="201"/>
      <c r="D5428" s="201"/>
      <c r="E5428" s="202"/>
      <c r="F5428" s="210"/>
      <c r="G5428" s="210"/>
      <c r="H5428" s="206" t="s">
        <v>121</v>
      </c>
      <c r="I5428" s="206" t="s">
        <v>121</v>
      </c>
      <c r="J5428" s="206" t="s">
        <v>121</v>
      </c>
      <c r="K5428" s="206" t="s">
        <v>121</v>
      </c>
      <c r="L5428" s="206" t="str">
        <v/>
      </c>
      <c r="M5428" s="206" t="str">
        <v/>
      </c>
    </row>
    <row r="5429" spans="1:13" ht="14.4">
      <c r="A5429" s="201"/>
      <c r="B5429" s="209"/>
      <c r="C5429" s="201"/>
      <c r="D5429" s="201"/>
      <c r="E5429" s="202"/>
      <c r="F5429" s="210"/>
      <c r="G5429" s="210"/>
      <c r="H5429" s="206" t="s">
        <v>121</v>
      </c>
      <c r="I5429" s="206" t="s">
        <v>121</v>
      </c>
      <c r="J5429" s="206" t="s">
        <v>121</v>
      </c>
      <c r="K5429" s="206" t="s">
        <v>121</v>
      </c>
      <c r="L5429" s="206" t="str">
        <v/>
      </c>
      <c r="M5429" s="206" t="str">
        <v/>
      </c>
    </row>
    <row r="5430" spans="1:13" ht="14.4">
      <c r="A5430" s="201"/>
      <c r="B5430" s="209"/>
      <c r="C5430" s="201"/>
      <c r="D5430" s="201"/>
      <c r="E5430" s="202"/>
      <c r="F5430" s="210"/>
      <c r="G5430" s="210"/>
      <c r="H5430" s="206" t="s">
        <v>121</v>
      </c>
      <c r="I5430" s="206" t="s">
        <v>121</v>
      </c>
      <c r="J5430" s="206" t="s">
        <v>121</v>
      </c>
      <c r="K5430" s="206" t="s">
        <v>121</v>
      </c>
      <c r="L5430" s="206" t="str">
        <v/>
      </c>
      <c r="M5430" s="206" t="str">
        <v/>
      </c>
    </row>
    <row r="5431" spans="1:13" ht="14.4">
      <c r="A5431" s="201"/>
      <c r="B5431" s="209"/>
      <c r="C5431" s="201"/>
      <c r="D5431" s="201"/>
      <c r="E5431" s="202"/>
      <c r="F5431" s="210"/>
      <c r="G5431" s="210"/>
      <c r="H5431" s="206" t="s">
        <v>121</v>
      </c>
      <c r="I5431" s="206" t="s">
        <v>121</v>
      </c>
      <c r="J5431" s="206" t="s">
        <v>121</v>
      </c>
      <c r="K5431" s="206" t="s">
        <v>121</v>
      </c>
      <c r="L5431" s="206" t="str">
        <v/>
      </c>
      <c r="M5431" s="206" t="str">
        <v/>
      </c>
    </row>
    <row r="5432" spans="1:13" ht="14.4">
      <c r="A5432" s="201"/>
      <c r="B5432" s="209"/>
      <c r="C5432" s="201"/>
      <c r="D5432" s="201"/>
      <c r="E5432" s="202"/>
      <c r="F5432" s="210"/>
      <c r="G5432" s="210"/>
      <c r="H5432" s="206" t="s">
        <v>121</v>
      </c>
      <c r="I5432" s="206" t="s">
        <v>121</v>
      </c>
      <c r="J5432" s="206" t="s">
        <v>121</v>
      </c>
      <c r="K5432" s="206" t="s">
        <v>121</v>
      </c>
      <c r="L5432" s="206" t="str">
        <v/>
      </c>
      <c r="M5432" s="206" t="str">
        <v/>
      </c>
    </row>
    <row r="5433" spans="1:13" ht="14.4">
      <c r="A5433" s="201"/>
      <c r="B5433" s="209"/>
      <c r="C5433" s="201"/>
      <c r="D5433" s="201"/>
      <c r="E5433" s="202"/>
      <c r="F5433" s="210"/>
      <c r="G5433" s="210"/>
      <c r="H5433" s="206" t="s">
        <v>121</v>
      </c>
      <c r="I5433" s="206" t="s">
        <v>121</v>
      </c>
      <c r="J5433" s="206" t="s">
        <v>121</v>
      </c>
      <c r="K5433" s="206" t="s">
        <v>121</v>
      </c>
      <c r="L5433" s="206" t="str">
        <v/>
      </c>
      <c r="M5433" s="206" t="str">
        <v/>
      </c>
    </row>
    <row r="5434" spans="1:13" ht="14.4">
      <c r="A5434" s="201"/>
      <c r="B5434" s="209"/>
      <c r="C5434" s="201"/>
      <c r="D5434" s="201"/>
      <c r="E5434" s="202"/>
      <c r="F5434" s="210"/>
      <c r="G5434" s="210"/>
      <c r="H5434" s="206" t="s">
        <v>121</v>
      </c>
      <c r="I5434" s="206" t="s">
        <v>121</v>
      </c>
      <c r="J5434" s="206" t="s">
        <v>121</v>
      </c>
      <c r="K5434" s="206" t="s">
        <v>121</v>
      </c>
      <c r="L5434" s="206" t="str">
        <v/>
      </c>
      <c r="M5434" s="206" t="str">
        <v/>
      </c>
    </row>
    <row r="5435" spans="1:13" ht="14.4">
      <c r="A5435" s="201"/>
      <c r="B5435" s="209"/>
      <c r="C5435" s="201"/>
      <c r="D5435" s="201"/>
      <c r="E5435" s="202"/>
      <c r="F5435" s="210"/>
      <c r="G5435" s="210"/>
      <c r="H5435" s="206" t="s">
        <v>121</v>
      </c>
      <c r="I5435" s="206" t="s">
        <v>121</v>
      </c>
      <c r="J5435" s="206" t="s">
        <v>121</v>
      </c>
      <c r="K5435" s="206" t="s">
        <v>121</v>
      </c>
      <c r="L5435" s="206" t="str">
        <v/>
      </c>
      <c r="M5435" s="206" t="str">
        <v/>
      </c>
    </row>
    <row r="5436" spans="1:13" ht="14.4">
      <c r="A5436" s="201"/>
      <c r="B5436" s="209"/>
      <c r="C5436" s="201"/>
      <c r="D5436" s="201"/>
      <c r="E5436" s="202"/>
      <c r="F5436" s="210"/>
      <c r="G5436" s="210"/>
      <c r="H5436" s="206" t="s">
        <v>121</v>
      </c>
      <c r="I5436" s="206" t="s">
        <v>121</v>
      </c>
      <c r="J5436" s="206" t="s">
        <v>121</v>
      </c>
      <c r="K5436" s="206" t="s">
        <v>121</v>
      </c>
      <c r="L5436" s="206" t="str">
        <v/>
      </c>
      <c r="M5436" s="206" t="str">
        <v/>
      </c>
    </row>
    <row r="5437" spans="1:13" ht="14.4">
      <c r="A5437" s="201"/>
      <c r="B5437" s="209"/>
      <c r="C5437" s="201"/>
      <c r="D5437" s="201"/>
      <c r="E5437" s="202"/>
      <c r="F5437" s="210"/>
      <c r="G5437" s="210"/>
      <c r="H5437" s="206" t="s">
        <v>121</v>
      </c>
      <c r="I5437" s="206" t="s">
        <v>121</v>
      </c>
      <c r="J5437" s="206" t="s">
        <v>121</v>
      </c>
      <c r="K5437" s="206" t="s">
        <v>121</v>
      </c>
      <c r="L5437" s="206" t="str">
        <v/>
      </c>
      <c r="M5437" s="206" t="str">
        <v/>
      </c>
    </row>
    <row r="5438" spans="1:13" ht="14.4">
      <c r="A5438" s="201"/>
      <c r="B5438" s="209"/>
      <c r="C5438" s="201"/>
      <c r="D5438" s="201"/>
      <c r="E5438" s="202"/>
      <c r="F5438" s="210"/>
      <c r="G5438" s="210"/>
      <c r="H5438" s="206" t="s">
        <v>121</v>
      </c>
      <c r="I5438" s="206" t="s">
        <v>121</v>
      </c>
      <c r="J5438" s="206" t="s">
        <v>121</v>
      </c>
      <c r="K5438" s="206" t="s">
        <v>121</v>
      </c>
      <c r="L5438" s="206" t="str">
        <v/>
      </c>
      <c r="M5438" s="206" t="str">
        <v/>
      </c>
    </row>
    <row r="5439" spans="1:13" ht="14.4">
      <c r="A5439" s="201"/>
      <c r="B5439" s="209"/>
      <c r="C5439" s="201"/>
      <c r="D5439" s="201"/>
      <c r="E5439" s="202"/>
      <c r="F5439" s="210"/>
      <c r="G5439" s="210"/>
      <c r="H5439" s="206" t="s">
        <v>121</v>
      </c>
      <c r="I5439" s="206" t="s">
        <v>121</v>
      </c>
      <c r="J5439" s="206" t="s">
        <v>121</v>
      </c>
      <c r="K5439" s="206" t="s">
        <v>121</v>
      </c>
      <c r="L5439" s="206" t="str">
        <v/>
      </c>
      <c r="M5439" s="206" t="str">
        <v/>
      </c>
    </row>
    <row r="5440" spans="1:13" ht="14.4">
      <c r="A5440" s="201"/>
      <c r="B5440" s="209"/>
      <c r="C5440" s="201"/>
      <c r="D5440" s="201"/>
      <c r="E5440" s="202"/>
      <c r="F5440" s="210"/>
      <c r="G5440" s="210"/>
      <c r="H5440" s="206" t="s">
        <v>121</v>
      </c>
      <c r="I5440" s="206" t="s">
        <v>121</v>
      </c>
      <c r="J5440" s="206" t="s">
        <v>121</v>
      </c>
      <c r="K5440" s="206" t="s">
        <v>121</v>
      </c>
      <c r="L5440" s="206" t="str">
        <v/>
      </c>
      <c r="M5440" s="206" t="str">
        <v/>
      </c>
    </row>
    <row r="5441" spans="1:13" ht="14.4">
      <c r="A5441" s="201"/>
      <c r="B5441" s="209"/>
      <c r="C5441" s="201"/>
      <c r="D5441" s="201"/>
      <c r="E5441" s="202"/>
      <c r="F5441" s="210"/>
      <c r="G5441" s="210"/>
      <c r="H5441" s="206" t="s">
        <v>121</v>
      </c>
      <c r="I5441" s="206" t="s">
        <v>121</v>
      </c>
      <c r="J5441" s="206" t="s">
        <v>121</v>
      </c>
      <c r="K5441" s="206" t="s">
        <v>121</v>
      </c>
      <c r="L5441" s="206" t="str">
        <v/>
      </c>
      <c r="M5441" s="206" t="str">
        <v/>
      </c>
    </row>
    <row r="5442" spans="1:13" ht="14.4">
      <c r="A5442" s="201"/>
      <c r="B5442" s="209"/>
      <c r="C5442" s="201"/>
      <c r="D5442" s="201"/>
      <c r="E5442" s="202"/>
      <c r="F5442" s="210"/>
      <c r="G5442" s="210"/>
      <c r="H5442" s="206" t="s">
        <v>121</v>
      </c>
      <c r="I5442" s="206" t="s">
        <v>121</v>
      </c>
      <c r="J5442" s="206" t="s">
        <v>121</v>
      </c>
      <c r="K5442" s="206" t="s">
        <v>121</v>
      </c>
      <c r="L5442" s="206" t="str">
        <v/>
      </c>
      <c r="M5442" s="206" t="str">
        <v/>
      </c>
    </row>
    <row r="5443" spans="1:13" ht="14.4">
      <c r="A5443" s="201"/>
      <c r="B5443" s="209"/>
      <c r="C5443" s="201"/>
      <c r="D5443" s="201"/>
      <c r="E5443" s="202"/>
      <c r="F5443" s="210"/>
      <c r="G5443" s="210"/>
      <c r="H5443" s="206" t="s">
        <v>121</v>
      </c>
      <c r="I5443" s="206" t="s">
        <v>121</v>
      </c>
      <c r="J5443" s="206" t="s">
        <v>121</v>
      </c>
      <c r="K5443" s="206" t="s">
        <v>121</v>
      </c>
      <c r="L5443" s="206" t="str">
        <v/>
      </c>
      <c r="M5443" s="206" t="str">
        <v/>
      </c>
    </row>
    <row r="5444" spans="1:13" ht="14.4">
      <c r="A5444" s="201"/>
      <c r="B5444" s="209"/>
      <c r="C5444" s="201"/>
      <c r="D5444" s="201"/>
      <c r="E5444" s="202"/>
      <c r="F5444" s="210"/>
      <c r="G5444" s="210"/>
      <c r="H5444" s="206" t="s">
        <v>121</v>
      </c>
      <c r="I5444" s="206" t="s">
        <v>121</v>
      </c>
      <c r="J5444" s="206" t="s">
        <v>121</v>
      </c>
      <c r="K5444" s="206" t="s">
        <v>121</v>
      </c>
      <c r="L5444" s="206" t="str">
        <v/>
      </c>
      <c r="M5444" s="206" t="str">
        <v/>
      </c>
    </row>
    <row r="5445" spans="1:13" ht="14.4">
      <c r="A5445" s="201"/>
      <c r="B5445" s="209"/>
      <c r="C5445" s="201"/>
      <c r="D5445" s="201"/>
      <c r="E5445" s="202"/>
      <c r="F5445" s="210"/>
      <c r="G5445" s="210"/>
      <c r="H5445" s="206" t="s">
        <v>121</v>
      </c>
      <c r="I5445" s="206" t="s">
        <v>121</v>
      </c>
      <c r="J5445" s="206" t="s">
        <v>121</v>
      </c>
      <c r="K5445" s="206" t="s">
        <v>121</v>
      </c>
      <c r="L5445" s="206" t="str">
        <v/>
      </c>
      <c r="M5445" s="206" t="str">
        <v/>
      </c>
    </row>
    <row r="5446" spans="1:13" ht="14.4">
      <c r="A5446" s="201"/>
      <c r="B5446" s="209"/>
      <c r="C5446" s="201"/>
      <c r="D5446" s="201"/>
      <c r="E5446" s="202"/>
      <c r="F5446" s="210"/>
      <c r="G5446" s="210"/>
      <c r="H5446" s="206" t="s">
        <v>121</v>
      </c>
      <c r="I5446" s="206" t="s">
        <v>121</v>
      </c>
      <c r="J5446" s="206" t="s">
        <v>121</v>
      </c>
      <c r="K5446" s="206" t="s">
        <v>121</v>
      </c>
      <c r="L5446" s="206" t="str">
        <v/>
      </c>
      <c r="M5446" s="206" t="str">
        <v/>
      </c>
    </row>
    <row r="5447" spans="1:13" ht="14.4">
      <c r="A5447" s="201"/>
      <c r="B5447" s="209"/>
      <c r="C5447" s="201"/>
      <c r="D5447" s="201"/>
      <c r="E5447" s="202"/>
      <c r="F5447" s="210"/>
      <c r="G5447" s="210"/>
      <c r="H5447" s="206" t="s">
        <v>121</v>
      </c>
      <c r="I5447" s="206" t="s">
        <v>121</v>
      </c>
      <c r="J5447" s="206" t="s">
        <v>121</v>
      </c>
      <c r="K5447" s="206" t="s">
        <v>121</v>
      </c>
      <c r="L5447" s="206" t="str">
        <v/>
      </c>
      <c r="M5447" s="206" t="str">
        <v/>
      </c>
    </row>
    <row r="5448" spans="1:13" ht="14.4">
      <c r="A5448" s="201"/>
      <c r="B5448" s="209"/>
      <c r="C5448" s="201"/>
      <c r="D5448" s="201"/>
      <c r="E5448" s="202"/>
      <c r="F5448" s="210"/>
      <c r="G5448" s="210"/>
      <c r="H5448" s="206" t="s">
        <v>121</v>
      </c>
      <c r="I5448" s="206" t="s">
        <v>121</v>
      </c>
      <c r="J5448" s="206" t="s">
        <v>121</v>
      </c>
      <c r="K5448" s="206" t="s">
        <v>121</v>
      </c>
      <c r="L5448" s="206" t="str">
        <v/>
      </c>
      <c r="M5448" s="206" t="str">
        <v/>
      </c>
    </row>
    <row r="5449" spans="1:13" ht="14.4">
      <c r="A5449" s="201"/>
      <c r="B5449" s="209"/>
      <c r="C5449" s="201"/>
      <c r="D5449" s="201"/>
      <c r="E5449" s="202"/>
      <c r="F5449" s="210"/>
      <c r="G5449" s="210"/>
      <c r="H5449" s="206" t="s">
        <v>121</v>
      </c>
      <c r="I5449" s="206" t="s">
        <v>121</v>
      </c>
      <c r="J5449" s="206" t="s">
        <v>121</v>
      </c>
      <c r="K5449" s="206" t="s">
        <v>121</v>
      </c>
      <c r="L5449" s="206" t="str">
        <v/>
      </c>
      <c r="M5449" s="206" t="str">
        <v/>
      </c>
    </row>
    <row r="5450" spans="1:13" ht="14.4">
      <c r="A5450" s="201"/>
      <c r="B5450" s="209"/>
      <c r="C5450" s="201"/>
      <c r="D5450" s="201"/>
      <c r="E5450" s="202"/>
      <c r="F5450" s="210"/>
      <c r="G5450" s="210"/>
      <c r="H5450" s="206" t="s">
        <v>121</v>
      </c>
      <c r="I5450" s="206" t="s">
        <v>121</v>
      </c>
      <c r="J5450" s="206" t="s">
        <v>121</v>
      </c>
      <c r="K5450" s="206" t="s">
        <v>121</v>
      </c>
      <c r="L5450" s="206" t="str">
        <v/>
      </c>
      <c r="M5450" s="206" t="str">
        <v/>
      </c>
    </row>
    <row r="5451" spans="1:13" ht="14.4">
      <c r="A5451" s="201"/>
      <c r="B5451" s="209"/>
      <c r="C5451" s="201"/>
      <c r="D5451" s="201"/>
      <c r="E5451" s="202"/>
      <c r="F5451" s="210"/>
      <c r="G5451" s="210"/>
      <c r="H5451" s="206" t="s">
        <v>121</v>
      </c>
      <c r="I5451" s="206" t="s">
        <v>121</v>
      </c>
      <c r="J5451" s="206" t="s">
        <v>121</v>
      </c>
      <c r="K5451" s="206" t="s">
        <v>121</v>
      </c>
      <c r="L5451" s="206" t="str">
        <v/>
      </c>
      <c r="M5451" s="206" t="str">
        <v/>
      </c>
    </row>
    <row r="5452" spans="1:13" ht="14.4">
      <c r="A5452" s="201"/>
      <c r="B5452" s="209"/>
      <c r="C5452" s="201"/>
      <c r="D5452" s="201"/>
      <c r="E5452" s="202"/>
      <c r="F5452" s="210"/>
      <c r="G5452" s="210"/>
      <c r="H5452" s="206" t="s">
        <v>121</v>
      </c>
      <c r="I5452" s="206" t="s">
        <v>121</v>
      </c>
      <c r="J5452" s="206" t="s">
        <v>121</v>
      </c>
      <c r="K5452" s="206" t="s">
        <v>121</v>
      </c>
      <c r="L5452" s="206" t="str">
        <v/>
      </c>
      <c r="M5452" s="206" t="str">
        <v/>
      </c>
    </row>
    <row r="5453" spans="1:13" ht="14.4">
      <c r="A5453" s="201"/>
      <c r="B5453" s="209"/>
      <c r="C5453" s="201"/>
      <c r="D5453" s="201"/>
      <c r="E5453" s="202"/>
      <c r="F5453" s="210"/>
      <c r="G5453" s="210"/>
      <c r="H5453" s="206" t="s">
        <v>121</v>
      </c>
      <c r="I5453" s="206" t="s">
        <v>121</v>
      </c>
      <c r="J5453" s="206" t="s">
        <v>121</v>
      </c>
      <c r="K5453" s="206" t="s">
        <v>121</v>
      </c>
      <c r="L5453" s="206" t="str">
        <v/>
      </c>
      <c r="M5453" s="206" t="str">
        <v/>
      </c>
    </row>
    <row r="5454" spans="1:13" ht="14.4">
      <c r="A5454" s="201"/>
      <c r="B5454" s="209"/>
      <c r="C5454" s="201"/>
      <c r="D5454" s="201"/>
      <c r="E5454" s="202"/>
      <c r="F5454" s="210"/>
      <c r="G5454" s="210"/>
      <c r="H5454" s="206" t="s">
        <v>121</v>
      </c>
      <c r="I5454" s="206" t="s">
        <v>121</v>
      </c>
      <c r="J5454" s="206" t="s">
        <v>121</v>
      </c>
      <c r="K5454" s="206" t="s">
        <v>121</v>
      </c>
      <c r="L5454" s="206" t="str">
        <v/>
      </c>
      <c r="M5454" s="206" t="str">
        <v/>
      </c>
    </row>
    <row r="5455" spans="1:13" ht="14.4">
      <c r="A5455" s="201"/>
      <c r="B5455" s="209"/>
      <c r="C5455" s="201"/>
      <c r="D5455" s="201"/>
      <c r="E5455" s="202"/>
      <c r="F5455" s="210"/>
      <c r="G5455" s="210"/>
      <c r="H5455" s="206" t="s">
        <v>121</v>
      </c>
      <c r="I5455" s="206" t="s">
        <v>121</v>
      </c>
      <c r="J5455" s="206" t="s">
        <v>121</v>
      </c>
      <c r="K5455" s="206" t="s">
        <v>121</v>
      </c>
      <c r="L5455" s="206" t="str">
        <v/>
      </c>
      <c r="M5455" s="206" t="str">
        <v/>
      </c>
    </row>
    <row r="5456" spans="1:13" ht="14.4">
      <c r="A5456" s="201"/>
      <c r="B5456" s="209"/>
      <c r="C5456" s="201"/>
      <c r="D5456" s="201"/>
      <c r="E5456" s="202"/>
      <c r="F5456" s="210"/>
      <c r="G5456" s="210"/>
      <c r="H5456" s="206" t="s">
        <v>121</v>
      </c>
      <c r="I5456" s="206" t="s">
        <v>121</v>
      </c>
      <c r="J5456" s="206" t="s">
        <v>121</v>
      </c>
      <c r="K5456" s="206" t="s">
        <v>121</v>
      </c>
      <c r="L5456" s="206" t="str">
        <v/>
      </c>
      <c r="M5456" s="206" t="str">
        <v/>
      </c>
    </row>
    <row r="5457" spans="1:13" ht="14.4">
      <c r="A5457" s="201"/>
      <c r="B5457" s="209"/>
      <c r="C5457" s="201"/>
      <c r="D5457" s="201"/>
      <c r="E5457" s="202"/>
      <c r="F5457" s="210"/>
      <c r="G5457" s="210"/>
      <c r="H5457" s="206" t="s">
        <v>121</v>
      </c>
      <c r="I5457" s="206" t="s">
        <v>121</v>
      </c>
      <c r="J5457" s="206" t="s">
        <v>121</v>
      </c>
      <c r="K5457" s="206" t="s">
        <v>121</v>
      </c>
      <c r="L5457" s="206" t="str">
        <v/>
      </c>
      <c r="M5457" s="206" t="str">
        <v/>
      </c>
    </row>
    <row r="5458" spans="1:13" ht="14.4">
      <c r="A5458" s="201"/>
      <c r="B5458" s="209"/>
      <c r="C5458" s="201"/>
      <c r="D5458" s="201"/>
      <c r="E5458" s="202"/>
      <c r="F5458" s="210"/>
      <c r="G5458" s="210"/>
      <c r="H5458" s="206" t="s">
        <v>121</v>
      </c>
      <c r="I5458" s="206" t="s">
        <v>121</v>
      </c>
      <c r="J5458" s="206" t="s">
        <v>121</v>
      </c>
      <c r="K5458" s="206" t="s">
        <v>121</v>
      </c>
      <c r="L5458" s="206" t="str">
        <v/>
      </c>
      <c r="M5458" s="206" t="str">
        <v/>
      </c>
    </row>
    <row r="5459" spans="1:13" ht="14.4">
      <c r="A5459" s="201"/>
      <c r="B5459" s="209"/>
      <c r="C5459" s="201"/>
      <c r="D5459" s="201"/>
      <c r="E5459" s="202"/>
      <c r="F5459" s="210"/>
      <c r="G5459" s="210"/>
      <c r="H5459" s="206" t="s">
        <v>121</v>
      </c>
      <c r="I5459" s="206" t="s">
        <v>121</v>
      </c>
      <c r="J5459" s="206" t="s">
        <v>121</v>
      </c>
      <c r="K5459" s="206" t="s">
        <v>121</v>
      </c>
      <c r="L5459" s="206" t="str">
        <v/>
      </c>
      <c r="M5459" s="206" t="str">
        <v/>
      </c>
    </row>
    <row r="5460" spans="1:13" ht="14.4">
      <c r="A5460" s="201"/>
      <c r="B5460" s="209"/>
      <c r="C5460" s="201"/>
      <c r="D5460" s="201"/>
      <c r="E5460" s="202"/>
      <c r="F5460" s="210"/>
      <c r="G5460" s="210"/>
      <c r="H5460" s="206" t="s">
        <v>121</v>
      </c>
      <c r="I5460" s="206" t="s">
        <v>121</v>
      </c>
      <c r="J5460" s="206" t="s">
        <v>121</v>
      </c>
      <c r="K5460" s="206" t="s">
        <v>121</v>
      </c>
      <c r="L5460" s="206" t="str">
        <v/>
      </c>
      <c r="M5460" s="206" t="str">
        <v/>
      </c>
    </row>
    <row r="5461" spans="1:13" ht="14.4">
      <c r="A5461" s="201"/>
      <c r="B5461" s="209"/>
      <c r="C5461" s="201"/>
      <c r="D5461" s="201"/>
      <c r="E5461" s="202"/>
      <c r="F5461" s="210"/>
      <c r="G5461" s="210"/>
      <c r="H5461" s="206" t="s">
        <v>121</v>
      </c>
      <c r="I5461" s="206" t="s">
        <v>121</v>
      </c>
      <c r="J5461" s="206" t="s">
        <v>121</v>
      </c>
      <c r="K5461" s="206" t="s">
        <v>121</v>
      </c>
      <c r="L5461" s="206" t="str">
        <v/>
      </c>
      <c r="M5461" s="206" t="str">
        <v/>
      </c>
    </row>
    <row r="5462" spans="1:13" ht="14.4">
      <c r="A5462" s="201"/>
      <c r="B5462" s="209"/>
      <c r="C5462" s="201"/>
      <c r="D5462" s="201"/>
      <c r="E5462" s="202"/>
      <c r="F5462" s="210"/>
      <c r="G5462" s="210"/>
      <c r="H5462" s="206" t="s">
        <v>121</v>
      </c>
      <c r="I5462" s="206" t="s">
        <v>121</v>
      </c>
      <c r="J5462" s="206" t="s">
        <v>121</v>
      </c>
      <c r="K5462" s="206" t="s">
        <v>121</v>
      </c>
      <c r="L5462" s="206" t="str">
        <v/>
      </c>
      <c r="M5462" s="206" t="str">
        <v/>
      </c>
    </row>
    <row r="5463" spans="1:13" ht="14.4">
      <c r="A5463" s="201"/>
      <c r="B5463" s="209"/>
      <c r="C5463" s="201"/>
      <c r="D5463" s="201"/>
      <c r="E5463" s="202"/>
      <c r="F5463" s="210"/>
      <c r="G5463" s="210"/>
      <c r="H5463" s="206" t="s">
        <v>121</v>
      </c>
      <c r="I5463" s="206" t="s">
        <v>121</v>
      </c>
      <c r="J5463" s="206" t="s">
        <v>121</v>
      </c>
      <c r="K5463" s="206" t="s">
        <v>121</v>
      </c>
      <c r="L5463" s="206" t="str">
        <v/>
      </c>
      <c r="M5463" s="206" t="str">
        <v/>
      </c>
    </row>
    <row r="5464" spans="1:13" ht="14.4">
      <c r="A5464" s="201"/>
      <c r="B5464" s="209"/>
      <c r="C5464" s="201"/>
      <c r="D5464" s="201"/>
      <c r="E5464" s="202"/>
      <c r="F5464" s="210"/>
      <c r="G5464" s="210"/>
      <c r="H5464" s="206" t="s">
        <v>121</v>
      </c>
      <c r="I5464" s="206" t="s">
        <v>121</v>
      </c>
      <c r="J5464" s="206" t="s">
        <v>121</v>
      </c>
      <c r="K5464" s="206" t="s">
        <v>121</v>
      </c>
      <c r="L5464" s="206" t="str">
        <v/>
      </c>
      <c r="M5464" s="206" t="str">
        <v/>
      </c>
    </row>
    <row r="5465" spans="1:13" ht="14.4">
      <c r="A5465" s="201"/>
      <c r="B5465" s="209"/>
      <c r="C5465" s="201"/>
      <c r="D5465" s="201"/>
      <c r="E5465" s="202"/>
      <c r="F5465" s="210"/>
      <c r="G5465" s="210"/>
      <c r="H5465" s="206" t="s">
        <v>121</v>
      </c>
      <c r="I5465" s="206" t="s">
        <v>121</v>
      </c>
      <c r="J5465" s="206" t="s">
        <v>121</v>
      </c>
      <c r="K5465" s="206" t="s">
        <v>121</v>
      </c>
      <c r="L5465" s="206" t="str">
        <v/>
      </c>
      <c r="M5465" s="206" t="str">
        <v/>
      </c>
    </row>
    <row r="5466" spans="1:13" ht="14.4">
      <c r="A5466" s="201"/>
      <c r="B5466" s="209"/>
      <c r="C5466" s="201"/>
      <c r="D5466" s="201"/>
      <c r="E5466" s="202"/>
      <c r="F5466" s="210"/>
      <c r="G5466" s="210"/>
      <c r="H5466" s="206" t="s">
        <v>121</v>
      </c>
      <c r="I5466" s="206" t="s">
        <v>121</v>
      </c>
      <c r="J5466" s="206" t="s">
        <v>121</v>
      </c>
      <c r="K5466" s="206" t="s">
        <v>121</v>
      </c>
      <c r="L5466" s="206" t="str">
        <v/>
      </c>
      <c r="M5466" s="206" t="str">
        <v/>
      </c>
    </row>
    <row r="5467" spans="1:13" ht="14.4">
      <c r="A5467" s="201"/>
      <c r="B5467" s="209"/>
      <c r="C5467" s="201"/>
      <c r="D5467" s="201"/>
      <c r="E5467" s="202"/>
      <c r="F5467" s="210"/>
      <c r="G5467" s="210"/>
      <c r="H5467" s="206" t="s">
        <v>121</v>
      </c>
      <c r="I5467" s="206" t="s">
        <v>121</v>
      </c>
      <c r="J5467" s="206" t="s">
        <v>121</v>
      </c>
      <c r="K5467" s="206" t="s">
        <v>121</v>
      </c>
      <c r="L5467" s="206" t="str">
        <v/>
      </c>
      <c r="M5467" s="206" t="str">
        <v/>
      </c>
    </row>
    <row r="5468" spans="1:13" ht="14.4">
      <c r="A5468" s="201"/>
      <c r="B5468" s="209"/>
      <c r="C5468" s="201"/>
      <c r="D5468" s="201"/>
      <c r="E5468" s="202"/>
      <c r="F5468" s="210"/>
      <c r="G5468" s="210"/>
      <c r="H5468" s="206" t="s">
        <v>121</v>
      </c>
      <c r="I5468" s="206" t="s">
        <v>121</v>
      </c>
      <c r="J5468" s="206" t="s">
        <v>121</v>
      </c>
      <c r="K5468" s="206" t="s">
        <v>121</v>
      </c>
      <c r="L5468" s="206" t="str">
        <v/>
      </c>
      <c r="M5468" s="206" t="str">
        <v/>
      </c>
    </row>
    <row r="5469" spans="1:13" ht="14.4">
      <c r="A5469" s="201"/>
      <c r="B5469" s="209"/>
      <c r="C5469" s="201"/>
      <c r="D5469" s="201"/>
      <c r="E5469" s="202"/>
      <c r="F5469" s="210"/>
      <c r="G5469" s="210"/>
      <c r="H5469" s="206" t="s">
        <v>121</v>
      </c>
      <c r="I5469" s="206" t="s">
        <v>121</v>
      </c>
      <c r="J5469" s="206" t="s">
        <v>121</v>
      </c>
      <c r="K5469" s="206" t="s">
        <v>121</v>
      </c>
      <c r="L5469" s="206" t="str">
        <v/>
      </c>
      <c r="M5469" s="206" t="str">
        <v/>
      </c>
    </row>
    <row r="5470" spans="1:13" ht="14.4">
      <c r="A5470" s="201"/>
      <c r="B5470" s="209"/>
      <c r="C5470" s="201"/>
      <c r="D5470" s="201"/>
      <c r="E5470" s="202"/>
      <c r="F5470" s="210"/>
      <c r="G5470" s="210"/>
      <c r="H5470" s="206" t="s">
        <v>121</v>
      </c>
      <c r="I5470" s="206" t="s">
        <v>121</v>
      </c>
      <c r="J5470" s="206" t="s">
        <v>121</v>
      </c>
      <c r="K5470" s="206" t="s">
        <v>121</v>
      </c>
      <c r="L5470" s="206" t="str">
        <v/>
      </c>
      <c r="M5470" s="206" t="str">
        <v/>
      </c>
    </row>
    <row r="5471" spans="1:13" ht="14.4">
      <c r="A5471" s="201"/>
      <c r="B5471" s="209"/>
      <c r="C5471" s="201"/>
      <c r="D5471" s="201"/>
      <c r="E5471" s="202"/>
      <c r="F5471" s="210"/>
      <c r="G5471" s="210"/>
      <c r="H5471" s="206" t="s">
        <v>121</v>
      </c>
      <c r="I5471" s="206" t="s">
        <v>121</v>
      </c>
      <c r="J5471" s="206" t="s">
        <v>121</v>
      </c>
      <c r="K5471" s="206" t="s">
        <v>121</v>
      </c>
      <c r="L5471" s="206" t="str">
        <v/>
      </c>
      <c r="M5471" s="206" t="str">
        <v/>
      </c>
    </row>
    <row r="5472" spans="1:13" ht="14.4">
      <c r="A5472" s="201"/>
      <c r="B5472" s="209"/>
      <c r="C5472" s="201"/>
      <c r="D5472" s="201"/>
      <c r="E5472" s="202"/>
      <c r="F5472" s="210"/>
      <c r="G5472" s="210"/>
      <c r="H5472" s="206" t="s">
        <v>121</v>
      </c>
      <c r="I5472" s="206" t="s">
        <v>121</v>
      </c>
      <c r="J5472" s="206" t="s">
        <v>121</v>
      </c>
      <c r="K5472" s="206" t="s">
        <v>121</v>
      </c>
      <c r="L5472" s="206" t="str">
        <v/>
      </c>
      <c r="M5472" s="206" t="str">
        <v/>
      </c>
    </row>
    <row r="5473" spans="1:13" ht="14.4">
      <c r="A5473" s="201"/>
      <c r="B5473" s="209"/>
      <c r="C5473" s="201"/>
      <c r="D5473" s="201"/>
      <c r="E5473" s="202"/>
      <c r="F5473" s="210"/>
      <c r="G5473" s="210"/>
      <c r="H5473" s="206" t="s">
        <v>121</v>
      </c>
      <c r="I5473" s="206" t="s">
        <v>121</v>
      </c>
      <c r="J5473" s="206" t="s">
        <v>121</v>
      </c>
      <c r="K5473" s="206" t="s">
        <v>121</v>
      </c>
      <c r="L5473" s="206" t="str">
        <v/>
      </c>
      <c r="M5473" s="206" t="str">
        <v/>
      </c>
    </row>
    <row r="5474" spans="1:13" ht="14.4">
      <c r="A5474" s="201"/>
      <c r="B5474" s="209"/>
      <c r="C5474" s="201"/>
      <c r="D5474" s="201"/>
      <c r="E5474" s="202"/>
      <c r="F5474" s="210"/>
      <c r="G5474" s="210"/>
      <c r="H5474" s="206" t="s">
        <v>121</v>
      </c>
      <c r="I5474" s="206" t="s">
        <v>121</v>
      </c>
      <c r="J5474" s="206" t="s">
        <v>121</v>
      </c>
      <c r="K5474" s="206" t="s">
        <v>121</v>
      </c>
      <c r="L5474" s="206" t="str">
        <v/>
      </c>
      <c r="M5474" s="206" t="str">
        <v/>
      </c>
    </row>
    <row r="5475" spans="1:13" ht="14.4">
      <c r="A5475" s="201"/>
      <c r="B5475" s="209"/>
      <c r="C5475" s="201"/>
      <c r="D5475" s="201"/>
      <c r="E5475" s="202"/>
      <c r="F5475" s="210"/>
      <c r="G5475" s="210"/>
      <c r="H5475" s="206" t="s">
        <v>121</v>
      </c>
      <c r="I5475" s="206" t="s">
        <v>121</v>
      </c>
      <c r="J5475" s="206" t="s">
        <v>121</v>
      </c>
      <c r="K5475" s="206" t="s">
        <v>121</v>
      </c>
      <c r="L5475" s="206" t="str">
        <v/>
      </c>
      <c r="M5475" s="206" t="str">
        <v/>
      </c>
    </row>
    <row r="5476" spans="1:13" ht="14.4">
      <c r="A5476" s="201"/>
      <c r="B5476" s="209"/>
      <c r="C5476" s="201"/>
      <c r="D5476" s="201"/>
      <c r="E5476" s="202"/>
      <c r="F5476" s="210"/>
      <c r="G5476" s="210"/>
      <c r="H5476" s="206" t="s">
        <v>121</v>
      </c>
      <c r="I5476" s="206" t="s">
        <v>121</v>
      </c>
      <c r="J5476" s="206" t="s">
        <v>121</v>
      </c>
      <c r="K5476" s="206" t="s">
        <v>121</v>
      </c>
      <c r="L5476" s="206" t="str">
        <v/>
      </c>
      <c r="M5476" s="206" t="str">
        <v/>
      </c>
    </row>
    <row r="5477" spans="1:13" ht="14.4">
      <c r="A5477" s="201"/>
      <c r="B5477" s="209"/>
      <c r="C5477" s="201"/>
      <c r="D5477" s="201"/>
      <c r="E5477" s="202"/>
      <c r="F5477" s="210"/>
      <c r="G5477" s="210"/>
      <c r="H5477" s="206" t="s">
        <v>121</v>
      </c>
      <c r="I5477" s="206" t="s">
        <v>121</v>
      </c>
      <c r="J5477" s="206" t="s">
        <v>121</v>
      </c>
      <c r="K5477" s="206" t="s">
        <v>121</v>
      </c>
      <c r="L5477" s="206" t="str">
        <v/>
      </c>
      <c r="M5477" s="206" t="str">
        <v/>
      </c>
    </row>
    <row r="5478" spans="1:13" ht="14.4">
      <c r="A5478" s="201"/>
      <c r="B5478" s="209"/>
      <c r="C5478" s="201"/>
      <c r="D5478" s="201"/>
      <c r="E5478" s="202"/>
      <c r="F5478" s="210"/>
      <c r="G5478" s="210"/>
      <c r="H5478" s="206" t="s">
        <v>121</v>
      </c>
      <c r="I5478" s="206" t="s">
        <v>121</v>
      </c>
      <c r="J5478" s="206" t="s">
        <v>121</v>
      </c>
      <c r="K5478" s="206" t="s">
        <v>121</v>
      </c>
      <c r="L5478" s="206" t="str">
        <v/>
      </c>
      <c r="M5478" s="206" t="str">
        <v/>
      </c>
    </row>
    <row r="5479" spans="1:13" ht="14.4">
      <c r="A5479" s="201"/>
      <c r="B5479" s="209"/>
      <c r="C5479" s="201"/>
      <c r="D5479" s="201"/>
      <c r="E5479" s="202"/>
      <c r="F5479" s="210"/>
      <c r="G5479" s="210"/>
      <c r="H5479" s="206" t="s">
        <v>121</v>
      </c>
      <c r="I5479" s="206" t="s">
        <v>121</v>
      </c>
      <c r="J5479" s="206" t="s">
        <v>121</v>
      </c>
      <c r="K5479" s="206" t="s">
        <v>121</v>
      </c>
      <c r="L5479" s="206" t="str">
        <v/>
      </c>
      <c r="M5479" s="206" t="str">
        <v/>
      </c>
    </row>
    <row r="5480" spans="1:13" ht="14.4">
      <c r="A5480" s="201"/>
      <c r="B5480" s="209"/>
      <c r="C5480" s="201"/>
      <c r="D5480" s="201"/>
      <c r="E5480" s="202"/>
      <c r="F5480" s="210"/>
      <c r="G5480" s="210"/>
      <c r="H5480" s="206" t="s">
        <v>121</v>
      </c>
      <c r="I5480" s="206" t="s">
        <v>121</v>
      </c>
      <c r="J5480" s="206" t="s">
        <v>121</v>
      </c>
      <c r="K5480" s="206" t="s">
        <v>121</v>
      </c>
      <c r="L5480" s="206" t="str">
        <v/>
      </c>
      <c r="M5480" s="206" t="str">
        <v/>
      </c>
    </row>
    <row r="5481" spans="1:13" ht="14.4">
      <c r="A5481" s="201"/>
      <c r="B5481" s="209"/>
      <c r="C5481" s="201"/>
      <c r="D5481" s="201"/>
      <c r="E5481" s="202"/>
      <c r="F5481" s="210"/>
      <c r="G5481" s="210"/>
      <c r="H5481" s="206" t="s">
        <v>121</v>
      </c>
      <c r="I5481" s="206" t="s">
        <v>121</v>
      </c>
      <c r="J5481" s="206" t="s">
        <v>121</v>
      </c>
      <c r="K5481" s="206" t="s">
        <v>121</v>
      </c>
      <c r="L5481" s="206" t="str">
        <v/>
      </c>
      <c r="M5481" s="206" t="str">
        <v/>
      </c>
    </row>
    <row r="5482" spans="1:13" ht="14.4">
      <c r="A5482" s="201"/>
      <c r="B5482" s="209"/>
      <c r="C5482" s="201"/>
      <c r="D5482" s="201"/>
      <c r="E5482" s="202"/>
      <c r="F5482" s="210"/>
      <c r="G5482" s="210"/>
      <c r="H5482" s="206" t="s">
        <v>121</v>
      </c>
      <c r="I5482" s="206" t="s">
        <v>121</v>
      </c>
      <c r="J5482" s="206" t="s">
        <v>121</v>
      </c>
      <c r="K5482" s="206" t="s">
        <v>121</v>
      </c>
      <c r="L5482" s="206" t="str">
        <v/>
      </c>
      <c r="M5482" s="206" t="str">
        <v/>
      </c>
    </row>
    <row r="5483" spans="1:13" ht="14.4">
      <c r="A5483" s="201"/>
      <c r="B5483" s="209"/>
      <c r="C5483" s="201"/>
      <c r="D5483" s="201"/>
      <c r="E5483" s="202"/>
      <c r="F5483" s="210"/>
      <c r="G5483" s="210"/>
      <c r="H5483" s="206" t="s">
        <v>121</v>
      </c>
      <c r="I5483" s="206" t="s">
        <v>121</v>
      </c>
      <c r="J5483" s="206" t="s">
        <v>121</v>
      </c>
      <c r="K5483" s="206" t="s">
        <v>121</v>
      </c>
      <c r="L5483" s="206" t="str">
        <v/>
      </c>
      <c r="M5483" s="206" t="str">
        <v/>
      </c>
    </row>
    <row r="5484" spans="1:13" ht="14.4">
      <c r="A5484" s="201"/>
      <c r="B5484" s="209"/>
      <c r="C5484" s="201"/>
      <c r="D5484" s="201"/>
      <c r="E5484" s="202"/>
      <c r="F5484" s="210"/>
      <c r="G5484" s="210"/>
      <c r="H5484" s="206" t="s">
        <v>121</v>
      </c>
      <c r="I5484" s="206" t="s">
        <v>121</v>
      </c>
      <c r="J5484" s="206" t="s">
        <v>121</v>
      </c>
      <c r="K5484" s="206" t="s">
        <v>121</v>
      </c>
      <c r="L5484" s="206" t="str">
        <v/>
      </c>
      <c r="M5484" s="206" t="str">
        <v/>
      </c>
    </row>
    <row r="5485" spans="1:13" ht="14.4">
      <c r="A5485" s="201"/>
      <c r="B5485" s="209"/>
      <c r="C5485" s="201"/>
      <c r="D5485" s="201"/>
      <c r="E5485" s="202"/>
      <c r="F5485" s="210"/>
      <c r="G5485" s="210"/>
      <c r="H5485" s="206" t="s">
        <v>121</v>
      </c>
      <c r="I5485" s="206" t="s">
        <v>121</v>
      </c>
      <c r="J5485" s="206" t="s">
        <v>121</v>
      </c>
      <c r="K5485" s="206" t="s">
        <v>121</v>
      </c>
      <c r="L5485" s="206" t="str">
        <v/>
      </c>
      <c r="M5485" s="206" t="str">
        <v/>
      </c>
    </row>
    <row r="5486" spans="1:13" ht="14.4">
      <c r="A5486" s="201"/>
      <c r="B5486" s="209"/>
      <c r="C5486" s="201"/>
      <c r="D5486" s="201"/>
      <c r="E5486" s="202"/>
      <c r="F5486" s="210"/>
      <c r="G5486" s="210"/>
      <c r="H5486" s="206" t="s">
        <v>121</v>
      </c>
      <c r="I5486" s="206" t="s">
        <v>121</v>
      </c>
      <c r="J5486" s="206" t="s">
        <v>121</v>
      </c>
      <c r="K5486" s="206" t="s">
        <v>121</v>
      </c>
      <c r="L5486" s="206" t="str">
        <v/>
      </c>
      <c r="M5486" s="206" t="str">
        <v/>
      </c>
    </row>
    <row r="5487" spans="1:13" ht="14.4">
      <c r="A5487" s="201"/>
      <c r="B5487" s="209"/>
      <c r="C5487" s="201"/>
      <c r="D5487" s="201"/>
      <c r="E5487" s="202"/>
      <c r="F5487" s="210"/>
      <c r="G5487" s="210"/>
      <c r="H5487" s="206" t="s">
        <v>121</v>
      </c>
      <c r="I5487" s="206" t="s">
        <v>121</v>
      </c>
      <c r="J5487" s="206" t="s">
        <v>121</v>
      </c>
      <c r="K5487" s="206" t="s">
        <v>121</v>
      </c>
      <c r="L5487" s="206" t="str">
        <v/>
      </c>
      <c r="M5487" s="206" t="str">
        <v/>
      </c>
    </row>
    <row r="5488" spans="1:13" ht="14.4">
      <c r="A5488" s="201"/>
      <c r="B5488" s="209"/>
      <c r="C5488" s="201"/>
      <c r="D5488" s="201"/>
      <c r="E5488" s="202"/>
      <c r="F5488" s="210"/>
      <c r="G5488" s="210"/>
      <c r="H5488" s="206" t="s">
        <v>121</v>
      </c>
      <c r="I5488" s="206" t="s">
        <v>121</v>
      </c>
      <c r="J5488" s="206" t="s">
        <v>121</v>
      </c>
      <c r="K5488" s="206" t="s">
        <v>121</v>
      </c>
      <c r="L5488" s="206" t="str">
        <v/>
      </c>
      <c r="M5488" s="206" t="str">
        <v/>
      </c>
    </row>
    <row r="5489" spans="1:13" ht="14.4">
      <c r="A5489" s="201"/>
      <c r="B5489" s="209"/>
      <c r="C5489" s="201"/>
      <c r="D5489" s="201"/>
      <c r="E5489" s="202"/>
      <c r="F5489" s="210"/>
      <c r="G5489" s="210"/>
      <c r="H5489" s="206" t="s">
        <v>121</v>
      </c>
      <c r="I5489" s="206" t="s">
        <v>121</v>
      </c>
      <c r="J5489" s="206" t="s">
        <v>121</v>
      </c>
      <c r="K5489" s="206" t="s">
        <v>121</v>
      </c>
      <c r="L5489" s="206" t="str">
        <v/>
      </c>
      <c r="M5489" s="206" t="str">
        <v/>
      </c>
    </row>
    <row r="5490" spans="1:13" ht="14.4">
      <c r="A5490" s="201"/>
      <c r="B5490" s="209"/>
      <c r="C5490" s="201"/>
      <c r="D5490" s="201"/>
      <c r="E5490" s="202"/>
      <c r="F5490" s="210"/>
      <c r="G5490" s="210"/>
      <c r="H5490" s="206" t="s">
        <v>121</v>
      </c>
      <c r="I5490" s="206" t="s">
        <v>121</v>
      </c>
      <c r="J5490" s="206" t="s">
        <v>121</v>
      </c>
      <c r="K5490" s="206" t="s">
        <v>121</v>
      </c>
      <c r="L5490" s="206" t="str">
        <v/>
      </c>
      <c r="M5490" s="206" t="str">
        <v/>
      </c>
    </row>
    <row r="5491" spans="1:13" ht="14.4">
      <c r="A5491" s="201"/>
      <c r="B5491" s="209"/>
      <c r="C5491" s="201"/>
      <c r="D5491" s="201"/>
      <c r="E5491" s="202"/>
      <c r="F5491" s="210"/>
      <c r="G5491" s="210"/>
      <c r="H5491" s="206" t="s">
        <v>121</v>
      </c>
      <c r="I5491" s="206" t="s">
        <v>121</v>
      </c>
      <c r="J5491" s="206" t="s">
        <v>121</v>
      </c>
      <c r="K5491" s="206" t="s">
        <v>121</v>
      </c>
      <c r="L5491" s="206" t="str">
        <v/>
      </c>
      <c r="M5491" s="206" t="str">
        <v/>
      </c>
    </row>
    <row r="5492" spans="1:13" ht="14.4">
      <c r="A5492" s="201"/>
      <c r="B5492" s="209"/>
      <c r="C5492" s="201"/>
      <c r="D5492" s="201"/>
      <c r="E5492" s="202"/>
      <c r="F5492" s="210"/>
      <c r="G5492" s="210"/>
      <c r="H5492" s="206" t="s">
        <v>121</v>
      </c>
      <c r="I5492" s="206" t="s">
        <v>121</v>
      </c>
      <c r="J5492" s="206" t="s">
        <v>121</v>
      </c>
      <c r="K5492" s="206" t="s">
        <v>121</v>
      </c>
      <c r="L5492" s="206" t="str">
        <v/>
      </c>
      <c r="M5492" s="206" t="str">
        <v/>
      </c>
    </row>
    <row r="5493" spans="1:13" ht="14.4">
      <c r="A5493" s="201"/>
      <c r="B5493" s="209"/>
      <c r="C5493" s="201"/>
      <c r="D5493" s="201"/>
      <c r="E5493" s="202"/>
      <c r="F5493" s="210"/>
      <c r="G5493" s="210"/>
      <c r="H5493" s="206" t="s">
        <v>121</v>
      </c>
      <c r="I5493" s="206" t="s">
        <v>121</v>
      </c>
      <c r="J5493" s="206" t="s">
        <v>121</v>
      </c>
      <c r="K5493" s="206" t="s">
        <v>121</v>
      </c>
      <c r="L5493" s="206" t="str">
        <v/>
      </c>
      <c r="M5493" s="206" t="str">
        <v/>
      </c>
    </row>
    <row r="5494" spans="1:13" ht="14.4">
      <c r="A5494" s="201"/>
      <c r="B5494" s="209"/>
      <c r="C5494" s="201"/>
      <c r="D5494" s="201"/>
      <c r="E5494" s="202"/>
      <c r="F5494" s="210"/>
      <c r="G5494" s="210"/>
      <c r="H5494" s="206" t="s">
        <v>121</v>
      </c>
      <c r="I5494" s="206" t="s">
        <v>121</v>
      </c>
      <c r="J5494" s="206" t="s">
        <v>121</v>
      </c>
      <c r="K5494" s="206" t="s">
        <v>121</v>
      </c>
      <c r="L5494" s="206" t="str">
        <v/>
      </c>
      <c r="M5494" s="206" t="str">
        <v/>
      </c>
    </row>
    <row r="5495" spans="1:13" ht="14.4">
      <c r="A5495" s="201"/>
      <c r="B5495" s="209"/>
      <c r="C5495" s="201"/>
      <c r="D5495" s="201"/>
      <c r="E5495" s="202"/>
      <c r="F5495" s="210"/>
      <c r="G5495" s="210"/>
      <c r="H5495" s="206" t="s">
        <v>121</v>
      </c>
      <c r="I5495" s="206" t="s">
        <v>121</v>
      </c>
      <c r="J5495" s="206" t="s">
        <v>121</v>
      </c>
      <c r="K5495" s="206" t="s">
        <v>121</v>
      </c>
      <c r="L5495" s="206" t="str">
        <v/>
      </c>
      <c r="M5495" s="206" t="str">
        <v/>
      </c>
    </row>
    <row r="5496" spans="1:13" ht="14.4">
      <c r="A5496" s="201"/>
      <c r="B5496" s="209"/>
      <c r="C5496" s="201"/>
      <c r="D5496" s="201"/>
      <c r="E5496" s="202"/>
      <c r="F5496" s="210"/>
      <c r="G5496" s="210"/>
      <c r="H5496" s="206" t="s">
        <v>121</v>
      </c>
      <c r="I5496" s="206" t="s">
        <v>121</v>
      </c>
      <c r="J5496" s="206" t="s">
        <v>121</v>
      </c>
      <c r="K5496" s="206" t="s">
        <v>121</v>
      </c>
      <c r="L5496" s="206" t="str">
        <v/>
      </c>
      <c r="M5496" s="206" t="str">
        <v/>
      </c>
    </row>
    <row r="5497" spans="1:13" ht="14.4">
      <c r="A5497" s="201"/>
      <c r="B5497" s="209"/>
      <c r="C5497" s="201"/>
      <c r="D5497" s="201"/>
      <c r="E5497" s="202"/>
      <c r="F5497" s="210"/>
      <c r="G5497" s="210"/>
      <c r="H5497" s="206" t="s">
        <v>121</v>
      </c>
      <c r="I5497" s="206" t="s">
        <v>121</v>
      </c>
      <c r="J5497" s="206" t="s">
        <v>121</v>
      </c>
      <c r="K5497" s="206" t="s">
        <v>121</v>
      </c>
      <c r="L5497" s="206" t="str">
        <v/>
      </c>
      <c r="M5497" s="206" t="str">
        <v/>
      </c>
    </row>
    <row r="5498" spans="1:13" ht="14.4">
      <c r="A5498" s="201"/>
      <c r="B5498" s="209"/>
      <c r="C5498" s="201"/>
      <c r="D5498" s="201"/>
      <c r="E5498" s="202"/>
      <c r="F5498" s="210"/>
      <c r="G5498" s="210"/>
      <c r="H5498" s="206" t="s">
        <v>121</v>
      </c>
      <c r="I5498" s="206" t="s">
        <v>121</v>
      </c>
      <c r="J5498" s="206" t="s">
        <v>121</v>
      </c>
      <c r="K5498" s="206" t="s">
        <v>121</v>
      </c>
      <c r="L5498" s="206" t="str">
        <v/>
      </c>
      <c r="M5498" s="206" t="str">
        <v/>
      </c>
    </row>
    <row r="5499" spans="1:13" ht="14.4">
      <c r="A5499" s="201"/>
      <c r="B5499" s="209"/>
      <c r="C5499" s="201"/>
      <c r="D5499" s="201"/>
      <c r="E5499" s="202"/>
      <c r="F5499" s="210"/>
      <c r="G5499" s="210"/>
      <c r="H5499" s="206" t="s">
        <v>121</v>
      </c>
      <c r="I5499" s="206" t="s">
        <v>121</v>
      </c>
      <c r="J5499" s="206" t="s">
        <v>121</v>
      </c>
      <c r="K5499" s="206" t="s">
        <v>121</v>
      </c>
      <c r="L5499" s="206" t="str">
        <v/>
      </c>
      <c r="M5499" s="206" t="str">
        <v/>
      </c>
    </row>
    <row r="5500" spans="1:13" ht="14.4">
      <c r="A5500" s="201"/>
      <c r="B5500" s="209"/>
      <c r="C5500" s="201"/>
      <c r="D5500" s="201"/>
      <c r="E5500" s="202"/>
      <c r="F5500" s="210"/>
      <c r="G5500" s="210"/>
      <c r="H5500" s="206" t="s">
        <v>121</v>
      </c>
      <c r="I5500" s="206" t="s">
        <v>121</v>
      </c>
      <c r="J5500" s="206" t="s">
        <v>121</v>
      </c>
      <c r="K5500" s="206" t="s">
        <v>121</v>
      </c>
      <c r="L5500" s="206" t="str">
        <v/>
      </c>
      <c r="M5500" s="206" t="str">
        <v/>
      </c>
    </row>
    <row r="5501" spans="1:13" ht="14.4">
      <c r="A5501" s="201"/>
      <c r="B5501" s="209"/>
      <c r="C5501" s="201"/>
      <c r="D5501" s="201"/>
      <c r="E5501" s="202"/>
      <c r="F5501" s="210"/>
      <c r="G5501" s="210"/>
      <c r="H5501" s="206" t="s">
        <v>121</v>
      </c>
      <c r="I5501" s="206" t="s">
        <v>121</v>
      </c>
      <c r="J5501" s="206" t="s">
        <v>121</v>
      </c>
      <c r="K5501" s="206" t="s">
        <v>121</v>
      </c>
      <c r="L5501" s="206" t="str">
        <v/>
      </c>
      <c r="M5501" s="206" t="str">
        <v/>
      </c>
    </row>
    <row r="5502" spans="1:13" ht="14.4">
      <c r="A5502" s="201"/>
      <c r="B5502" s="209"/>
      <c r="C5502" s="201"/>
      <c r="D5502" s="201"/>
      <c r="E5502" s="202"/>
      <c r="F5502" s="210"/>
      <c r="G5502" s="210"/>
      <c r="H5502" s="206" t="s">
        <v>121</v>
      </c>
      <c r="I5502" s="206" t="s">
        <v>121</v>
      </c>
      <c r="J5502" s="206" t="s">
        <v>121</v>
      </c>
      <c r="K5502" s="206" t="s">
        <v>121</v>
      </c>
      <c r="L5502" s="206" t="str">
        <v/>
      </c>
      <c r="M5502" s="206" t="str">
        <v/>
      </c>
    </row>
    <row r="5503" spans="1:13" ht="14.4">
      <c r="A5503" s="201"/>
      <c r="B5503" s="209"/>
      <c r="C5503" s="201"/>
      <c r="D5503" s="201"/>
      <c r="E5503" s="202"/>
      <c r="F5503" s="210"/>
      <c r="G5503" s="210"/>
      <c r="H5503" s="206" t="s">
        <v>121</v>
      </c>
      <c r="I5503" s="206" t="s">
        <v>121</v>
      </c>
      <c r="J5503" s="206" t="s">
        <v>121</v>
      </c>
      <c r="K5503" s="206" t="s">
        <v>121</v>
      </c>
      <c r="L5503" s="206" t="str">
        <v/>
      </c>
      <c r="M5503" s="206" t="str">
        <v/>
      </c>
    </row>
    <row r="5504" spans="1:13" ht="14.4">
      <c r="A5504" s="201"/>
      <c r="B5504" s="209"/>
      <c r="C5504" s="201"/>
      <c r="D5504" s="201"/>
      <c r="E5504" s="202"/>
      <c r="F5504" s="210"/>
      <c r="G5504" s="210"/>
      <c r="H5504" s="206" t="s">
        <v>121</v>
      </c>
      <c r="I5504" s="206" t="s">
        <v>121</v>
      </c>
      <c r="J5504" s="206" t="s">
        <v>121</v>
      </c>
      <c r="K5504" s="206" t="s">
        <v>121</v>
      </c>
      <c r="L5504" s="206" t="str">
        <v/>
      </c>
      <c r="M5504" s="206" t="str">
        <v/>
      </c>
    </row>
    <row r="5505" spans="1:13" ht="14.4">
      <c r="A5505" s="201"/>
      <c r="B5505" s="209"/>
      <c r="C5505" s="201"/>
      <c r="D5505" s="201"/>
      <c r="E5505" s="202"/>
      <c r="F5505" s="210"/>
      <c r="G5505" s="210"/>
      <c r="H5505" s="206" t="s">
        <v>121</v>
      </c>
      <c r="I5505" s="206" t="s">
        <v>121</v>
      </c>
      <c r="J5505" s="206" t="s">
        <v>121</v>
      </c>
      <c r="K5505" s="206" t="s">
        <v>121</v>
      </c>
      <c r="L5505" s="206" t="str">
        <v/>
      </c>
      <c r="M5505" s="206" t="str">
        <v/>
      </c>
    </row>
    <row r="5506" spans="1:13" ht="14.4">
      <c r="A5506" s="201"/>
      <c r="B5506" s="209"/>
      <c r="C5506" s="201"/>
      <c r="D5506" s="201"/>
      <c r="E5506" s="202"/>
      <c r="F5506" s="210"/>
      <c r="G5506" s="210"/>
      <c r="H5506" s="206" t="s">
        <v>121</v>
      </c>
      <c r="I5506" s="206" t="s">
        <v>121</v>
      </c>
      <c r="J5506" s="206" t="s">
        <v>121</v>
      </c>
      <c r="K5506" s="206" t="s">
        <v>121</v>
      </c>
      <c r="L5506" s="206" t="str">
        <v/>
      </c>
      <c r="M5506" s="206" t="str">
        <v/>
      </c>
    </row>
    <row r="5507" spans="1:13" ht="14.4">
      <c r="A5507" s="201"/>
      <c r="B5507" s="209"/>
      <c r="C5507" s="201"/>
      <c r="D5507" s="201"/>
      <c r="E5507" s="202"/>
      <c r="F5507" s="210"/>
      <c r="G5507" s="210"/>
      <c r="H5507" s="206" t="s">
        <v>121</v>
      </c>
      <c r="I5507" s="206" t="s">
        <v>121</v>
      </c>
      <c r="J5507" s="206" t="s">
        <v>121</v>
      </c>
      <c r="K5507" s="206" t="s">
        <v>121</v>
      </c>
      <c r="L5507" s="206" t="str">
        <v/>
      </c>
      <c r="M5507" s="206" t="str">
        <v/>
      </c>
    </row>
    <row r="5508" spans="1:13" ht="14.4">
      <c r="A5508" s="201"/>
      <c r="B5508" s="209"/>
      <c r="C5508" s="201"/>
      <c r="D5508" s="201"/>
      <c r="E5508" s="202"/>
      <c r="F5508" s="210"/>
      <c r="G5508" s="210"/>
      <c r="H5508" s="206" t="s">
        <v>121</v>
      </c>
      <c r="I5508" s="206" t="s">
        <v>121</v>
      </c>
      <c r="J5508" s="206" t="s">
        <v>121</v>
      </c>
      <c r="K5508" s="206" t="s">
        <v>121</v>
      </c>
      <c r="L5508" s="206" t="str">
        <v/>
      </c>
      <c r="M5508" s="206" t="str">
        <v/>
      </c>
    </row>
    <row r="5509" spans="1:13" ht="14.4">
      <c r="A5509" s="201"/>
      <c r="B5509" s="209"/>
      <c r="C5509" s="201"/>
      <c r="D5509" s="201"/>
      <c r="E5509" s="202"/>
      <c r="F5509" s="210"/>
      <c r="G5509" s="210"/>
      <c r="H5509" s="206" t="s">
        <v>121</v>
      </c>
      <c r="I5509" s="206" t="s">
        <v>121</v>
      </c>
      <c r="J5509" s="206" t="s">
        <v>121</v>
      </c>
      <c r="K5509" s="206" t="s">
        <v>121</v>
      </c>
      <c r="L5509" s="206" t="str">
        <v/>
      </c>
      <c r="M5509" s="206" t="str">
        <v/>
      </c>
    </row>
    <row r="5510" spans="1:13" ht="14.4">
      <c r="A5510" s="201"/>
      <c r="B5510" s="209"/>
      <c r="C5510" s="201"/>
      <c r="D5510" s="201"/>
      <c r="E5510" s="202"/>
      <c r="F5510" s="210"/>
      <c r="G5510" s="210"/>
      <c r="H5510" s="206" t="s">
        <v>121</v>
      </c>
      <c r="I5510" s="206" t="s">
        <v>121</v>
      </c>
      <c r="J5510" s="206" t="s">
        <v>121</v>
      </c>
      <c r="K5510" s="206" t="s">
        <v>121</v>
      </c>
      <c r="L5510" s="206" t="str">
        <v/>
      </c>
      <c r="M5510" s="206" t="str">
        <v/>
      </c>
    </row>
    <row r="5511" spans="1:13" ht="14.4">
      <c r="A5511" s="201"/>
      <c r="B5511" s="209"/>
      <c r="C5511" s="201"/>
      <c r="D5511" s="201"/>
      <c r="E5511" s="202"/>
      <c r="F5511" s="210"/>
      <c r="G5511" s="210"/>
      <c r="H5511" s="206" t="s">
        <v>121</v>
      </c>
      <c r="I5511" s="206" t="s">
        <v>121</v>
      </c>
      <c r="J5511" s="206" t="s">
        <v>121</v>
      </c>
      <c r="K5511" s="206" t="s">
        <v>121</v>
      </c>
      <c r="L5511" s="206" t="str">
        <v/>
      </c>
      <c r="M5511" s="206" t="str">
        <v/>
      </c>
    </row>
    <row r="5512" spans="1:13" ht="14.4">
      <c r="A5512" s="201"/>
      <c r="B5512" s="209"/>
      <c r="C5512" s="201"/>
      <c r="D5512" s="201"/>
      <c r="E5512" s="202"/>
      <c r="F5512" s="210"/>
      <c r="G5512" s="210"/>
      <c r="H5512" s="206" t="s">
        <v>121</v>
      </c>
      <c r="I5512" s="206" t="s">
        <v>121</v>
      </c>
      <c r="J5512" s="206" t="s">
        <v>121</v>
      </c>
      <c r="K5512" s="206" t="s">
        <v>121</v>
      </c>
      <c r="L5512" s="206" t="str">
        <v/>
      </c>
      <c r="M5512" s="206" t="str">
        <v/>
      </c>
    </row>
    <row r="5513" spans="1:13" ht="14.4">
      <c r="A5513" s="201"/>
      <c r="B5513" s="209"/>
      <c r="C5513" s="201"/>
      <c r="D5513" s="201"/>
      <c r="E5513" s="202"/>
      <c r="F5513" s="210"/>
      <c r="G5513" s="210"/>
      <c r="H5513" s="206" t="s">
        <v>121</v>
      </c>
      <c r="I5513" s="206" t="s">
        <v>121</v>
      </c>
      <c r="J5513" s="206" t="s">
        <v>121</v>
      </c>
      <c r="K5513" s="206" t="s">
        <v>121</v>
      </c>
      <c r="L5513" s="206" t="str">
        <v/>
      </c>
      <c r="M5513" s="206" t="str">
        <v/>
      </c>
    </row>
    <row r="5514" spans="1:13" ht="14.4">
      <c r="A5514" s="201"/>
      <c r="B5514" s="209"/>
      <c r="C5514" s="201"/>
      <c r="D5514" s="201"/>
      <c r="E5514" s="202"/>
      <c r="F5514" s="210"/>
      <c r="G5514" s="210"/>
      <c r="H5514" s="206" t="s">
        <v>121</v>
      </c>
      <c r="I5514" s="206" t="s">
        <v>121</v>
      </c>
      <c r="J5514" s="206" t="s">
        <v>121</v>
      </c>
      <c r="K5514" s="206" t="s">
        <v>121</v>
      </c>
      <c r="L5514" s="206" t="str">
        <v/>
      </c>
      <c r="M5514" s="206" t="str">
        <v/>
      </c>
    </row>
    <row r="5515" spans="1:13" ht="14.4">
      <c r="A5515" s="201"/>
      <c r="B5515" s="209"/>
      <c r="C5515" s="201"/>
      <c r="D5515" s="201"/>
      <c r="E5515" s="202"/>
      <c r="F5515" s="210"/>
      <c r="G5515" s="210"/>
      <c r="H5515" s="206" t="s">
        <v>121</v>
      </c>
      <c r="I5515" s="206" t="s">
        <v>121</v>
      </c>
      <c r="J5515" s="206" t="s">
        <v>121</v>
      </c>
      <c r="K5515" s="206" t="s">
        <v>121</v>
      </c>
      <c r="L5515" s="206" t="str">
        <v/>
      </c>
      <c r="M5515" s="206" t="str">
        <v/>
      </c>
    </row>
    <row r="5516" spans="1:13" ht="14.4">
      <c r="A5516" s="201"/>
      <c r="B5516" s="209"/>
      <c r="C5516" s="201"/>
      <c r="D5516" s="201"/>
      <c r="E5516" s="202"/>
      <c r="F5516" s="210"/>
      <c r="G5516" s="210"/>
      <c r="H5516" s="206" t="s">
        <v>121</v>
      </c>
      <c r="I5516" s="206" t="s">
        <v>121</v>
      </c>
      <c r="J5516" s="206" t="s">
        <v>121</v>
      </c>
      <c r="K5516" s="206" t="s">
        <v>121</v>
      </c>
      <c r="L5516" s="206" t="str">
        <v/>
      </c>
      <c r="M5516" s="206" t="str">
        <v/>
      </c>
    </row>
    <row r="5517" spans="1:13" ht="14.4">
      <c r="A5517" s="201"/>
      <c r="B5517" s="209"/>
      <c r="C5517" s="201"/>
      <c r="D5517" s="201"/>
      <c r="E5517" s="202"/>
      <c r="F5517" s="210"/>
      <c r="G5517" s="210"/>
      <c r="H5517" s="206" t="s">
        <v>121</v>
      </c>
      <c r="I5517" s="206" t="s">
        <v>121</v>
      </c>
      <c r="J5517" s="206" t="s">
        <v>121</v>
      </c>
      <c r="K5517" s="206" t="s">
        <v>121</v>
      </c>
      <c r="L5517" s="206" t="str">
        <v/>
      </c>
      <c r="M5517" s="206" t="str">
        <v/>
      </c>
    </row>
    <row r="5518" spans="1:13" ht="14.4">
      <c r="A5518" s="201"/>
      <c r="B5518" s="209"/>
      <c r="C5518" s="201"/>
      <c r="D5518" s="201"/>
      <c r="E5518" s="202"/>
      <c r="F5518" s="210"/>
      <c r="G5518" s="210"/>
      <c r="H5518" s="206" t="s">
        <v>121</v>
      </c>
      <c r="I5518" s="206" t="s">
        <v>121</v>
      </c>
      <c r="J5518" s="206" t="s">
        <v>121</v>
      </c>
      <c r="K5518" s="206" t="s">
        <v>121</v>
      </c>
      <c r="L5518" s="206" t="str">
        <v/>
      </c>
      <c r="M5518" s="206" t="str">
        <v/>
      </c>
    </row>
    <row r="5519" spans="1:13" ht="14.4">
      <c r="A5519" s="201"/>
      <c r="B5519" s="209"/>
      <c r="C5519" s="201"/>
      <c r="D5519" s="201"/>
      <c r="E5519" s="202"/>
      <c r="F5519" s="210"/>
      <c r="G5519" s="210"/>
      <c r="H5519" s="206" t="s">
        <v>121</v>
      </c>
      <c r="I5519" s="206" t="s">
        <v>121</v>
      </c>
      <c r="J5519" s="206" t="s">
        <v>121</v>
      </c>
      <c r="K5519" s="206" t="s">
        <v>121</v>
      </c>
      <c r="L5519" s="206" t="str">
        <v/>
      </c>
      <c r="M5519" s="206" t="str">
        <v/>
      </c>
    </row>
    <row r="5520" spans="1:13" ht="14.4">
      <c r="A5520" s="201"/>
      <c r="B5520" s="209"/>
      <c r="C5520" s="201"/>
      <c r="D5520" s="201"/>
      <c r="E5520" s="202"/>
      <c r="F5520" s="210"/>
      <c r="G5520" s="210"/>
      <c r="H5520" s="206" t="s">
        <v>121</v>
      </c>
      <c r="I5520" s="206" t="s">
        <v>121</v>
      </c>
      <c r="J5520" s="206" t="s">
        <v>121</v>
      </c>
      <c r="K5520" s="206" t="s">
        <v>121</v>
      </c>
      <c r="L5520" s="206" t="str">
        <v/>
      </c>
      <c r="M5520" s="206" t="str">
        <v/>
      </c>
    </row>
    <row r="5521" spans="1:13" ht="14.4">
      <c r="A5521" s="201"/>
      <c r="B5521" s="209"/>
      <c r="C5521" s="201"/>
      <c r="D5521" s="201"/>
      <c r="E5521" s="202"/>
      <c r="F5521" s="210"/>
      <c r="G5521" s="210"/>
      <c r="H5521" s="206" t="s">
        <v>121</v>
      </c>
      <c r="I5521" s="206" t="s">
        <v>121</v>
      </c>
      <c r="J5521" s="206" t="s">
        <v>121</v>
      </c>
      <c r="K5521" s="206" t="s">
        <v>121</v>
      </c>
      <c r="L5521" s="206" t="str">
        <v/>
      </c>
      <c r="M5521" s="206" t="str">
        <v/>
      </c>
    </row>
    <row r="5522" spans="1:13" ht="14.4">
      <c r="A5522" s="201"/>
      <c r="B5522" s="209"/>
      <c r="C5522" s="201"/>
      <c r="D5522" s="201"/>
      <c r="E5522" s="202"/>
      <c r="F5522" s="210"/>
      <c r="G5522" s="210"/>
      <c r="H5522" s="206" t="s">
        <v>121</v>
      </c>
      <c r="I5522" s="206" t="s">
        <v>121</v>
      </c>
      <c r="J5522" s="206" t="s">
        <v>121</v>
      </c>
      <c r="K5522" s="206" t="s">
        <v>121</v>
      </c>
      <c r="L5522" s="206" t="str">
        <v/>
      </c>
      <c r="M5522" s="206" t="str">
        <v/>
      </c>
    </row>
    <row r="5523" spans="1:13" ht="14.4">
      <c r="A5523" s="201"/>
      <c r="B5523" s="209"/>
      <c r="C5523" s="201"/>
      <c r="D5523" s="201"/>
      <c r="E5523" s="202"/>
      <c r="F5523" s="210"/>
      <c r="G5523" s="210"/>
      <c r="H5523" s="206" t="s">
        <v>121</v>
      </c>
      <c r="I5523" s="206" t="s">
        <v>121</v>
      </c>
      <c r="J5523" s="206" t="s">
        <v>121</v>
      </c>
      <c r="K5523" s="206" t="s">
        <v>121</v>
      </c>
      <c r="L5523" s="206" t="str">
        <v/>
      </c>
      <c r="M5523" s="206" t="str">
        <v/>
      </c>
    </row>
    <row r="5524" spans="1:13" ht="14.4">
      <c r="A5524" s="201"/>
      <c r="B5524" s="209"/>
      <c r="C5524" s="201"/>
      <c r="D5524" s="201"/>
      <c r="E5524" s="202"/>
      <c r="F5524" s="210"/>
      <c r="G5524" s="210"/>
      <c r="H5524" s="206" t="s">
        <v>121</v>
      </c>
      <c r="I5524" s="206" t="s">
        <v>121</v>
      </c>
      <c r="J5524" s="206" t="s">
        <v>121</v>
      </c>
      <c r="K5524" s="206" t="s">
        <v>121</v>
      </c>
      <c r="L5524" s="206" t="str">
        <v/>
      </c>
      <c r="M5524" s="206" t="str">
        <v/>
      </c>
    </row>
    <row r="5525" spans="1:13" ht="14.4">
      <c r="A5525" s="201"/>
      <c r="B5525" s="209"/>
      <c r="C5525" s="201"/>
      <c r="D5525" s="201"/>
      <c r="E5525" s="202"/>
      <c r="F5525" s="210"/>
      <c r="G5525" s="210"/>
      <c r="H5525" s="206" t="s">
        <v>121</v>
      </c>
      <c r="I5525" s="206" t="s">
        <v>121</v>
      </c>
      <c r="J5525" s="206" t="s">
        <v>121</v>
      </c>
      <c r="K5525" s="206" t="s">
        <v>121</v>
      </c>
      <c r="L5525" s="206" t="str">
        <v/>
      </c>
      <c r="M5525" s="206" t="str">
        <v/>
      </c>
    </row>
    <row r="5526" spans="1:13" ht="14.4">
      <c r="A5526" s="201"/>
      <c r="B5526" s="209"/>
      <c r="C5526" s="201"/>
      <c r="D5526" s="201"/>
      <c r="E5526" s="202"/>
      <c r="F5526" s="210"/>
      <c r="G5526" s="210"/>
      <c r="H5526" s="206" t="s">
        <v>121</v>
      </c>
      <c r="I5526" s="206" t="s">
        <v>121</v>
      </c>
      <c r="J5526" s="206" t="s">
        <v>121</v>
      </c>
      <c r="K5526" s="206" t="s">
        <v>121</v>
      </c>
      <c r="L5526" s="206" t="str">
        <v/>
      </c>
      <c r="M5526" s="206" t="str">
        <v/>
      </c>
    </row>
    <row r="5527" spans="1:13" ht="14.4">
      <c r="A5527" s="201"/>
      <c r="B5527" s="209"/>
      <c r="C5527" s="201"/>
      <c r="D5527" s="201"/>
      <c r="E5527" s="202"/>
      <c r="F5527" s="210"/>
      <c r="G5527" s="210"/>
      <c r="H5527" s="206" t="s">
        <v>121</v>
      </c>
      <c r="I5527" s="206" t="s">
        <v>121</v>
      </c>
      <c r="J5527" s="206" t="s">
        <v>121</v>
      </c>
      <c r="K5527" s="206" t="s">
        <v>121</v>
      </c>
      <c r="L5527" s="206" t="str">
        <v/>
      </c>
      <c r="M5527" s="206" t="str">
        <v/>
      </c>
    </row>
    <row r="5528" spans="1:13" ht="14.4">
      <c r="A5528" s="201"/>
      <c r="B5528" s="209"/>
      <c r="C5528" s="201"/>
      <c r="D5528" s="201"/>
      <c r="E5528" s="202"/>
      <c r="F5528" s="210"/>
      <c r="G5528" s="210"/>
      <c r="H5528" s="206" t="s">
        <v>121</v>
      </c>
      <c r="I5528" s="206" t="s">
        <v>121</v>
      </c>
      <c r="J5528" s="206" t="s">
        <v>121</v>
      </c>
      <c r="K5528" s="206" t="s">
        <v>121</v>
      </c>
      <c r="L5528" s="206" t="str">
        <v/>
      </c>
      <c r="M5528" s="206" t="str">
        <v/>
      </c>
    </row>
    <row r="5529" spans="1:13" ht="14.4">
      <c r="A5529" s="201"/>
      <c r="B5529" s="209"/>
      <c r="C5529" s="201"/>
      <c r="D5529" s="201"/>
      <c r="E5529" s="202"/>
      <c r="F5529" s="210"/>
      <c r="G5529" s="210"/>
      <c r="H5529" s="206" t="s">
        <v>121</v>
      </c>
      <c r="I5529" s="206" t="s">
        <v>121</v>
      </c>
      <c r="J5529" s="206" t="s">
        <v>121</v>
      </c>
      <c r="K5529" s="206" t="s">
        <v>121</v>
      </c>
      <c r="L5529" s="206" t="str">
        <v/>
      </c>
      <c r="M5529" s="206" t="str">
        <v/>
      </c>
    </row>
    <row r="5530" spans="1:13" ht="14.4">
      <c r="A5530" s="201"/>
      <c r="B5530" s="209"/>
      <c r="C5530" s="201"/>
      <c r="D5530" s="201"/>
      <c r="E5530" s="202"/>
      <c r="F5530" s="210"/>
      <c r="G5530" s="210"/>
      <c r="H5530" s="206" t="s">
        <v>121</v>
      </c>
      <c r="I5530" s="206" t="s">
        <v>121</v>
      </c>
      <c r="J5530" s="206" t="s">
        <v>121</v>
      </c>
      <c r="K5530" s="206" t="s">
        <v>121</v>
      </c>
      <c r="L5530" s="206" t="str">
        <v/>
      </c>
      <c r="M5530" s="206" t="str">
        <v/>
      </c>
    </row>
    <row r="5531" spans="1:13" ht="14.4">
      <c r="A5531" s="201"/>
      <c r="B5531" s="209"/>
      <c r="C5531" s="201"/>
      <c r="D5531" s="201"/>
      <c r="E5531" s="202"/>
      <c r="F5531" s="210"/>
      <c r="G5531" s="210"/>
      <c r="H5531" s="206" t="s">
        <v>121</v>
      </c>
      <c r="I5531" s="206" t="s">
        <v>121</v>
      </c>
      <c r="J5531" s="206" t="s">
        <v>121</v>
      </c>
      <c r="K5531" s="206" t="s">
        <v>121</v>
      </c>
      <c r="L5531" s="206" t="str">
        <v/>
      </c>
      <c r="M5531" s="206" t="str">
        <v/>
      </c>
    </row>
    <row r="5532" spans="1:13" ht="14.4">
      <c r="A5532" s="201"/>
      <c r="B5532" s="209"/>
      <c r="C5532" s="201"/>
      <c r="D5532" s="201"/>
      <c r="E5532" s="202"/>
      <c r="F5532" s="210"/>
      <c r="G5532" s="210"/>
      <c r="H5532" s="206" t="s">
        <v>121</v>
      </c>
      <c r="I5532" s="206" t="s">
        <v>121</v>
      </c>
      <c r="J5532" s="206" t="s">
        <v>121</v>
      </c>
      <c r="K5532" s="206" t="s">
        <v>121</v>
      </c>
      <c r="L5532" s="206" t="str">
        <v/>
      </c>
      <c r="M5532" s="206" t="str">
        <v/>
      </c>
    </row>
    <row r="5533" spans="1:13" ht="14.4">
      <c r="A5533" s="201"/>
      <c r="B5533" s="209"/>
      <c r="C5533" s="201"/>
      <c r="D5533" s="201"/>
      <c r="E5533" s="202"/>
      <c r="F5533" s="210"/>
      <c r="G5533" s="210"/>
      <c r="H5533" s="206" t="s">
        <v>121</v>
      </c>
      <c r="I5533" s="206" t="s">
        <v>121</v>
      </c>
      <c r="J5533" s="206" t="s">
        <v>121</v>
      </c>
      <c r="K5533" s="206" t="s">
        <v>121</v>
      </c>
      <c r="L5533" s="206" t="str">
        <v/>
      </c>
      <c r="M5533" s="206" t="str">
        <v/>
      </c>
    </row>
    <row r="5534" spans="1:13" ht="14.4">
      <c r="A5534" s="201"/>
      <c r="B5534" s="209"/>
      <c r="C5534" s="201"/>
      <c r="D5534" s="201"/>
      <c r="E5534" s="202"/>
      <c r="F5534" s="210"/>
      <c r="G5534" s="210"/>
      <c r="H5534" s="206" t="s">
        <v>121</v>
      </c>
      <c r="I5534" s="206" t="s">
        <v>121</v>
      </c>
      <c r="J5534" s="206" t="s">
        <v>121</v>
      </c>
      <c r="K5534" s="206" t="s">
        <v>121</v>
      </c>
      <c r="L5534" s="206" t="str">
        <v/>
      </c>
      <c r="M5534" s="206" t="str">
        <v/>
      </c>
    </row>
    <row r="5535" spans="1:13" ht="14.4">
      <c r="A5535" s="201"/>
      <c r="B5535" s="209"/>
      <c r="C5535" s="201"/>
      <c r="D5535" s="201"/>
      <c r="E5535" s="202"/>
      <c r="F5535" s="210"/>
      <c r="G5535" s="210"/>
      <c r="H5535" s="206" t="s">
        <v>121</v>
      </c>
      <c r="I5535" s="206" t="s">
        <v>121</v>
      </c>
      <c r="J5535" s="206" t="s">
        <v>121</v>
      </c>
      <c r="K5535" s="206" t="s">
        <v>121</v>
      </c>
      <c r="L5535" s="206" t="str">
        <v/>
      </c>
      <c r="M5535" s="206" t="str">
        <v/>
      </c>
    </row>
    <row r="5536" spans="1:13" ht="14.4">
      <c r="A5536" s="201"/>
      <c r="B5536" s="209"/>
      <c r="C5536" s="201"/>
      <c r="D5536" s="201"/>
      <c r="E5536" s="202"/>
      <c r="F5536" s="210"/>
      <c r="G5536" s="210"/>
      <c r="H5536" s="206" t="s">
        <v>121</v>
      </c>
      <c r="I5536" s="206" t="s">
        <v>121</v>
      </c>
      <c r="J5536" s="206" t="s">
        <v>121</v>
      </c>
      <c r="K5536" s="206" t="s">
        <v>121</v>
      </c>
      <c r="L5536" s="206" t="str">
        <v/>
      </c>
      <c r="M5536" s="206" t="str">
        <v/>
      </c>
    </row>
    <row r="5537" spans="1:13" ht="14.4">
      <c r="A5537" s="201"/>
      <c r="B5537" s="209"/>
      <c r="C5537" s="201"/>
      <c r="D5537" s="201"/>
      <c r="E5537" s="202"/>
      <c r="F5537" s="210"/>
      <c r="G5537" s="210"/>
      <c r="H5537" s="206" t="s">
        <v>121</v>
      </c>
      <c r="I5537" s="206" t="s">
        <v>121</v>
      </c>
      <c r="J5537" s="206" t="s">
        <v>121</v>
      </c>
      <c r="K5537" s="206" t="s">
        <v>121</v>
      </c>
      <c r="L5537" s="206" t="str">
        <v/>
      </c>
      <c r="M5537" s="206" t="str">
        <v/>
      </c>
    </row>
    <row r="5538" spans="1:13" ht="14.4">
      <c r="A5538" s="201"/>
      <c r="B5538" s="209"/>
      <c r="C5538" s="201"/>
      <c r="D5538" s="201"/>
      <c r="E5538" s="202"/>
      <c r="F5538" s="210"/>
      <c r="G5538" s="210"/>
      <c r="H5538" s="206" t="s">
        <v>121</v>
      </c>
      <c r="I5538" s="206" t="s">
        <v>121</v>
      </c>
      <c r="J5538" s="206" t="s">
        <v>121</v>
      </c>
      <c r="K5538" s="206" t="s">
        <v>121</v>
      </c>
      <c r="L5538" s="206" t="str">
        <v/>
      </c>
      <c r="M5538" s="206" t="str">
        <v/>
      </c>
    </row>
    <row r="5539" spans="1:13" ht="14.4">
      <c r="A5539" s="201"/>
      <c r="B5539" s="209"/>
      <c r="C5539" s="201"/>
      <c r="D5539" s="201"/>
      <c r="E5539" s="202"/>
      <c r="F5539" s="210"/>
      <c r="G5539" s="210"/>
      <c r="H5539" s="206" t="s">
        <v>121</v>
      </c>
      <c r="I5539" s="206" t="s">
        <v>121</v>
      </c>
      <c r="J5539" s="206" t="s">
        <v>121</v>
      </c>
      <c r="K5539" s="206" t="s">
        <v>121</v>
      </c>
      <c r="L5539" s="206" t="str">
        <v/>
      </c>
      <c r="M5539" s="206" t="str">
        <v/>
      </c>
    </row>
    <row r="5540" spans="1:13" ht="14.4">
      <c r="A5540" s="201"/>
      <c r="B5540" s="209"/>
      <c r="C5540" s="201"/>
      <c r="D5540" s="201"/>
      <c r="E5540" s="202"/>
      <c r="F5540" s="210"/>
      <c r="G5540" s="210"/>
      <c r="H5540" s="206" t="s">
        <v>121</v>
      </c>
      <c r="I5540" s="206" t="s">
        <v>121</v>
      </c>
      <c r="J5540" s="206" t="s">
        <v>121</v>
      </c>
      <c r="K5540" s="206" t="s">
        <v>121</v>
      </c>
      <c r="L5540" s="206" t="str">
        <v/>
      </c>
      <c r="M5540" s="206" t="str">
        <v/>
      </c>
    </row>
    <row r="5541" spans="1:13" ht="14.4">
      <c r="A5541" s="201"/>
      <c r="B5541" s="209"/>
      <c r="C5541" s="201"/>
      <c r="D5541" s="201"/>
      <c r="E5541" s="202"/>
      <c r="F5541" s="210"/>
      <c r="G5541" s="210"/>
      <c r="H5541" s="206" t="s">
        <v>121</v>
      </c>
      <c r="I5541" s="206" t="s">
        <v>121</v>
      </c>
      <c r="J5541" s="206" t="s">
        <v>121</v>
      </c>
      <c r="K5541" s="206" t="s">
        <v>121</v>
      </c>
      <c r="L5541" s="206" t="str">
        <v/>
      </c>
      <c r="M5541" s="206" t="str">
        <v/>
      </c>
    </row>
    <row r="5542" spans="1:13" ht="14.4">
      <c r="A5542" s="201"/>
      <c r="B5542" s="209"/>
      <c r="C5542" s="201"/>
      <c r="D5542" s="201"/>
      <c r="E5542" s="202"/>
      <c r="F5542" s="210"/>
      <c r="G5542" s="210"/>
      <c r="H5542" s="206" t="s">
        <v>121</v>
      </c>
      <c r="I5542" s="206" t="s">
        <v>121</v>
      </c>
      <c r="J5542" s="206" t="s">
        <v>121</v>
      </c>
      <c r="K5542" s="206" t="s">
        <v>121</v>
      </c>
      <c r="L5542" s="206" t="str">
        <v/>
      </c>
      <c r="M5542" s="206" t="str">
        <v/>
      </c>
    </row>
    <row r="5543" spans="1:13" ht="14.4">
      <c r="A5543" s="201"/>
      <c r="B5543" s="209"/>
      <c r="C5543" s="201"/>
      <c r="D5543" s="201"/>
      <c r="E5543" s="202"/>
      <c r="F5543" s="210"/>
      <c r="G5543" s="210"/>
      <c r="H5543" s="206" t="s">
        <v>121</v>
      </c>
      <c r="I5543" s="206" t="s">
        <v>121</v>
      </c>
      <c r="J5543" s="206" t="s">
        <v>121</v>
      </c>
      <c r="K5543" s="206" t="s">
        <v>121</v>
      </c>
      <c r="L5543" s="206" t="str">
        <v/>
      </c>
      <c r="M5543" s="206" t="str">
        <v/>
      </c>
    </row>
    <row r="5544" spans="1:13" ht="14.4">
      <c r="A5544" s="201"/>
      <c r="B5544" s="209"/>
      <c r="C5544" s="201"/>
      <c r="D5544" s="201"/>
      <c r="E5544" s="202"/>
      <c r="F5544" s="210"/>
      <c r="G5544" s="210"/>
      <c r="H5544" s="206" t="s">
        <v>121</v>
      </c>
      <c r="I5544" s="206" t="s">
        <v>121</v>
      </c>
      <c r="J5544" s="206" t="s">
        <v>121</v>
      </c>
      <c r="K5544" s="206" t="s">
        <v>121</v>
      </c>
      <c r="L5544" s="206" t="str">
        <v/>
      </c>
      <c r="M5544" s="206" t="str">
        <v/>
      </c>
    </row>
    <row r="5545" spans="1:13" ht="14.4">
      <c r="A5545" s="201"/>
      <c r="B5545" s="209"/>
      <c r="C5545" s="201"/>
      <c r="D5545" s="201"/>
      <c r="E5545" s="202"/>
      <c r="F5545" s="210"/>
      <c r="G5545" s="210"/>
      <c r="H5545" s="206" t="s">
        <v>121</v>
      </c>
      <c r="I5545" s="206" t="s">
        <v>121</v>
      </c>
      <c r="J5545" s="206" t="s">
        <v>121</v>
      </c>
      <c r="K5545" s="206" t="s">
        <v>121</v>
      </c>
      <c r="L5545" s="206" t="str">
        <v/>
      </c>
      <c r="M5545" s="206" t="str">
        <v/>
      </c>
    </row>
    <row r="5546" spans="1:13" ht="14.4">
      <c r="A5546" s="201"/>
      <c r="B5546" s="209"/>
      <c r="C5546" s="201"/>
      <c r="D5546" s="201"/>
      <c r="E5546" s="202"/>
      <c r="F5546" s="210"/>
      <c r="G5546" s="210"/>
      <c r="H5546" s="206" t="s">
        <v>121</v>
      </c>
      <c r="I5546" s="206" t="s">
        <v>121</v>
      </c>
      <c r="J5546" s="206" t="s">
        <v>121</v>
      </c>
      <c r="K5546" s="206" t="s">
        <v>121</v>
      </c>
      <c r="L5546" s="206" t="str">
        <v/>
      </c>
      <c r="M5546" s="206" t="str">
        <v/>
      </c>
    </row>
    <row r="5547" spans="1:13" ht="14.4">
      <c r="A5547" s="201"/>
      <c r="B5547" s="209"/>
      <c r="C5547" s="201"/>
      <c r="D5547" s="201"/>
      <c r="E5547" s="202"/>
      <c r="F5547" s="210"/>
      <c r="G5547" s="210"/>
      <c r="H5547" s="206" t="s">
        <v>121</v>
      </c>
      <c r="I5547" s="206" t="s">
        <v>121</v>
      </c>
      <c r="J5547" s="206" t="s">
        <v>121</v>
      </c>
      <c r="K5547" s="206" t="s">
        <v>121</v>
      </c>
      <c r="L5547" s="206" t="str">
        <v/>
      </c>
      <c r="M5547" s="206" t="str">
        <v/>
      </c>
    </row>
    <row r="5548" spans="1:13" ht="14.4">
      <c r="A5548" s="201"/>
      <c r="B5548" s="209"/>
      <c r="C5548" s="201"/>
      <c r="D5548" s="201"/>
      <c r="E5548" s="202"/>
      <c r="F5548" s="210"/>
      <c r="G5548" s="210"/>
      <c r="H5548" s="206" t="s">
        <v>121</v>
      </c>
      <c r="I5548" s="206" t="s">
        <v>121</v>
      </c>
      <c r="J5548" s="206" t="s">
        <v>121</v>
      </c>
      <c r="K5548" s="206" t="s">
        <v>121</v>
      </c>
      <c r="L5548" s="206" t="str">
        <v/>
      </c>
      <c r="M5548" s="206" t="str">
        <v/>
      </c>
    </row>
    <row r="5549" spans="1:13" ht="14.4">
      <c r="A5549" s="201"/>
      <c r="B5549" s="209"/>
      <c r="C5549" s="201"/>
      <c r="D5549" s="201"/>
      <c r="E5549" s="202"/>
      <c r="F5549" s="210"/>
      <c r="G5549" s="210"/>
      <c r="H5549" s="206" t="s">
        <v>121</v>
      </c>
      <c r="I5549" s="206" t="s">
        <v>121</v>
      </c>
      <c r="J5549" s="206" t="s">
        <v>121</v>
      </c>
      <c r="K5549" s="206" t="s">
        <v>121</v>
      </c>
      <c r="L5549" s="206" t="str">
        <v/>
      </c>
      <c r="M5549" s="206" t="str">
        <v/>
      </c>
    </row>
    <row r="5550" spans="1:13" ht="14.4">
      <c r="A5550" s="201"/>
      <c r="B5550" s="209"/>
      <c r="C5550" s="201"/>
      <c r="D5550" s="201"/>
      <c r="E5550" s="202"/>
      <c r="F5550" s="210"/>
      <c r="G5550" s="210"/>
      <c r="H5550" s="206" t="s">
        <v>121</v>
      </c>
      <c r="I5550" s="206" t="s">
        <v>121</v>
      </c>
      <c r="J5550" s="206" t="s">
        <v>121</v>
      </c>
      <c r="K5550" s="206" t="s">
        <v>121</v>
      </c>
      <c r="L5550" s="206" t="str">
        <v/>
      </c>
      <c r="M5550" s="206" t="str">
        <v/>
      </c>
    </row>
    <row r="5551" spans="1:13" ht="14.4">
      <c r="A5551" s="201"/>
      <c r="B5551" s="209"/>
      <c r="C5551" s="201"/>
      <c r="D5551" s="201"/>
      <c r="E5551" s="202"/>
      <c r="F5551" s="210"/>
      <c r="G5551" s="210"/>
      <c r="H5551" s="206" t="s">
        <v>121</v>
      </c>
      <c r="I5551" s="206" t="s">
        <v>121</v>
      </c>
      <c r="J5551" s="206" t="s">
        <v>121</v>
      </c>
      <c r="K5551" s="206" t="s">
        <v>121</v>
      </c>
      <c r="L5551" s="206" t="str">
        <v/>
      </c>
      <c r="M5551" s="206" t="str">
        <v/>
      </c>
    </row>
    <row r="5552" spans="1:13" ht="14.4">
      <c r="A5552" s="201"/>
      <c r="B5552" s="209"/>
      <c r="C5552" s="201"/>
      <c r="D5552" s="201"/>
      <c r="E5552" s="202"/>
      <c r="F5552" s="210"/>
      <c r="G5552" s="210"/>
      <c r="H5552" s="206" t="s">
        <v>121</v>
      </c>
      <c r="I5552" s="206" t="s">
        <v>121</v>
      </c>
      <c r="J5552" s="206" t="s">
        <v>121</v>
      </c>
      <c r="K5552" s="206" t="s">
        <v>121</v>
      </c>
      <c r="L5552" s="206" t="str">
        <v/>
      </c>
      <c r="M5552" s="206" t="str">
        <v/>
      </c>
    </row>
    <row r="5553" spans="1:13" ht="14.4">
      <c r="A5553" s="201"/>
      <c r="B5553" s="209"/>
      <c r="C5553" s="201"/>
      <c r="D5553" s="201"/>
      <c r="E5553" s="202"/>
      <c r="F5553" s="210"/>
      <c r="G5553" s="210"/>
      <c r="H5553" s="206" t="s">
        <v>121</v>
      </c>
      <c r="I5553" s="206" t="s">
        <v>121</v>
      </c>
      <c r="J5553" s="206" t="s">
        <v>121</v>
      </c>
      <c r="K5553" s="206" t="s">
        <v>121</v>
      </c>
      <c r="L5553" s="206" t="str">
        <v/>
      </c>
      <c r="M5553" s="206" t="str">
        <v/>
      </c>
    </row>
    <row r="5554" spans="1:13" ht="14.4">
      <c r="A5554" s="201"/>
      <c r="B5554" s="209"/>
      <c r="C5554" s="201"/>
      <c r="D5554" s="201"/>
      <c r="E5554" s="202"/>
      <c r="F5554" s="210"/>
      <c r="G5554" s="210"/>
      <c r="H5554" s="206" t="s">
        <v>121</v>
      </c>
      <c r="I5554" s="206" t="s">
        <v>121</v>
      </c>
      <c r="J5554" s="206" t="s">
        <v>121</v>
      </c>
      <c r="K5554" s="206" t="s">
        <v>121</v>
      </c>
      <c r="L5554" s="206" t="str">
        <v/>
      </c>
      <c r="M5554" s="206" t="str">
        <v/>
      </c>
    </row>
    <row r="5555" spans="1:13" ht="14.4">
      <c r="A5555" s="201"/>
      <c r="B5555" s="209"/>
      <c r="C5555" s="201"/>
      <c r="D5555" s="201"/>
      <c r="E5555" s="202"/>
      <c r="F5555" s="210"/>
      <c r="G5555" s="210"/>
      <c r="H5555" s="206" t="s">
        <v>121</v>
      </c>
      <c r="I5555" s="206" t="s">
        <v>121</v>
      </c>
      <c r="J5555" s="206" t="s">
        <v>121</v>
      </c>
      <c r="K5555" s="206" t="s">
        <v>121</v>
      </c>
      <c r="L5555" s="206" t="str">
        <v/>
      </c>
      <c r="M5555" s="206" t="str">
        <v/>
      </c>
    </row>
    <row r="5556" spans="1:13" ht="14.4">
      <c r="A5556" s="201"/>
      <c r="B5556" s="209"/>
      <c r="C5556" s="201"/>
      <c r="D5556" s="201"/>
      <c r="E5556" s="202"/>
      <c r="F5556" s="210"/>
      <c r="G5556" s="210"/>
      <c r="H5556" s="206" t="s">
        <v>121</v>
      </c>
      <c r="I5556" s="206" t="s">
        <v>121</v>
      </c>
      <c r="J5556" s="206" t="s">
        <v>121</v>
      </c>
      <c r="K5556" s="206" t="s">
        <v>121</v>
      </c>
      <c r="L5556" s="206" t="str">
        <v/>
      </c>
      <c r="M5556" s="206" t="str">
        <v/>
      </c>
    </row>
    <row r="5557" spans="1:13" ht="14.4">
      <c r="A5557" s="201"/>
      <c r="B5557" s="209"/>
      <c r="C5557" s="201"/>
      <c r="D5557" s="201"/>
      <c r="E5557" s="202"/>
      <c r="F5557" s="210"/>
      <c r="G5557" s="210"/>
      <c r="H5557" s="206" t="s">
        <v>121</v>
      </c>
      <c r="I5557" s="206" t="s">
        <v>121</v>
      </c>
      <c r="J5557" s="206" t="s">
        <v>121</v>
      </c>
      <c r="K5557" s="206" t="s">
        <v>121</v>
      </c>
      <c r="L5557" s="206" t="str">
        <v/>
      </c>
      <c r="M5557" s="206" t="str">
        <v/>
      </c>
    </row>
    <row r="5558" spans="1:13" ht="14.4">
      <c r="A5558" s="201"/>
      <c r="B5558" s="209"/>
      <c r="C5558" s="201"/>
      <c r="D5558" s="201"/>
      <c r="E5558" s="202"/>
      <c r="F5558" s="210"/>
      <c r="G5558" s="210"/>
      <c r="H5558" s="206" t="s">
        <v>121</v>
      </c>
      <c r="I5558" s="206" t="s">
        <v>121</v>
      </c>
      <c r="J5558" s="206" t="s">
        <v>121</v>
      </c>
      <c r="K5558" s="206" t="s">
        <v>121</v>
      </c>
      <c r="L5558" s="206" t="str">
        <v/>
      </c>
      <c r="M5558" s="206" t="str">
        <v/>
      </c>
    </row>
    <row r="5559" spans="1:13" ht="14.4">
      <c r="A5559" s="201"/>
      <c r="B5559" s="209"/>
      <c r="C5559" s="201"/>
      <c r="D5559" s="201"/>
      <c r="E5559" s="202"/>
      <c r="F5559" s="210"/>
      <c r="G5559" s="210"/>
      <c r="H5559" s="206" t="s">
        <v>121</v>
      </c>
      <c r="I5559" s="206" t="s">
        <v>121</v>
      </c>
      <c r="J5559" s="206" t="s">
        <v>121</v>
      </c>
      <c r="K5559" s="206" t="s">
        <v>121</v>
      </c>
      <c r="L5559" s="206" t="str">
        <v/>
      </c>
      <c r="M5559" s="206" t="str">
        <v/>
      </c>
    </row>
    <row r="5560" spans="1:13" ht="14.4">
      <c r="A5560" s="201"/>
      <c r="B5560" s="209"/>
      <c r="C5560" s="201"/>
      <c r="D5560" s="201"/>
      <c r="E5560" s="202"/>
      <c r="F5560" s="210"/>
      <c r="G5560" s="210"/>
      <c r="H5560" s="206" t="s">
        <v>121</v>
      </c>
      <c r="I5560" s="206" t="s">
        <v>121</v>
      </c>
      <c r="J5560" s="206" t="s">
        <v>121</v>
      </c>
      <c r="K5560" s="206" t="s">
        <v>121</v>
      </c>
      <c r="L5560" s="206" t="str">
        <v/>
      </c>
      <c r="M5560" s="206" t="str">
        <v/>
      </c>
    </row>
    <row r="5561" spans="1:13" ht="14.4">
      <c r="A5561" s="201"/>
      <c r="B5561" s="209"/>
      <c r="C5561" s="201"/>
      <c r="D5561" s="201"/>
      <c r="E5561" s="202"/>
      <c r="F5561" s="210"/>
      <c r="G5561" s="210"/>
      <c r="H5561" s="206" t="s">
        <v>121</v>
      </c>
      <c r="I5561" s="206" t="s">
        <v>121</v>
      </c>
      <c r="J5561" s="206" t="s">
        <v>121</v>
      </c>
      <c r="K5561" s="206" t="s">
        <v>121</v>
      </c>
      <c r="L5561" s="206" t="str">
        <v/>
      </c>
      <c r="M5561" s="206" t="str">
        <v/>
      </c>
    </row>
    <row r="5562" spans="1:13" ht="14.4">
      <c r="A5562" s="201"/>
      <c r="B5562" s="209"/>
      <c r="C5562" s="201"/>
      <c r="D5562" s="201"/>
      <c r="E5562" s="202"/>
      <c r="F5562" s="210"/>
      <c r="G5562" s="210"/>
      <c r="H5562" s="206" t="s">
        <v>121</v>
      </c>
      <c r="I5562" s="206" t="s">
        <v>121</v>
      </c>
      <c r="J5562" s="206" t="s">
        <v>121</v>
      </c>
      <c r="K5562" s="206" t="s">
        <v>121</v>
      </c>
      <c r="L5562" s="206" t="str">
        <v/>
      </c>
      <c r="M5562" s="206" t="str">
        <v/>
      </c>
    </row>
    <row r="5563" spans="1:13" ht="14.4">
      <c r="A5563" s="201"/>
      <c r="B5563" s="209"/>
      <c r="C5563" s="201"/>
      <c r="D5563" s="201"/>
      <c r="E5563" s="202"/>
      <c r="F5563" s="210"/>
      <c r="G5563" s="210"/>
      <c r="H5563" s="206" t="s">
        <v>121</v>
      </c>
      <c r="I5563" s="206" t="s">
        <v>121</v>
      </c>
      <c r="J5563" s="206" t="s">
        <v>121</v>
      </c>
      <c r="K5563" s="206" t="s">
        <v>121</v>
      </c>
      <c r="L5563" s="206" t="str">
        <v/>
      </c>
      <c r="M5563" s="206" t="str">
        <v/>
      </c>
    </row>
    <row r="5564" spans="1:13" ht="14.4">
      <c r="A5564" s="201"/>
      <c r="B5564" s="209"/>
      <c r="C5564" s="201"/>
      <c r="D5564" s="201"/>
      <c r="E5564" s="202"/>
      <c r="F5564" s="210"/>
      <c r="G5564" s="210"/>
      <c r="H5564" s="206" t="s">
        <v>121</v>
      </c>
      <c r="I5564" s="206" t="s">
        <v>121</v>
      </c>
      <c r="J5564" s="206" t="s">
        <v>121</v>
      </c>
      <c r="K5564" s="206" t="s">
        <v>121</v>
      </c>
      <c r="L5564" s="206" t="str">
        <v/>
      </c>
      <c r="M5564" s="206" t="str">
        <v/>
      </c>
    </row>
    <row r="5565" spans="1:13" ht="14.4">
      <c r="A5565" s="201"/>
      <c r="B5565" s="209"/>
      <c r="C5565" s="201"/>
      <c r="D5565" s="201"/>
      <c r="E5565" s="202"/>
      <c r="F5565" s="210"/>
      <c r="G5565" s="210"/>
      <c r="H5565" s="206" t="s">
        <v>121</v>
      </c>
      <c r="I5565" s="206" t="s">
        <v>121</v>
      </c>
      <c r="J5565" s="206" t="s">
        <v>121</v>
      </c>
      <c r="K5565" s="206" t="s">
        <v>121</v>
      </c>
      <c r="L5565" s="206" t="str">
        <v/>
      </c>
      <c r="M5565" s="206" t="str">
        <v/>
      </c>
    </row>
    <row r="5566" spans="1:13" ht="14.4">
      <c r="A5566" s="201"/>
      <c r="B5566" s="209"/>
      <c r="C5566" s="201"/>
      <c r="D5566" s="201"/>
      <c r="E5566" s="202"/>
      <c r="F5566" s="210"/>
      <c r="G5566" s="210"/>
      <c r="H5566" s="206" t="s">
        <v>121</v>
      </c>
      <c r="I5566" s="206" t="s">
        <v>121</v>
      </c>
      <c r="J5566" s="206" t="s">
        <v>121</v>
      </c>
      <c r="K5566" s="206" t="s">
        <v>121</v>
      </c>
      <c r="L5566" s="206" t="str">
        <v/>
      </c>
      <c r="M5566" s="206" t="str">
        <v/>
      </c>
    </row>
    <row r="5567" spans="1:13" ht="14.4">
      <c r="A5567" s="201"/>
      <c r="B5567" s="209"/>
      <c r="C5567" s="201"/>
      <c r="D5567" s="201"/>
      <c r="E5567" s="202"/>
      <c r="F5567" s="210"/>
      <c r="G5567" s="210"/>
      <c r="H5567" s="206" t="s">
        <v>121</v>
      </c>
      <c r="I5567" s="206" t="s">
        <v>121</v>
      </c>
      <c r="J5567" s="206" t="s">
        <v>121</v>
      </c>
      <c r="K5567" s="206" t="s">
        <v>121</v>
      </c>
      <c r="L5567" s="206" t="str">
        <v/>
      </c>
      <c r="M5567" s="206" t="str">
        <v/>
      </c>
    </row>
    <row r="5568" spans="1:13" ht="14.4">
      <c r="A5568" s="201"/>
      <c r="B5568" s="209"/>
      <c r="C5568" s="201"/>
      <c r="D5568" s="201"/>
      <c r="E5568" s="202"/>
      <c r="F5568" s="210"/>
      <c r="G5568" s="210"/>
      <c r="H5568" s="206" t="s">
        <v>121</v>
      </c>
      <c r="I5568" s="206" t="s">
        <v>121</v>
      </c>
      <c r="J5568" s="206" t="s">
        <v>121</v>
      </c>
      <c r="K5568" s="206" t="s">
        <v>121</v>
      </c>
      <c r="L5568" s="206" t="str">
        <v/>
      </c>
      <c r="M5568" s="206" t="str">
        <v/>
      </c>
    </row>
    <row r="5569" spans="1:13" ht="14.4">
      <c r="A5569" s="201"/>
      <c r="B5569" s="209"/>
      <c r="C5569" s="201"/>
      <c r="D5569" s="201"/>
      <c r="E5569" s="202"/>
      <c r="F5569" s="210"/>
      <c r="G5569" s="210"/>
      <c r="H5569" s="206" t="s">
        <v>121</v>
      </c>
      <c r="I5569" s="206" t="s">
        <v>121</v>
      </c>
      <c r="J5569" s="206" t="s">
        <v>121</v>
      </c>
      <c r="K5569" s="206" t="s">
        <v>121</v>
      </c>
      <c r="L5569" s="206" t="str">
        <v/>
      </c>
      <c r="M5569" s="206" t="str">
        <v/>
      </c>
    </row>
    <row r="5570" spans="1:13" ht="14.4">
      <c r="A5570" s="201"/>
      <c r="B5570" s="209"/>
      <c r="C5570" s="201"/>
      <c r="D5570" s="201"/>
      <c r="E5570" s="202"/>
      <c r="F5570" s="210"/>
      <c r="G5570" s="210"/>
      <c r="H5570" s="206" t="s">
        <v>121</v>
      </c>
      <c r="I5570" s="206" t="s">
        <v>121</v>
      </c>
      <c r="J5570" s="206" t="s">
        <v>121</v>
      </c>
      <c r="K5570" s="206" t="s">
        <v>121</v>
      </c>
      <c r="L5570" s="206" t="str">
        <v/>
      </c>
      <c r="M5570" s="206" t="str">
        <v/>
      </c>
    </row>
    <row r="5571" spans="1:13" ht="14.4">
      <c r="A5571" s="201"/>
      <c r="B5571" s="209"/>
      <c r="C5571" s="201"/>
      <c r="D5571" s="201"/>
      <c r="E5571" s="202"/>
      <c r="F5571" s="210"/>
      <c r="G5571" s="210"/>
      <c r="H5571" s="206" t="s">
        <v>121</v>
      </c>
      <c r="I5571" s="206" t="s">
        <v>121</v>
      </c>
      <c r="J5571" s="206" t="s">
        <v>121</v>
      </c>
      <c r="K5571" s="206" t="s">
        <v>121</v>
      </c>
      <c r="L5571" s="206" t="str">
        <v/>
      </c>
      <c r="M5571" s="206" t="str">
        <v/>
      </c>
    </row>
    <row r="5572" spans="1:13" ht="14.4">
      <c r="A5572" s="201"/>
      <c r="B5572" s="209"/>
      <c r="C5572" s="201"/>
      <c r="D5572" s="201"/>
      <c r="E5572" s="202"/>
      <c r="F5572" s="210"/>
      <c r="G5572" s="210"/>
      <c r="H5572" s="206" t="s">
        <v>121</v>
      </c>
      <c r="I5572" s="206" t="s">
        <v>121</v>
      </c>
      <c r="J5572" s="206" t="s">
        <v>121</v>
      </c>
      <c r="K5572" s="206" t="s">
        <v>121</v>
      </c>
      <c r="L5572" s="206" t="str">
        <v/>
      </c>
      <c r="M5572" s="206" t="str">
        <v/>
      </c>
    </row>
    <row r="5573" spans="1:13" ht="14.4">
      <c r="A5573" s="201"/>
      <c r="B5573" s="209"/>
      <c r="C5573" s="201"/>
      <c r="D5573" s="201"/>
      <c r="E5573" s="202"/>
      <c r="F5573" s="210"/>
      <c r="G5573" s="210"/>
      <c r="H5573" s="206" t="s">
        <v>121</v>
      </c>
      <c r="I5573" s="206" t="s">
        <v>121</v>
      </c>
      <c r="J5573" s="206" t="s">
        <v>121</v>
      </c>
      <c r="K5573" s="206" t="s">
        <v>121</v>
      </c>
      <c r="L5573" s="206" t="str">
        <v/>
      </c>
      <c r="M5573" s="206" t="str">
        <v/>
      </c>
    </row>
    <row r="5574" spans="1:13" ht="14.4">
      <c r="A5574" s="201"/>
      <c r="B5574" s="209"/>
      <c r="C5574" s="201"/>
      <c r="D5574" s="201"/>
      <c r="E5574" s="202"/>
      <c r="F5574" s="210"/>
      <c r="G5574" s="210"/>
      <c r="H5574" s="206" t="s">
        <v>121</v>
      </c>
      <c r="I5574" s="206" t="s">
        <v>121</v>
      </c>
      <c r="J5574" s="206" t="s">
        <v>121</v>
      </c>
      <c r="K5574" s="206" t="s">
        <v>121</v>
      </c>
      <c r="L5574" s="206" t="str">
        <v/>
      </c>
      <c r="M5574" s="206" t="str">
        <v/>
      </c>
    </row>
    <row r="5575" spans="1:13" ht="14.4">
      <c r="A5575" s="201"/>
      <c r="B5575" s="209"/>
      <c r="C5575" s="201"/>
      <c r="D5575" s="201"/>
      <c r="E5575" s="202"/>
      <c r="F5575" s="210"/>
      <c r="G5575" s="210"/>
      <c r="H5575" s="206" t="s">
        <v>121</v>
      </c>
      <c r="I5575" s="206" t="s">
        <v>121</v>
      </c>
      <c r="J5575" s="206" t="s">
        <v>121</v>
      </c>
      <c r="K5575" s="206" t="s">
        <v>121</v>
      </c>
      <c r="L5575" s="206" t="str">
        <v/>
      </c>
      <c r="M5575" s="206" t="str">
        <v/>
      </c>
    </row>
    <row r="5576" spans="1:13" ht="14.4">
      <c r="A5576" s="201"/>
      <c r="B5576" s="209"/>
      <c r="C5576" s="201"/>
      <c r="D5576" s="201"/>
      <c r="E5576" s="202"/>
      <c r="F5576" s="210"/>
      <c r="G5576" s="210"/>
      <c r="H5576" s="206" t="s">
        <v>121</v>
      </c>
      <c r="I5576" s="206" t="s">
        <v>121</v>
      </c>
      <c r="J5576" s="206" t="s">
        <v>121</v>
      </c>
      <c r="K5576" s="206" t="s">
        <v>121</v>
      </c>
      <c r="L5576" s="206" t="str">
        <v/>
      </c>
      <c r="M5576" s="206" t="str">
        <v/>
      </c>
    </row>
    <row r="5577" spans="1:13" ht="14.4">
      <c r="A5577" s="201"/>
      <c r="B5577" s="209"/>
      <c r="C5577" s="201"/>
      <c r="D5577" s="201"/>
      <c r="E5577" s="202"/>
      <c r="F5577" s="210"/>
      <c r="G5577" s="210"/>
      <c r="H5577" s="206" t="s">
        <v>121</v>
      </c>
      <c r="I5577" s="206" t="s">
        <v>121</v>
      </c>
      <c r="J5577" s="206" t="s">
        <v>121</v>
      </c>
      <c r="K5577" s="206" t="s">
        <v>121</v>
      </c>
      <c r="L5577" s="206" t="str">
        <v/>
      </c>
      <c r="M5577" s="206" t="str">
        <v/>
      </c>
    </row>
    <row r="5578" spans="1:13" ht="14.4">
      <c r="A5578" s="201"/>
      <c r="B5578" s="209"/>
      <c r="C5578" s="201"/>
      <c r="D5578" s="201"/>
      <c r="E5578" s="202"/>
      <c r="F5578" s="210"/>
      <c r="G5578" s="210"/>
      <c r="H5578" s="206" t="s">
        <v>121</v>
      </c>
      <c r="I5578" s="206" t="s">
        <v>121</v>
      </c>
      <c r="J5578" s="206" t="s">
        <v>121</v>
      </c>
      <c r="K5578" s="206" t="s">
        <v>121</v>
      </c>
      <c r="L5578" s="206" t="str">
        <v/>
      </c>
      <c r="M5578" s="206" t="str">
        <v/>
      </c>
    </row>
    <row r="5579" spans="1:13" ht="14.4">
      <c r="A5579" s="201"/>
      <c r="B5579" s="209"/>
      <c r="C5579" s="201"/>
      <c r="D5579" s="201"/>
      <c r="E5579" s="202"/>
      <c r="F5579" s="210"/>
      <c r="G5579" s="210"/>
      <c r="H5579" s="206" t="s">
        <v>121</v>
      </c>
      <c r="I5579" s="206" t="s">
        <v>121</v>
      </c>
      <c r="J5579" s="206" t="s">
        <v>121</v>
      </c>
      <c r="K5579" s="206" t="s">
        <v>121</v>
      </c>
      <c r="L5579" s="206" t="str">
        <v/>
      </c>
      <c r="M5579" s="206" t="str">
        <v/>
      </c>
    </row>
    <row r="5580" spans="1:13" ht="14.4">
      <c r="A5580" s="201"/>
      <c r="B5580" s="209"/>
      <c r="C5580" s="201"/>
      <c r="D5580" s="201"/>
      <c r="E5580" s="202"/>
      <c r="F5580" s="210"/>
      <c r="G5580" s="210"/>
      <c r="H5580" s="206" t="s">
        <v>121</v>
      </c>
      <c r="I5580" s="206" t="s">
        <v>121</v>
      </c>
      <c r="J5580" s="206" t="s">
        <v>121</v>
      </c>
      <c r="K5580" s="206" t="s">
        <v>121</v>
      </c>
      <c r="L5580" s="206" t="str">
        <v/>
      </c>
      <c r="M5580" s="206" t="str">
        <v/>
      </c>
    </row>
    <row r="5581" spans="1:13" ht="14.4">
      <c r="A5581" s="201"/>
      <c r="B5581" s="209"/>
      <c r="C5581" s="201"/>
      <c r="D5581" s="201"/>
      <c r="E5581" s="202"/>
      <c r="F5581" s="210"/>
      <c r="G5581" s="210"/>
      <c r="H5581" s="206" t="s">
        <v>121</v>
      </c>
      <c r="I5581" s="206" t="s">
        <v>121</v>
      </c>
      <c r="J5581" s="206" t="s">
        <v>121</v>
      </c>
      <c r="K5581" s="206" t="s">
        <v>121</v>
      </c>
      <c r="L5581" s="206" t="str">
        <v/>
      </c>
      <c r="M5581" s="206" t="str">
        <v/>
      </c>
    </row>
    <row r="5582" spans="1:13" ht="14.4">
      <c r="A5582" s="201"/>
      <c r="B5582" s="209"/>
      <c r="C5582" s="201"/>
      <c r="D5582" s="201"/>
      <c r="E5582" s="202"/>
      <c r="F5582" s="210"/>
      <c r="G5582" s="210"/>
      <c r="H5582" s="206" t="s">
        <v>121</v>
      </c>
      <c r="I5582" s="206" t="s">
        <v>121</v>
      </c>
      <c r="J5582" s="206" t="s">
        <v>121</v>
      </c>
      <c r="K5582" s="206" t="s">
        <v>121</v>
      </c>
      <c r="L5582" s="206" t="str">
        <v/>
      </c>
      <c r="M5582" s="206" t="str">
        <v/>
      </c>
    </row>
    <row r="5583" spans="1:13" ht="14.4">
      <c r="A5583" s="201"/>
      <c r="B5583" s="209"/>
      <c r="C5583" s="201"/>
      <c r="D5583" s="201"/>
      <c r="E5583" s="202"/>
      <c r="F5583" s="210"/>
      <c r="G5583" s="210"/>
      <c r="H5583" s="206" t="s">
        <v>121</v>
      </c>
      <c r="I5583" s="206" t="s">
        <v>121</v>
      </c>
      <c r="J5583" s="206" t="s">
        <v>121</v>
      </c>
      <c r="K5583" s="206" t="s">
        <v>121</v>
      </c>
      <c r="L5583" s="206" t="str">
        <v/>
      </c>
      <c r="M5583" s="206" t="str">
        <v/>
      </c>
    </row>
    <row r="5584" spans="1:13" ht="14.4">
      <c r="A5584" s="201"/>
      <c r="B5584" s="209"/>
      <c r="C5584" s="201"/>
      <c r="D5584" s="201"/>
      <c r="E5584" s="202"/>
      <c r="F5584" s="210"/>
      <c r="G5584" s="210"/>
      <c r="H5584" s="206" t="s">
        <v>121</v>
      </c>
      <c r="I5584" s="206" t="s">
        <v>121</v>
      </c>
      <c r="J5584" s="206" t="s">
        <v>121</v>
      </c>
      <c r="K5584" s="206" t="s">
        <v>121</v>
      </c>
      <c r="L5584" s="206" t="str">
        <v/>
      </c>
      <c r="M5584" s="206" t="str">
        <v/>
      </c>
    </row>
    <row r="5585" spans="1:13" ht="14.4">
      <c r="A5585" s="201"/>
      <c r="B5585" s="209"/>
      <c r="C5585" s="201"/>
      <c r="D5585" s="201"/>
      <c r="E5585" s="202"/>
      <c r="F5585" s="210"/>
      <c r="G5585" s="210"/>
      <c r="H5585" s="206" t="s">
        <v>121</v>
      </c>
      <c r="I5585" s="206" t="s">
        <v>121</v>
      </c>
      <c r="J5585" s="206" t="s">
        <v>121</v>
      </c>
      <c r="K5585" s="206" t="s">
        <v>121</v>
      </c>
      <c r="L5585" s="206" t="str">
        <v/>
      </c>
      <c r="M5585" s="206" t="str">
        <v/>
      </c>
    </row>
    <row r="5586" spans="1:13" ht="14.4">
      <c r="A5586" s="201"/>
      <c r="B5586" s="209"/>
      <c r="C5586" s="201"/>
      <c r="D5586" s="201"/>
      <c r="E5586" s="202"/>
      <c r="F5586" s="210"/>
      <c r="G5586" s="210"/>
      <c r="H5586" s="206" t="s">
        <v>121</v>
      </c>
      <c r="I5586" s="206" t="s">
        <v>121</v>
      </c>
      <c r="J5586" s="206" t="s">
        <v>121</v>
      </c>
      <c r="K5586" s="206" t="s">
        <v>121</v>
      </c>
      <c r="L5586" s="206" t="str">
        <v/>
      </c>
      <c r="M5586" s="206" t="str">
        <v/>
      </c>
    </row>
    <row r="5587" spans="1:13" ht="14.4">
      <c r="A5587" s="201"/>
      <c r="B5587" s="209"/>
      <c r="C5587" s="201"/>
      <c r="D5587" s="201"/>
      <c r="E5587" s="202"/>
      <c r="F5587" s="210"/>
      <c r="G5587" s="210"/>
      <c r="H5587" s="206" t="s">
        <v>121</v>
      </c>
      <c r="I5587" s="206" t="s">
        <v>121</v>
      </c>
      <c r="J5587" s="206" t="s">
        <v>121</v>
      </c>
      <c r="K5587" s="206" t="s">
        <v>121</v>
      </c>
      <c r="L5587" s="206" t="str">
        <v/>
      </c>
      <c r="M5587" s="206" t="str">
        <v/>
      </c>
    </row>
    <row r="5588" spans="1:13" ht="14.4">
      <c r="A5588" s="201"/>
      <c r="B5588" s="209"/>
      <c r="C5588" s="201"/>
      <c r="D5588" s="201"/>
      <c r="E5588" s="202"/>
      <c r="F5588" s="210"/>
      <c r="G5588" s="210"/>
      <c r="H5588" s="206" t="s">
        <v>121</v>
      </c>
      <c r="I5588" s="206" t="s">
        <v>121</v>
      </c>
      <c r="J5588" s="206" t="s">
        <v>121</v>
      </c>
      <c r="K5588" s="206" t="s">
        <v>121</v>
      </c>
      <c r="L5588" s="206" t="str">
        <v/>
      </c>
      <c r="M5588" s="206" t="str">
        <v/>
      </c>
    </row>
    <row r="5589" spans="1:13" ht="14.4">
      <c r="A5589" s="201"/>
      <c r="B5589" s="209"/>
      <c r="C5589" s="201"/>
      <c r="D5589" s="201"/>
      <c r="E5589" s="202"/>
      <c r="F5589" s="210"/>
      <c r="G5589" s="210"/>
      <c r="H5589" s="206" t="s">
        <v>121</v>
      </c>
      <c r="I5589" s="206" t="s">
        <v>121</v>
      </c>
      <c r="J5589" s="206" t="s">
        <v>121</v>
      </c>
      <c r="K5589" s="206" t="s">
        <v>121</v>
      </c>
      <c r="L5589" s="206" t="str">
        <v/>
      </c>
      <c r="M5589" s="206" t="str">
        <v/>
      </c>
    </row>
    <row r="5590" spans="1:13" ht="14.4">
      <c r="A5590" s="201"/>
      <c r="B5590" s="209"/>
      <c r="C5590" s="201"/>
      <c r="D5590" s="201"/>
      <c r="E5590" s="202"/>
      <c r="F5590" s="210"/>
      <c r="G5590" s="210"/>
      <c r="H5590" s="206" t="s">
        <v>121</v>
      </c>
      <c r="I5590" s="206" t="s">
        <v>121</v>
      </c>
      <c r="J5590" s="206" t="s">
        <v>121</v>
      </c>
      <c r="K5590" s="206" t="s">
        <v>121</v>
      </c>
      <c r="L5590" s="206" t="str">
        <v/>
      </c>
      <c r="M5590" s="206" t="str">
        <v/>
      </c>
    </row>
    <row r="5591" spans="1:13" ht="14.4">
      <c r="A5591" s="201"/>
      <c r="B5591" s="209"/>
      <c r="C5591" s="201"/>
      <c r="D5591" s="201"/>
      <c r="E5591" s="202"/>
      <c r="F5591" s="210"/>
      <c r="G5591" s="210"/>
      <c r="H5591" s="206" t="s">
        <v>121</v>
      </c>
      <c r="I5591" s="206" t="s">
        <v>121</v>
      </c>
      <c r="J5591" s="206" t="s">
        <v>121</v>
      </c>
      <c r="K5591" s="206" t="s">
        <v>121</v>
      </c>
      <c r="L5591" s="206" t="str">
        <v/>
      </c>
      <c r="M5591" s="206" t="str">
        <v/>
      </c>
    </row>
    <row r="5592" spans="1:13" ht="14.4">
      <c r="A5592" s="201"/>
      <c r="B5592" s="209"/>
      <c r="C5592" s="201"/>
      <c r="D5592" s="201"/>
      <c r="E5592" s="202"/>
      <c r="F5592" s="210"/>
      <c r="G5592" s="210"/>
      <c r="H5592" s="206" t="s">
        <v>121</v>
      </c>
      <c r="I5592" s="206" t="s">
        <v>121</v>
      </c>
      <c r="J5592" s="206" t="s">
        <v>121</v>
      </c>
      <c r="K5592" s="206" t="s">
        <v>121</v>
      </c>
      <c r="L5592" s="206" t="str">
        <v/>
      </c>
      <c r="M5592" s="206" t="str">
        <v/>
      </c>
    </row>
    <row r="5593" spans="1:13" ht="14.4">
      <c r="A5593" s="201"/>
      <c r="B5593" s="209"/>
      <c r="C5593" s="201"/>
      <c r="D5593" s="201"/>
      <c r="E5593" s="202"/>
      <c r="F5593" s="210"/>
      <c r="G5593" s="210"/>
      <c r="H5593" s="206" t="s">
        <v>121</v>
      </c>
      <c r="I5593" s="206" t="s">
        <v>121</v>
      </c>
      <c r="J5593" s="206" t="s">
        <v>121</v>
      </c>
      <c r="K5593" s="206" t="s">
        <v>121</v>
      </c>
      <c r="L5593" s="206" t="str">
        <v/>
      </c>
      <c r="M5593" s="206" t="str">
        <v/>
      </c>
    </row>
    <row r="5594" spans="1:13" ht="14.4">
      <c r="A5594" s="201"/>
      <c r="B5594" s="209"/>
      <c r="C5594" s="201"/>
      <c r="D5594" s="201"/>
      <c r="E5594" s="202"/>
      <c r="F5594" s="210"/>
      <c r="G5594" s="210"/>
      <c r="H5594" s="206" t="s">
        <v>121</v>
      </c>
      <c r="I5594" s="206" t="s">
        <v>121</v>
      </c>
      <c r="J5594" s="206" t="s">
        <v>121</v>
      </c>
      <c r="K5594" s="206" t="s">
        <v>121</v>
      </c>
      <c r="L5594" s="206" t="str">
        <v/>
      </c>
      <c r="M5594" s="206" t="str">
        <v/>
      </c>
    </row>
    <row r="5595" spans="1:13" ht="14.4">
      <c r="A5595" s="201"/>
      <c r="B5595" s="209"/>
      <c r="C5595" s="201"/>
      <c r="D5595" s="201"/>
      <c r="E5595" s="202"/>
      <c r="F5595" s="210"/>
      <c r="G5595" s="210"/>
      <c r="H5595" s="206" t="s">
        <v>121</v>
      </c>
      <c r="I5595" s="206" t="s">
        <v>121</v>
      </c>
      <c r="J5595" s="206" t="s">
        <v>121</v>
      </c>
      <c r="K5595" s="206" t="s">
        <v>121</v>
      </c>
      <c r="L5595" s="206" t="str">
        <v/>
      </c>
      <c r="M5595" s="206" t="str">
        <v/>
      </c>
    </row>
    <row r="5596" spans="1:13" ht="14.4">
      <c r="A5596" s="201"/>
      <c r="B5596" s="209"/>
      <c r="C5596" s="201"/>
      <c r="D5596" s="201"/>
      <c r="E5596" s="202"/>
      <c r="F5596" s="210"/>
      <c r="G5596" s="210"/>
      <c r="H5596" s="206" t="s">
        <v>121</v>
      </c>
      <c r="I5596" s="206" t="s">
        <v>121</v>
      </c>
      <c r="J5596" s="206" t="s">
        <v>121</v>
      </c>
      <c r="K5596" s="206" t="s">
        <v>121</v>
      </c>
      <c r="L5596" s="206" t="str">
        <v/>
      </c>
      <c r="M5596" s="206" t="str">
        <v/>
      </c>
    </row>
    <row r="5597" spans="1:13" ht="14.4">
      <c r="A5597" s="201"/>
      <c r="B5597" s="209"/>
      <c r="C5597" s="201"/>
      <c r="D5597" s="201"/>
      <c r="E5597" s="202"/>
      <c r="F5597" s="210"/>
      <c r="G5597" s="210"/>
      <c r="H5597" s="206" t="s">
        <v>121</v>
      </c>
      <c r="I5597" s="206" t="s">
        <v>121</v>
      </c>
      <c r="J5597" s="206" t="s">
        <v>121</v>
      </c>
      <c r="K5597" s="206" t="s">
        <v>121</v>
      </c>
      <c r="L5597" s="206" t="str">
        <v/>
      </c>
      <c r="M5597" s="206" t="str">
        <v/>
      </c>
    </row>
    <row r="5598" spans="1:13" ht="14.4">
      <c r="A5598" s="201"/>
      <c r="B5598" s="209"/>
      <c r="C5598" s="201"/>
      <c r="D5598" s="201"/>
      <c r="E5598" s="202"/>
      <c r="F5598" s="210"/>
      <c r="G5598" s="210"/>
      <c r="H5598" s="206" t="s">
        <v>121</v>
      </c>
      <c r="I5598" s="206" t="s">
        <v>121</v>
      </c>
      <c r="J5598" s="206" t="s">
        <v>121</v>
      </c>
      <c r="K5598" s="206" t="s">
        <v>121</v>
      </c>
      <c r="L5598" s="206" t="str">
        <v/>
      </c>
      <c r="M5598" s="206" t="str">
        <v/>
      </c>
    </row>
    <row r="5599" spans="1:13" ht="14.4">
      <c r="A5599" s="201"/>
      <c r="B5599" s="209"/>
      <c r="C5599" s="201"/>
      <c r="D5599" s="201"/>
      <c r="E5599" s="202"/>
      <c r="F5599" s="210"/>
      <c r="G5599" s="210"/>
      <c r="H5599" s="206" t="s">
        <v>121</v>
      </c>
      <c r="I5599" s="206" t="s">
        <v>121</v>
      </c>
      <c r="J5599" s="206" t="s">
        <v>121</v>
      </c>
      <c r="K5599" s="206" t="s">
        <v>121</v>
      </c>
      <c r="L5599" s="206" t="str">
        <v/>
      </c>
      <c r="M5599" s="206" t="str">
        <v/>
      </c>
    </row>
    <row r="5600" spans="1:13" ht="14.4">
      <c r="A5600" s="201"/>
      <c r="B5600" s="209"/>
      <c r="C5600" s="201"/>
      <c r="D5600" s="201"/>
      <c r="E5600" s="202"/>
      <c r="F5600" s="210"/>
      <c r="G5600" s="210"/>
      <c r="H5600" s="206" t="s">
        <v>121</v>
      </c>
      <c r="I5600" s="206" t="s">
        <v>121</v>
      </c>
      <c r="J5600" s="206" t="s">
        <v>121</v>
      </c>
      <c r="K5600" s="206" t="s">
        <v>121</v>
      </c>
      <c r="L5600" s="206" t="str">
        <v/>
      </c>
      <c r="M5600" s="206" t="str">
        <v/>
      </c>
    </row>
    <row r="5601" spans="1:13" ht="14.4">
      <c r="A5601" s="201"/>
      <c r="B5601" s="209"/>
      <c r="C5601" s="201"/>
      <c r="D5601" s="201"/>
      <c r="E5601" s="202"/>
      <c r="F5601" s="210"/>
      <c r="G5601" s="210"/>
      <c r="H5601" s="206" t="s">
        <v>121</v>
      </c>
      <c r="I5601" s="206" t="s">
        <v>121</v>
      </c>
      <c r="J5601" s="206" t="s">
        <v>121</v>
      </c>
      <c r="K5601" s="206" t="s">
        <v>121</v>
      </c>
      <c r="L5601" s="206" t="str">
        <v/>
      </c>
      <c r="M5601" s="206" t="str">
        <v/>
      </c>
    </row>
    <row r="5602" spans="1:13" ht="14.4">
      <c r="A5602" s="201"/>
      <c r="B5602" s="209"/>
      <c r="C5602" s="201"/>
      <c r="D5602" s="201"/>
      <c r="E5602" s="202"/>
      <c r="F5602" s="210"/>
      <c r="G5602" s="210"/>
      <c r="H5602" s="206" t="s">
        <v>121</v>
      </c>
      <c r="I5602" s="206" t="s">
        <v>121</v>
      </c>
      <c r="J5602" s="206" t="s">
        <v>121</v>
      </c>
      <c r="K5602" s="206" t="s">
        <v>121</v>
      </c>
      <c r="L5602" s="206" t="str">
        <v/>
      </c>
      <c r="M5602" s="206" t="str">
        <v/>
      </c>
    </row>
    <row r="5603" spans="1:13" ht="14.4">
      <c r="A5603" s="201"/>
      <c r="B5603" s="209"/>
      <c r="C5603" s="201"/>
      <c r="D5603" s="201"/>
      <c r="E5603" s="202"/>
      <c r="F5603" s="210"/>
      <c r="G5603" s="210"/>
      <c r="H5603" s="206" t="s">
        <v>121</v>
      </c>
      <c r="I5603" s="206" t="s">
        <v>121</v>
      </c>
      <c r="J5603" s="206" t="s">
        <v>121</v>
      </c>
      <c r="K5603" s="206" t="s">
        <v>121</v>
      </c>
      <c r="L5603" s="206" t="str">
        <v/>
      </c>
      <c r="M5603" s="206" t="str">
        <v/>
      </c>
    </row>
    <row r="5604" spans="1:13" ht="14.4">
      <c r="A5604" s="201"/>
      <c r="B5604" s="209"/>
      <c r="C5604" s="201"/>
      <c r="D5604" s="201"/>
      <c r="E5604" s="202"/>
      <c r="F5604" s="210"/>
      <c r="G5604" s="210"/>
      <c r="H5604" s="206" t="s">
        <v>121</v>
      </c>
      <c r="I5604" s="206" t="s">
        <v>121</v>
      </c>
      <c r="J5604" s="206" t="s">
        <v>121</v>
      </c>
      <c r="K5604" s="206" t="s">
        <v>121</v>
      </c>
      <c r="L5604" s="206" t="str">
        <v/>
      </c>
      <c r="M5604" s="206" t="str">
        <v/>
      </c>
    </row>
    <row r="5605" spans="1:13" ht="14.4">
      <c r="A5605" s="201"/>
      <c r="B5605" s="209"/>
      <c r="C5605" s="201"/>
      <c r="D5605" s="201"/>
      <c r="E5605" s="202"/>
      <c r="F5605" s="210"/>
      <c r="G5605" s="210"/>
      <c r="H5605" s="206" t="s">
        <v>121</v>
      </c>
      <c r="I5605" s="206" t="s">
        <v>121</v>
      </c>
      <c r="J5605" s="206" t="s">
        <v>121</v>
      </c>
      <c r="K5605" s="206" t="s">
        <v>121</v>
      </c>
      <c r="L5605" s="206" t="str">
        <v/>
      </c>
      <c r="M5605" s="206" t="str">
        <v/>
      </c>
    </row>
    <row r="5606" spans="1:13" ht="14.4">
      <c r="A5606" s="201"/>
      <c r="B5606" s="209"/>
      <c r="C5606" s="201"/>
      <c r="D5606" s="201"/>
      <c r="E5606" s="202"/>
      <c r="F5606" s="210"/>
      <c r="G5606" s="210"/>
      <c r="H5606" s="206" t="s">
        <v>121</v>
      </c>
      <c r="I5606" s="206" t="s">
        <v>121</v>
      </c>
      <c r="J5606" s="206" t="s">
        <v>121</v>
      </c>
      <c r="K5606" s="206" t="s">
        <v>121</v>
      </c>
      <c r="L5606" s="206" t="str">
        <v/>
      </c>
      <c r="M5606" s="206" t="str">
        <v/>
      </c>
    </row>
    <row r="5607" spans="1:13" ht="14.4">
      <c r="A5607" s="201"/>
      <c r="B5607" s="209"/>
      <c r="C5607" s="201"/>
      <c r="D5607" s="201"/>
      <c r="E5607" s="202"/>
      <c r="F5607" s="210"/>
      <c r="G5607" s="210"/>
      <c r="H5607" s="206" t="s">
        <v>121</v>
      </c>
      <c r="I5607" s="206" t="s">
        <v>121</v>
      </c>
      <c r="J5607" s="206" t="s">
        <v>121</v>
      </c>
      <c r="K5607" s="206" t="s">
        <v>121</v>
      </c>
      <c r="L5607" s="206" t="str">
        <v/>
      </c>
      <c r="M5607" s="206" t="str">
        <v/>
      </c>
    </row>
    <row r="5608" spans="1:13" ht="14.4">
      <c r="A5608" s="201"/>
      <c r="B5608" s="209"/>
      <c r="C5608" s="201"/>
      <c r="D5608" s="201"/>
      <c r="E5608" s="202"/>
      <c r="F5608" s="210"/>
      <c r="G5608" s="210"/>
      <c r="H5608" s="206" t="s">
        <v>121</v>
      </c>
      <c r="I5608" s="206" t="s">
        <v>121</v>
      </c>
      <c r="J5608" s="206" t="s">
        <v>121</v>
      </c>
      <c r="K5608" s="206" t="s">
        <v>121</v>
      </c>
      <c r="L5608" s="206" t="str">
        <v/>
      </c>
      <c r="M5608" s="206" t="str">
        <v/>
      </c>
    </row>
    <row r="5609" spans="1:13" ht="14.4">
      <c r="A5609" s="201"/>
      <c r="B5609" s="209"/>
      <c r="C5609" s="201"/>
      <c r="D5609" s="201"/>
      <c r="E5609" s="202"/>
      <c r="F5609" s="210"/>
      <c r="G5609" s="210"/>
      <c r="H5609" s="206" t="s">
        <v>121</v>
      </c>
      <c r="I5609" s="206" t="s">
        <v>121</v>
      </c>
      <c r="J5609" s="206" t="s">
        <v>121</v>
      </c>
      <c r="K5609" s="206" t="s">
        <v>121</v>
      </c>
      <c r="L5609" s="206" t="str">
        <v/>
      </c>
      <c r="M5609" s="206" t="str">
        <v/>
      </c>
    </row>
    <row r="5610" spans="1:13" ht="14.4">
      <c r="A5610" s="201"/>
      <c r="B5610" s="209"/>
      <c r="C5610" s="201"/>
      <c r="D5610" s="201"/>
      <c r="E5610" s="202"/>
      <c r="F5610" s="210"/>
      <c r="G5610" s="210"/>
      <c r="H5610" s="206" t="s">
        <v>121</v>
      </c>
      <c r="I5610" s="206" t="s">
        <v>121</v>
      </c>
      <c r="J5610" s="206" t="s">
        <v>121</v>
      </c>
      <c r="K5610" s="206" t="s">
        <v>121</v>
      </c>
      <c r="L5610" s="206" t="str">
        <v/>
      </c>
      <c r="M5610" s="206" t="str">
        <v/>
      </c>
    </row>
    <row r="5611" spans="1:13" ht="14.4">
      <c r="A5611" s="201"/>
      <c r="B5611" s="209"/>
      <c r="C5611" s="201"/>
      <c r="D5611" s="201"/>
      <c r="E5611" s="202"/>
      <c r="F5611" s="210"/>
      <c r="G5611" s="210"/>
      <c r="H5611" s="206" t="s">
        <v>121</v>
      </c>
      <c r="I5611" s="206" t="s">
        <v>121</v>
      </c>
      <c r="J5611" s="206" t="s">
        <v>121</v>
      </c>
      <c r="K5611" s="206" t="s">
        <v>121</v>
      </c>
      <c r="L5611" s="206" t="str">
        <v/>
      </c>
      <c r="M5611" s="206" t="str">
        <v/>
      </c>
    </row>
    <row r="5612" spans="1:13" ht="14.4">
      <c r="A5612" s="201"/>
      <c r="B5612" s="209"/>
      <c r="C5612" s="201"/>
      <c r="D5612" s="201"/>
      <c r="E5612" s="202"/>
      <c r="F5612" s="210"/>
      <c r="G5612" s="210"/>
      <c r="H5612" s="206" t="s">
        <v>121</v>
      </c>
      <c r="I5612" s="206" t="s">
        <v>121</v>
      </c>
      <c r="J5612" s="206" t="s">
        <v>121</v>
      </c>
      <c r="K5612" s="206" t="s">
        <v>121</v>
      </c>
      <c r="L5612" s="206" t="str">
        <v/>
      </c>
      <c r="M5612" s="206" t="str">
        <v/>
      </c>
    </row>
    <row r="5613" spans="1:13" ht="14.4">
      <c r="A5613" s="201"/>
      <c r="B5613" s="209"/>
      <c r="C5613" s="201"/>
      <c r="D5613" s="201"/>
      <c r="E5613" s="202"/>
      <c r="F5613" s="210"/>
      <c r="G5613" s="210"/>
      <c r="H5613" s="206" t="s">
        <v>121</v>
      </c>
      <c r="I5613" s="206" t="s">
        <v>121</v>
      </c>
      <c r="J5613" s="206" t="s">
        <v>121</v>
      </c>
      <c r="K5613" s="206" t="s">
        <v>121</v>
      </c>
      <c r="L5613" s="206" t="str">
        <v/>
      </c>
      <c r="M5613" s="206" t="str">
        <v/>
      </c>
    </row>
    <row r="5614" spans="1:13" ht="14.4">
      <c r="A5614" s="201"/>
      <c r="B5614" s="209"/>
      <c r="C5614" s="201"/>
      <c r="D5614" s="201"/>
      <c r="E5614" s="202"/>
      <c r="F5614" s="210"/>
      <c r="G5614" s="210"/>
      <c r="H5614" s="206" t="s">
        <v>121</v>
      </c>
      <c r="I5614" s="206" t="s">
        <v>121</v>
      </c>
      <c r="J5614" s="206" t="s">
        <v>121</v>
      </c>
      <c r="K5614" s="206" t="s">
        <v>121</v>
      </c>
      <c r="L5614" s="206" t="str">
        <v/>
      </c>
      <c r="M5614" s="206" t="str">
        <v/>
      </c>
    </row>
    <row r="5615" spans="1:13" ht="14.4">
      <c r="A5615" s="201"/>
      <c r="B5615" s="209"/>
      <c r="C5615" s="201"/>
      <c r="D5615" s="201"/>
      <c r="E5615" s="202"/>
      <c r="F5615" s="210"/>
      <c r="G5615" s="210"/>
      <c r="H5615" s="206" t="s">
        <v>121</v>
      </c>
      <c r="I5615" s="206" t="s">
        <v>121</v>
      </c>
      <c r="J5615" s="206" t="s">
        <v>121</v>
      </c>
      <c r="K5615" s="206" t="s">
        <v>121</v>
      </c>
      <c r="L5615" s="206" t="str">
        <v/>
      </c>
      <c r="M5615" s="206" t="str">
        <v/>
      </c>
    </row>
    <row r="5616" spans="1:13" ht="14.4">
      <c r="A5616" s="201"/>
      <c r="B5616" s="209"/>
      <c r="C5616" s="201"/>
      <c r="D5616" s="201"/>
      <c r="E5616" s="202"/>
      <c r="F5616" s="210"/>
      <c r="G5616" s="210"/>
      <c r="H5616" s="206" t="s">
        <v>121</v>
      </c>
      <c r="I5616" s="206" t="s">
        <v>121</v>
      </c>
      <c r="J5616" s="206" t="s">
        <v>121</v>
      </c>
      <c r="K5616" s="206" t="s">
        <v>121</v>
      </c>
      <c r="L5616" s="206" t="str">
        <v/>
      </c>
      <c r="M5616" s="206" t="str">
        <v/>
      </c>
    </row>
    <row r="5617" spans="1:13" ht="14.4">
      <c r="A5617" s="201"/>
      <c r="B5617" s="209"/>
      <c r="C5617" s="201"/>
      <c r="D5617" s="201"/>
      <c r="E5617" s="202"/>
      <c r="F5617" s="210"/>
      <c r="G5617" s="210"/>
      <c r="H5617" s="206" t="s">
        <v>121</v>
      </c>
      <c r="I5617" s="206" t="s">
        <v>121</v>
      </c>
      <c r="J5617" s="206" t="s">
        <v>121</v>
      </c>
      <c r="K5617" s="206" t="s">
        <v>121</v>
      </c>
      <c r="L5617" s="206" t="str">
        <v/>
      </c>
      <c r="M5617" s="206" t="str">
        <v/>
      </c>
    </row>
    <row r="5618" spans="1:13" ht="14.4">
      <c r="A5618" s="201"/>
      <c r="B5618" s="209"/>
      <c r="C5618" s="201"/>
      <c r="D5618" s="201"/>
      <c r="E5618" s="202"/>
      <c r="F5618" s="210"/>
      <c r="G5618" s="210"/>
      <c r="H5618" s="206" t="s">
        <v>121</v>
      </c>
      <c r="I5618" s="206" t="s">
        <v>121</v>
      </c>
      <c r="J5618" s="206" t="s">
        <v>121</v>
      </c>
      <c r="K5618" s="206" t="s">
        <v>121</v>
      </c>
      <c r="L5618" s="206" t="str">
        <v/>
      </c>
      <c r="M5618" s="206" t="str">
        <v/>
      </c>
    </row>
    <row r="5619" spans="1:13" ht="14.4">
      <c r="A5619" s="201"/>
      <c r="B5619" s="209"/>
      <c r="C5619" s="201"/>
      <c r="D5619" s="201"/>
      <c r="E5619" s="202"/>
      <c r="F5619" s="210"/>
      <c r="G5619" s="210"/>
      <c r="H5619" s="206" t="s">
        <v>121</v>
      </c>
      <c r="I5619" s="206" t="s">
        <v>121</v>
      </c>
      <c r="J5619" s="206" t="s">
        <v>121</v>
      </c>
      <c r="K5619" s="206" t="s">
        <v>121</v>
      </c>
      <c r="L5619" s="206" t="str">
        <v/>
      </c>
      <c r="M5619" s="206" t="str">
        <v/>
      </c>
    </row>
    <row r="5620" spans="1:13" ht="14.4">
      <c r="A5620" s="201"/>
      <c r="B5620" s="209"/>
      <c r="C5620" s="201"/>
      <c r="D5620" s="201"/>
      <c r="E5620" s="202"/>
      <c r="F5620" s="210"/>
      <c r="G5620" s="210"/>
      <c r="H5620" s="206" t="s">
        <v>121</v>
      </c>
      <c r="I5620" s="206" t="s">
        <v>121</v>
      </c>
      <c r="J5620" s="206" t="s">
        <v>121</v>
      </c>
      <c r="K5620" s="206" t="s">
        <v>121</v>
      </c>
      <c r="L5620" s="206" t="str">
        <v/>
      </c>
      <c r="M5620" s="206" t="str">
        <v/>
      </c>
    </row>
    <row r="5621" spans="1:13" ht="14.4">
      <c r="A5621" s="201"/>
      <c r="B5621" s="209"/>
      <c r="C5621" s="201"/>
      <c r="D5621" s="201"/>
      <c r="E5621" s="202"/>
      <c r="F5621" s="210"/>
      <c r="G5621" s="210"/>
      <c r="H5621" s="206" t="s">
        <v>121</v>
      </c>
      <c r="I5621" s="206" t="s">
        <v>121</v>
      </c>
      <c r="J5621" s="206" t="s">
        <v>121</v>
      </c>
      <c r="K5621" s="206" t="s">
        <v>121</v>
      </c>
      <c r="L5621" s="206" t="str">
        <v/>
      </c>
      <c r="M5621" s="206" t="str">
        <v/>
      </c>
    </row>
    <row r="5622" spans="1:13" ht="14.4">
      <c r="A5622" s="201"/>
      <c r="B5622" s="209"/>
      <c r="C5622" s="201"/>
      <c r="D5622" s="201"/>
      <c r="E5622" s="202"/>
      <c r="F5622" s="210"/>
      <c r="G5622" s="210"/>
      <c r="H5622" s="206" t="s">
        <v>121</v>
      </c>
      <c r="I5622" s="206" t="s">
        <v>121</v>
      </c>
      <c r="J5622" s="206" t="s">
        <v>121</v>
      </c>
      <c r="K5622" s="206" t="s">
        <v>121</v>
      </c>
      <c r="L5622" s="206" t="str">
        <v/>
      </c>
      <c r="M5622" s="206" t="str">
        <v/>
      </c>
    </row>
    <row r="5623" spans="1:13" ht="14.4">
      <c r="A5623" s="201"/>
      <c r="B5623" s="209"/>
      <c r="C5623" s="201"/>
      <c r="D5623" s="201"/>
      <c r="E5623" s="202"/>
      <c r="F5623" s="210"/>
      <c r="G5623" s="210"/>
      <c r="H5623" s="206" t="s">
        <v>121</v>
      </c>
      <c r="I5623" s="206" t="s">
        <v>121</v>
      </c>
      <c r="J5623" s="206" t="s">
        <v>121</v>
      </c>
      <c r="K5623" s="206" t="s">
        <v>121</v>
      </c>
      <c r="L5623" s="206" t="str">
        <v/>
      </c>
      <c r="M5623" s="206" t="str">
        <v/>
      </c>
    </row>
    <row r="5624" spans="1:13" ht="14.4">
      <c r="A5624" s="201"/>
      <c r="B5624" s="209"/>
      <c r="C5624" s="201"/>
      <c r="D5624" s="201"/>
      <c r="E5624" s="202"/>
      <c r="F5624" s="210"/>
      <c r="G5624" s="210"/>
      <c r="H5624" s="206" t="s">
        <v>121</v>
      </c>
      <c r="I5624" s="206" t="s">
        <v>121</v>
      </c>
      <c r="J5624" s="206" t="s">
        <v>121</v>
      </c>
      <c r="K5624" s="206" t="s">
        <v>121</v>
      </c>
      <c r="L5624" s="206" t="str">
        <v/>
      </c>
      <c r="M5624" s="206" t="str">
        <v/>
      </c>
    </row>
    <row r="5625" spans="1:13" ht="14.4">
      <c r="A5625" s="201"/>
      <c r="B5625" s="209"/>
      <c r="C5625" s="201"/>
      <c r="D5625" s="201"/>
      <c r="E5625" s="202"/>
      <c r="F5625" s="210"/>
      <c r="G5625" s="210"/>
      <c r="H5625" s="206" t="s">
        <v>121</v>
      </c>
      <c r="I5625" s="206" t="s">
        <v>121</v>
      </c>
      <c r="J5625" s="206" t="s">
        <v>121</v>
      </c>
      <c r="K5625" s="206" t="s">
        <v>121</v>
      </c>
      <c r="L5625" s="206" t="str">
        <v/>
      </c>
      <c r="M5625" s="206" t="str">
        <v/>
      </c>
    </row>
    <row r="5626" spans="1:13" ht="14.4">
      <c r="A5626" s="201"/>
      <c r="B5626" s="209"/>
      <c r="C5626" s="201"/>
      <c r="D5626" s="201"/>
      <c r="E5626" s="202"/>
      <c r="F5626" s="210"/>
      <c r="G5626" s="210"/>
      <c r="H5626" s="206" t="s">
        <v>121</v>
      </c>
      <c r="I5626" s="206" t="s">
        <v>121</v>
      </c>
      <c r="J5626" s="206" t="s">
        <v>121</v>
      </c>
      <c r="K5626" s="206" t="s">
        <v>121</v>
      </c>
      <c r="L5626" s="206" t="str">
        <v/>
      </c>
      <c r="M5626" s="206" t="str">
        <v/>
      </c>
    </row>
    <row r="5627" spans="1:13" ht="14.4">
      <c r="A5627" s="201"/>
      <c r="B5627" s="209"/>
      <c r="C5627" s="201"/>
      <c r="D5627" s="201"/>
      <c r="E5627" s="202"/>
      <c r="F5627" s="210"/>
      <c r="G5627" s="210"/>
      <c r="H5627" s="206" t="s">
        <v>121</v>
      </c>
      <c r="I5627" s="206" t="s">
        <v>121</v>
      </c>
      <c r="J5627" s="206" t="s">
        <v>121</v>
      </c>
      <c r="K5627" s="206" t="s">
        <v>121</v>
      </c>
      <c r="L5627" s="206" t="str">
        <v/>
      </c>
      <c r="M5627" s="206" t="str">
        <v/>
      </c>
    </row>
    <row r="5628" spans="1:13" ht="14.4">
      <c r="A5628" s="201"/>
      <c r="B5628" s="209"/>
      <c r="C5628" s="201"/>
      <c r="D5628" s="201"/>
      <c r="E5628" s="202"/>
      <c r="F5628" s="210"/>
      <c r="G5628" s="210"/>
      <c r="H5628" s="206" t="s">
        <v>121</v>
      </c>
      <c r="I5628" s="206" t="s">
        <v>121</v>
      </c>
      <c r="J5628" s="206" t="s">
        <v>121</v>
      </c>
      <c r="K5628" s="206" t="s">
        <v>121</v>
      </c>
      <c r="L5628" s="206" t="str">
        <v/>
      </c>
      <c r="M5628" s="206" t="str">
        <v/>
      </c>
    </row>
    <row r="5629" spans="1:13" ht="14.4">
      <c r="A5629" s="201"/>
      <c r="B5629" s="209"/>
      <c r="C5629" s="201"/>
      <c r="D5629" s="201"/>
      <c r="E5629" s="202"/>
      <c r="F5629" s="210"/>
      <c r="G5629" s="210"/>
      <c r="H5629" s="206" t="s">
        <v>121</v>
      </c>
      <c r="I5629" s="206" t="s">
        <v>121</v>
      </c>
      <c r="J5629" s="206" t="s">
        <v>121</v>
      </c>
      <c r="K5629" s="206" t="s">
        <v>121</v>
      </c>
      <c r="L5629" s="206" t="str">
        <v/>
      </c>
      <c r="M5629" s="206" t="str">
        <v/>
      </c>
    </row>
    <row r="5630" spans="1:13" ht="14.4">
      <c r="A5630" s="201"/>
      <c r="B5630" s="209"/>
      <c r="C5630" s="201"/>
      <c r="D5630" s="201"/>
      <c r="E5630" s="202"/>
      <c r="F5630" s="210"/>
      <c r="G5630" s="210"/>
      <c r="H5630" s="206" t="s">
        <v>121</v>
      </c>
      <c r="I5630" s="206" t="s">
        <v>121</v>
      </c>
      <c r="J5630" s="206" t="s">
        <v>121</v>
      </c>
      <c r="K5630" s="206" t="s">
        <v>121</v>
      </c>
      <c r="L5630" s="206" t="str">
        <v/>
      </c>
      <c r="M5630" s="206" t="str">
        <v/>
      </c>
    </row>
    <row r="5631" spans="1:13" ht="14.4">
      <c r="A5631" s="201"/>
      <c r="B5631" s="209"/>
      <c r="C5631" s="201"/>
      <c r="D5631" s="201"/>
      <c r="E5631" s="202"/>
      <c r="F5631" s="210"/>
      <c r="G5631" s="210"/>
      <c r="H5631" s="206" t="s">
        <v>121</v>
      </c>
      <c r="I5631" s="206" t="s">
        <v>121</v>
      </c>
      <c r="J5631" s="206" t="s">
        <v>121</v>
      </c>
      <c r="K5631" s="206" t="s">
        <v>121</v>
      </c>
      <c r="L5631" s="206" t="str">
        <v/>
      </c>
      <c r="M5631" s="206" t="str">
        <v/>
      </c>
    </row>
    <row r="5632" spans="1:13" ht="14.4">
      <c r="A5632" s="201"/>
      <c r="B5632" s="209"/>
      <c r="C5632" s="201"/>
      <c r="D5632" s="201"/>
      <c r="E5632" s="202"/>
      <c r="F5632" s="210"/>
      <c r="G5632" s="210"/>
      <c r="H5632" s="206" t="s">
        <v>121</v>
      </c>
      <c r="I5632" s="206" t="s">
        <v>121</v>
      </c>
      <c r="J5632" s="206" t="s">
        <v>121</v>
      </c>
      <c r="K5632" s="206" t="s">
        <v>121</v>
      </c>
      <c r="L5632" s="206" t="str">
        <v/>
      </c>
      <c r="M5632" s="206" t="str">
        <v/>
      </c>
    </row>
    <row r="5633" spans="1:13" ht="14.4">
      <c r="A5633" s="201"/>
      <c r="B5633" s="209"/>
      <c r="C5633" s="201"/>
      <c r="D5633" s="201"/>
      <c r="E5633" s="202"/>
      <c r="F5633" s="210"/>
      <c r="G5633" s="210"/>
      <c r="H5633" s="206" t="s">
        <v>121</v>
      </c>
      <c r="I5633" s="206" t="s">
        <v>121</v>
      </c>
      <c r="J5633" s="206" t="s">
        <v>121</v>
      </c>
      <c r="K5633" s="206" t="s">
        <v>121</v>
      </c>
      <c r="L5633" s="206" t="str">
        <v/>
      </c>
      <c r="M5633" s="206" t="str">
        <v/>
      </c>
    </row>
    <row r="5634" spans="1:13" ht="14.4">
      <c r="A5634" s="201"/>
      <c r="B5634" s="209"/>
      <c r="C5634" s="201"/>
      <c r="D5634" s="201"/>
      <c r="E5634" s="202"/>
      <c r="F5634" s="210"/>
      <c r="G5634" s="210"/>
      <c r="H5634" s="206" t="s">
        <v>121</v>
      </c>
      <c r="I5634" s="206" t="s">
        <v>121</v>
      </c>
      <c r="J5634" s="206" t="s">
        <v>121</v>
      </c>
      <c r="K5634" s="206" t="s">
        <v>121</v>
      </c>
      <c r="L5634" s="206" t="str">
        <v/>
      </c>
      <c r="M5634" s="206" t="str">
        <v/>
      </c>
    </row>
    <row r="5635" spans="1:13" ht="14.4">
      <c r="A5635" s="201"/>
      <c r="B5635" s="209"/>
      <c r="C5635" s="201"/>
      <c r="D5635" s="201"/>
      <c r="E5635" s="202"/>
      <c r="F5635" s="210"/>
      <c r="G5635" s="210"/>
      <c r="H5635" s="206" t="s">
        <v>121</v>
      </c>
      <c r="I5635" s="206" t="s">
        <v>121</v>
      </c>
      <c r="J5635" s="206" t="s">
        <v>121</v>
      </c>
      <c r="K5635" s="206" t="s">
        <v>121</v>
      </c>
      <c r="L5635" s="206" t="str">
        <v/>
      </c>
      <c r="M5635" s="206" t="str">
        <v/>
      </c>
    </row>
    <row r="5636" spans="1:13" ht="14.4">
      <c r="A5636" s="201"/>
      <c r="B5636" s="209"/>
      <c r="C5636" s="201"/>
      <c r="D5636" s="201"/>
      <c r="E5636" s="202"/>
      <c r="F5636" s="210"/>
      <c r="G5636" s="210"/>
      <c r="H5636" s="206" t="s">
        <v>121</v>
      </c>
      <c r="I5636" s="206" t="s">
        <v>121</v>
      </c>
      <c r="J5636" s="206" t="s">
        <v>121</v>
      </c>
      <c r="K5636" s="206" t="s">
        <v>121</v>
      </c>
      <c r="L5636" s="206" t="str">
        <v/>
      </c>
      <c r="M5636" s="206" t="str">
        <v/>
      </c>
    </row>
    <row r="5637" spans="1:13" ht="14.4">
      <c r="A5637" s="201"/>
      <c r="B5637" s="209"/>
      <c r="C5637" s="201"/>
      <c r="D5637" s="201"/>
      <c r="E5637" s="202"/>
      <c r="F5637" s="210"/>
      <c r="G5637" s="210"/>
      <c r="H5637" s="206" t="s">
        <v>121</v>
      </c>
      <c r="I5637" s="206" t="s">
        <v>121</v>
      </c>
      <c r="J5637" s="206" t="s">
        <v>121</v>
      </c>
      <c r="K5637" s="206" t="s">
        <v>121</v>
      </c>
      <c r="L5637" s="206" t="str">
        <v/>
      </c>
      <c r="M5637" s="206" t="str">
        <v/>
      </c>
    </row>
    <row r="5638" spans="1:13" ht="14.4">
      <c r="A5638" s="201"/>
      <c r="B5638" s="209"/>
      <c r="C5638" s="201"/>
      <c r="D5638" s="201"/>
      <c r="E5638" s="202"/>
      <c r="F5638" s="210"/>
      <c r="G5638" s="210"/>
      <c r="H5638" s="206" t="s">
        <v>121</v>
      </c>
      <c r="I5638" s="206" t="s">
        <v>121</v>
      </c>
      <c r="J5638" s="206" t="s">
        <v>121</v>
      </c>
      <c r="K5638" s="206" t="s">
        <v>121</v>
      </c>
      <c r="L5638" s="206" t="str">
        <v/>
      </c>
      <c r="M5638" s="206" t="str">
        <v/>
      </c>
    </row>
    <row r="5639" spans="1:13" ht="14.4">
      <c r="A5639" s="201"/>
      <c r="B5639" s="209"/>
      <c r="C5639" s="201"/>
      <c r="D5639" s="201"/>
      <c r="E5639" s="202"/>
      <c r="F5639" s="210"/>
      <c r="G5639" s="210"/>
      <c r="H5639" s="206" t="s">
        <v>121</v>
      </c>
      <c r="I5639" s="206" t="s">
        <v>121</v>
      </c>
      <c r="J5639" s="206" t="s">
        <v>121</v>
      </c>
      <c r="K5639" s="206" t="s">
        <v>121</v>
      </c>
      <c r="L5639" s="206" t="str">
        <v/>
      </c>
      <c r="M5639" s="206" t="str">
        <v/>
      </c>
    </row>
    <row r="5640" spans="1:13" ht="14.4">
      <c r="A5640" s="201"/>
      <c r="B5640" s="209"/>
      <c r="C5640" s="201"/>
      <c r="D5640" s="201"/>
      <c r="E5640" s="202"/>
      <c r="F5640" s="210"/>
      <c r="G5640" s="210"/>
      <c r="H5640" s="206" t="s">
        <v>121</v>
      </c>
      <c r="I5640" s="206" t="s">
        <v>121</v>
      </c>
      <c r="J5640" s="206" t="s">
        <v>121</v>
      </c>
      <c r="K5640" s="206" t="s">
        <v>121</v>
      </c>
      <c r="L5640" s="206" t="str">
        <v/>
      </c>
      <c r="M5640" s="206" t="str">
        <v/>
      </c>
    </row>
    <row r="5641" spans="1:13" ht="14.4">
      <c r="A5641" s="201"/>
      <c r="B5641" s="209"/>
      <c r="C5641" s="201"/>
      <c r="D5641" s="201"/>
      <c r="E5641" s="202"/>
      <c r="F5641" s="210"/>
      <c r="G5641" s="210"/>
      <c r="H5641" s="206" t="s">
        <v>121</v>
      </c>
      <c r="I5641" s="206" t="s">
        <v>121</v>
      </c>
      <c r="J5641" s="206" t="s">
        <v>121</v>
      </c>
      <c r="K5641" s="206" t="s">
        <v>121</v>
      </c>
      <c r="L5641" s="206" t="str">
        <v/>
      </c>
      <c r="M5641" s="206" t="str">
        <v/>
      </c>
    </row>
    <row r="5642" spans="1:13" ht="14.4">
      <c r="A5642" s="201"/>
      <c r="B5642" s="209"/>
      <c r="C5642" s="201"/>
      <c r="D5642" s="201"/>
      <c r="E5642" s="202"/>
      <c r="F5642" s="210"/>
      <c r="G5642" s="210"/>
      <c r="H5642" s="206" t="s">
        <v>121</v>
      </c>
      <c r="I5642" s="206" t="s">
        <v>121</v>
      </c>
      <c r="J5642" s="206" t="s">
        <v>121</v>
      </c>
      <c r="K5642" s="206" t="s">
        <v>121</v>
      </c>
      <c r="L5642" s="206" t="str">
        <v/>
      </c>
      <c r="M5642" s="206" t="str">
        <v/>
      </c>
    </row>
    <row r="5643" spans="1:13" ht="14.4">
      <c r="A5643" s="201"/>
      <c r="B5643" s="209"/>
      <c r="C5643" s="201"/>
      <c r="D5643" s="201"/>
      <c r="E5643" s="202"/>
      <c r="F5643" s="210"/>
      <c r="G5643" s="210"/>
      <c r="H5643" s="206" t="s">
        <v>121</v>
      </c>
      <c r="I5643" s="206" t="s">
        <v>121</v>
      </c>
      <c r="J5643" s="206" t="s">
        <v>121</v>
      </c>
      <c r="K5643" s="206" t="s">
        <v>121</v>
      </c>
      <c r="L5643" s="206" t="str">
        <v/>
      </c>
      <c r="M5643" s="206" t="str">
        <v/>
      </c>
    </row>
    <row r="5644" spans="1:13" ht="14.4">
      <c r="A5644" s="201"/>
      <c r="B5644" s="209"/>
      <c r="C5644" s="201"/>
      <c r="D5644" s="201"/>
      <c r="E5644" s="202"/>
      <c r="F5644" s="210"/>
      <c r="G5644" s="210"/>
      <c r="H5644" s="206" t="s">
        <v>121</v>
      </c>
      <c r="I5644" s="206" t="s">
        <v>121</v>
      </c>
      <c r="J5644" s="206" t="s">
        <v>121</v>
      </c>
      <c r="K5644" s="206" t="s">
        <v>121</v>
      </c>
      <c r="L5644" s="206" t="str">
        <v/>
      </c>
      <c r="M5644" s="206" t="str">
        <v/>
      </c>
    </row>
    <row r="5645" spans="1:13" ht="14.4">
      <c r="A5645" s="201"/>
      <c r="B5645" s="209"/>
      <c r="C5645" s="201"/>
      <c r="D5645" s="201"/>
      <c r="E5645" s="202"/>
      <c r="F5645" s="210"/>
      <c r="G5645" s="210"/>
      <c r="H5645" s="206" t="s">
        <v>121</v>
      </c>
      <c r="I5645" s="206" t="s">
        <v>121</v>
      </c>
      <c r="J5645" s="206" t="s">
        <v>121</v>
      </c>
      <c r="K5645" s="206" t="s">
        <v>121</v>
      </c>
      <c r="L5645" s="206" t="str">
        <v/>
      </c>
      <c r="M5645" s="206" t="str">
        <v/>
      </c>
    </row>
    <row r="5646" spans="1:13" ht="14.4">
      <c r="A5646" s="201"/>
      <c r="B5646" s="209"/>
      <c r="C5646" s="201"/>
      <c r="D5646" s="201"/>
      <c r="E5646" s="202"/>
      <c r="F5646" s="210"/>
      <c r="G5646" s="210"/>
      <c r="H5646" s="206" t="s">
        <v>121</v>
      </c>
      <c r="I5646" s="206" t="s">
        <v>121</v>
      </c>
      <c r="J5646" s="206" t="s">
        <v>121</v>
      </c>
      <c r="K5646" s="206" t="s">
        <v>121</v>
      </c>
      <c r="L5646" s="206" t="str">
        <v/>
      </c>
      <c r="M5646" s="206" t="str">
        <v/>
      </c>
    </row>
    <row r="5647" spans="1:13" ht="14.4">
      <c r="A5647" s="201"/>
      <c r="B5647" s="209"/>
      <c r="C5647" s="201"/>
      <c r="D5647" s="201"/>
      <c r="E5647" s="202"/>
      <c r="F5647" s="210"/>
      <c r="G5647" s="210"/>
      <c r="H5647" s="206" t="s">
        <v>121</v>
      </c>
      <c r="I5647" s="206" t="s">
        <v>121</v>
      </c>
      <c r="J5647" s="206" t="s">
        <v>121</v>
      </c>
      <c r="K5647" s="206" t="s">
        <v>121</v>
      </c>
      <c r="L5647" s="206" t="str">
        <v/>
      </c>
      <c r="M5647" s="206" t="str">
        <v/>
      </c>
    </row>
    <row r="5648" spans="1:13" ht="14.4">
      <c r="A5648" s="201"/>
      <c r="B5648" s="209"/>
      <c r="C5648" s="201"/>
      <c r="D5648" s="201"/>
      <c r="E5648" s="202"/>
      <c r="F5648" s="210"/>
      <c r="G5648" s="210"/>
      <c r="H5648" s="206" t="s">
        <v>121</v>
      </c>
      <c r="I5648" s="206" t="s">
        <v>121</v>
      </c>
      <c r="J5648" s="206" t="s">
        <v>121</v>
      </c>
      <c r="K5648" s="206" t="s">
        <v>121</v>
      </c>
      <c r="L5648" s="206" t="str">
        <v/>
      </c>
      <c r="M5648" s="206" t="str">
        <v/>
      </c>
    </row>
    <row r="5649" spans="1:13" ht="14.4">
      <c r="A5649" s="201"/>
      <c r="B5649" s="209"/>
      <c r="C5649" s="201"/>
      <c r="D5649" s="201"/>
      <c r="E5649" s="202"/>
      <c r="F5649" s="210"/>
      <c r="G5649" s="210"/>
      <c r="H5649" s="206" t="s">
        <v>121</v>
      </c>
      <c r="I5649" s="206" t="s">
        <v>121</v>
      </c>
      <c r="J5649" s="206" t="s">
        <v>121</v>
      </c>
      <c r="K5649" s="206" t="s">
        <v>121</v>
      </c>
      <c r="L5649" s="206" t="str">
        <v/>
      </c>
      <c r="M5649" s="206" t="str">
        <v/>
      </c>
    </row>
    <row r="5650" spans="1:13" ht="14.4">
      <c r="A5650" s="201"/>
      <c r="B5650" s="209"/>
      <c r="C5650" s="201"/>
      <c r="D5650" s="201"/>
      <c r="E5650" s="202"/>
      <c r="F5650" s="210"/>
      <c r="G5650" s="210"/>
      <c r="H5650" s="206" t="s">
        <v>121</v>
      </c>
      <c r="I5650" s="206" t="s">
        <v>121</v>
      </c>
      <c r="J5650" s="206" t="s">
        <v>121</v>
      </c>
      <c r="K5650" s="206" t="s">
        <v>121</v>
      </c>
      <c r="L5650" s="206" t="str">
        <v/>
      </c>
      <c r="M5650" s="206" t="str">
        <v/>
      </c>
    </row>
    <row r="5651" spans="1:13" ht="14.4">
      <c r="A5651" s="201"/>
      <c r="B5651" s="209"/>
      <c r="C5651" s="201"/>
      <c r="D5651" s="201"/>
      <c r="E5651" s="202"/>
      <c r="F5651" s="210"/>
      <c r="G5651" s="210"/>
      <c r="H5651" s="206" t="s">
        <v>121</v>
      </c>
      <c r="I5651" s="206" t="s">
        <v>121</v>
      </c>
      <c r="J5651" s="206" t="s">
        <v>121</v>
      </c>
      <c r="K5651" s="206" t="s">
        <v>121</v>
      </c>
      <c r="L5651" s="206" t="str">
        <v/>
      </c>
      <c r="M5651" s="206" t="str">
        <v/>
      </c>
    </row>
    <row r="5652" spans="1:13" ht="14.4">
      <c r="A5652" s="201"/>
      <c r="B5652" s="209"/>
      <c r="C5652" s="201"/>
      <c r="D5652" s="201"/>
      <c r="E5652" s="202"/>
      <c r="F5652" s="210"/>
      <c r="G5652" s="210"/>
      <c r="H5652" s="206" t="s">
        <v>121</v>
      </c>
      <c r="I5652" s="206" t="s">
        <v>121</v>
      </c>
      <c r="J5652" s="206" t="s">
        <v>121</v>
      </c>
      <c r="K5652" s="206" t="s">
        <v>121</v>
      </c>
      <c r="L5652" s="206" t="str">
        <v/>
      </c>
      <c r="M5652" s="206" t="str">
        <v/>
      </c>
    </row>
    <row r="5653" spans="1:13" ht="14.4">
      <c r="A5653" s="201"/>
      <c r="B5653" s="209"/>
      <c r="C5653" s="201"/>
      <c r="D5653" s="201"/>
      <c r="E5653" s="202"/>
      <c r="F5653" s="210"/>
      <c r="G5653" s="210"/>
      <c r="H5653" s="206" t="s">
        <v>121</v>
      </c>
      <c r="I5653" s="206" t="s">
        <v>121</v>
      </c>
      <c r="J5653" s="206" t="s">
        <v>121</v>
      </c>
      <c r="K5653" s="206" t="s">
        <v>121</v>
      </c>
      <c r="L5653" s="206" t="str">
        <v/>
      </c>
      <c r="M5653" s="206" t="str">
        <v/>
      </c>
    </row>
    <row r="5654" spans="1:13" ht="14.4">
      <c r="A5654" s="201"/>
      <c r="B5654" s="209"/>
      <c r="C5654" s="201"/>
      <c r="D5654" s="201"/>
      <c r="E5654" s="202"/>
      <c r="F5654" s="210"/>
      <c r="G5654" s="210"/>
      <c r="H5654" s="206" t="s">
        <v>121</v>
      </c>
      <c r="I5654" s="206" t="s">
        <v>121</v>
      </c>
      <c r="J5654" s="206" t="s">
        <v>121</v>
      </c>
      <c r="K5654" s="206" t="s">
        <v>121</v>
      </c>
      <c r="L5654" s="206" t="str">
        <v/>
      </c>
      <c r="M5654" s="206" t="str">
        <v/>
      </c>
    </row>
    <row r="5655" spans="1:13" ht="14.4">
      <c r="A5655" s="201"/>
      <c r="B5655" s="209"/>
      <c r="C5655" s="201"/>
      <c r="D5655" s="201"/>
      <c r="E5655" s="202"/>
      <c r="F5655" s="210"/>
      <c r="G5655" s="210"/>
      <c r="H5655" s="206" t="s">
        <v>121</v>
      </c>
      <c r="I5655" s="206" t="s">
        <v>121</v>
      </c>
      <c r="J5655" s="206" t="s">
        <v>121</v>
      </c>
      <c r="K5655" s="206" t="s">
        <v>121</v>
      </c>
      <c r="L5655" s="206" t="str">
        <v/>
      </c>
      <c r="M5655" s="206" t="str">
        <v/>
      </c>
    </row>
    <row r="5656" spans="1:13" ht="14.4">
      <c r="A5656" s="201"/>
      <c r="B5656" s="209"/>
      <c r="C5656" s="201"/>
      <c r="D5656" s="201"/>
      <c r="E5656" s="202"/>
      <c r="F5656" s="210"/>
      <c r="G5656" s="210"/>
      <c r="H5656" s="206" t="s">
        <v>121</v>
      </c>
      <c r="I5656" s="206" t="s">
        <v>121</v>
      </c>
      <c r="J5656" s="206" t="s">
        <v>121</v>
      </c>
      <c r="K5656" s="206" t="s">
        <v>121</v>
      </c>
      <c r="L5656" s="206" t="str">
        <v/>
      </c>
      <c r="M5656" s="206" t="str">
        <v/>
      </c>
    </row>
    <row r="5657" spans="1:13" ht="14.4">
      <c r="A5657" s="201"/>
      <c r="B5657" s="209"/>
      <c r="C5657" s="201"/>
      <c r="D5657" s="201"/>
      <c r="E5657" s="202"/>
      <c r="F5657" s="210"/>
      <c r="G5657" s="210"/>
      <c r="H5657" s="206" t="s">
        <v>121</v>
      </c>
      <c r="I5657" s="206" t="s">
        <v>121</v>
      </c>
      <c r="J5657" s="206" t="s">
        <v>121</v>
      </c>
      <c r="K5657" s="206" t="s">
        <v>121</v>
      </c>
      <c r="L5657" s="206" t="str">
        <v/>
      </c>
      <c r="M5657" s="206" t="str">
        <v/>
      </c>
    </row>
    <row r="5658" spans="1:13" ht="14.4">
      <c r="A5658" s="201"/>
      <c r="B5658" s="209"/>
      <c r="C5658" s="201"/>
      <c r="D5658" s="201"/>
      <c r="E5658" s="202"/>
      <c r="F5658" s="210"/>
      <c r="G5658" s="210"/>
      <c r="H5658" s="206" t="s">
        <v>121</v>
      </c>
      <c r="I5658" s="206" t="s">
        <v>121</v>
      </c>
      <c r="J5658" s="206" t="s">
        <v>121</v>
      </c>
      <c r="K5658" s="206" t="s">
        <v>121</v>
      </c>
      <c r="L5658" s="206" t="str">
        <v/>
      </c>
      <c r="M5658" s="206" t="str">
        <v/>
      </c>
    </row>
    <row r="5659" spans="1:13" ht="14.4">
      <c r="A5659" s="201"/>
      <c r="B5659" s="209"/>
      <c r="C5659" s="201"/>
      <c r="D5659" s="201"/>
      <c r="E5659" s="202"/>
      <c r="F5659" s="210"/>
      <c r="G5659" s="210"/>
      <c r="H5659" s="206" t="s">
        <v>121</v>
      </c>
      <c r="I5659" s="206" t="s">
        <v>121</v>
      </c>
      <c r="J5659" s="206" t="s">
        <v>121</v>
      </c>
      <c r="K5659" s="206" t="s">
        <v>121</v>
      </c>
      <c r="L5659" s="206" t="str">
        <v/>
      </c>
      <c r="M5659" s="206" t="str">
        <v/>
      </c>
    </row>
    <row r="5660" spans="1:13" ht="14.4">
      <c r="A5660" s="201"/>
      <c r="B5660" s="209"/>
      <c r="C5660" s="201"/>
      <c r="D5660" s="201"/>
      <c r="E5660" s="202"/>
      <c r="F5660" s="210"/>
      <c r="G5660" s="210"/>
      <c r="H5660" s="206" t="s">
        <v>121</v>
      </c>
      <c r="I5660" s="206" t="s">
        <v>121</v>
      </c>
      <c r="J5660" s="206" t="s">
        <v>121</v>
      </c>
      <c r="K5660" s="206" t="s">
        <v>121</v>
      </c>
      <c r="L5660" s="206" t="str">
        <v/>
      </c>
      <c r="M5660" s="206" t="str">
        <v/>
      </c>
    </row>
    <row r="5661" spans="1:13" ht="14.4">
      <c r="A5661" s="201"/>
      <c r="B5661" s="209"/>
      <c r="C5661" s="201"/>
      <c r="D5661" s="201"/>
      <c r="E5661" s="202"/>
      <c r="F5661" s="210"/>
      <c r="G5661" s="210"/>
      <c r="H5661" s="206" t="s">
        <v>121</v>
      </c>
      <c r="I5661" s="206" t="s">
        <v>121</v>
      </c>
      <c r="J5661" s="206" t="s">
        <v>121</v>
      </c>
      <c r="K5661" s="206" t="s">
        <v>121</v>
      </c>
      <c r="L5661" s="206" t="str">
        <v/>
      </c>
      <c r="M5661" s="206" t="str">
        <v/>
      </c>
    </row>
    <row r="5662" spans="1:13" ht="14.4">
      <c r="A5662" s="201"/>
      <c r="B5662" s="209"/>
      <c r="C5662" s="201"/>
      <c r="D5662" s="201"/>
      <c r="E5662" s="202"/>
      <c r="F5662" s="210"/>
      <c r="G5662" s="210"/>
      <c r="H5662" s="206" t="s">
        <v>121</v>
      </c>
      <c r="I5662" s="206" t="s">
        <v>121</v>
      </c>
      <c r="J5662" s="206" t="s">
        <v>121</v>
      </c>
      <c r="K5662" s="206" t="s">
        <v>121</v>
      </c>
      <c r="L5662" s="206" t="str">
        <v/>
      </c>
      <c r="M5662" s="206" t="str">
        <v/>
      </c>
    </row>
    <row r="5663" spans="1:13" ht="14.4">
      <c r="A5663" s="201"/>
      <c r="B5663" s="209"/>
      <c r="C5663" s="201"/>
      <c r="D5663" s="201"/>
      <c r="E5663" s="202"/>
      <c r="F5663" s="210"/>
      <c r="G5663" s="210"/>
      <c r="H5663" s="206" t="s">
        <v>121</v>
      </c>
      <c r="I5663" s="206" t="s">
        <v>121</v>
      </c>
      <c r="J5663" s="206" t="s">
        <v>121</v>
      </c>
      <c r="K5663" s="206" t="s">
        <v>121</v>
      </c>
      <c r="L5663" s="206" t="str">
        <v/>
      </c>
      <c r="M5663" s="206" t="str">
        <v/>
      </c>
    </row>
    <row r="5664" spans="1:13" ht="14.4">
      <c r="A5664" s="201"/>
      <c r="B5664" s="209"/>
      <c r="C5664" s="201"/>
      <c r="D5664" s="201"/>
      <c r="E5664" s="202"/>
      <c r="F5664" s="210"/>
      <c r="G5664" s="210"/>
      <c r="H5664" s="206" t="s">
        <v>121</v>
      </c>
      <c r="I5664" s="206" t="s">
        <v>121</v>
      </c>
      <c r="J5664" s="206" t="s">
        <v>121</v>
      </c>
      <c r="K5664" s="206" t="s">
        <v>121</v>
      </c>
      <c r="L5664" s="206" t="str">
        <v/>
      </c>
      <c r="M5664" s="206" t="str">
        <v/>
      </c>
    </row>
    <row r="5665" spans="1:13" ht="14.4">
      <c r="A5665" s="201"/>
      <c r="B5665" s="209"/>
      <c r="C5665" s="201"/>
      <c r="D5665" s="201"/>
      <c r="E5665" s="202"/>
      <c r="F5665" s="210"/>
      <c r="G5665" s="210"/>
      <c r="H5665" s="206" t="s">
        <v>121</v>
      </c>
      <c r="I5665" s="206" t="s">
        <v>121</v>
      </c>
      <c r="J5665" s="206" t="s">
        <v>121</v>
      </c>
      <c r="K5665" s="206" t="s">
        <v>121</v>
      </c>
      <c r="L5665" s="206" t="str">
        <v/>
      </c>
      <c r="M5665" s="206" t="str">
        <v/>
      </c>
    </row>
    <row r="5666" spans="1:13" ht="14.4">
      <c r="A5666" s="201"/>
      <c r="B5666" s="209"/>
      <c r="C5666" s="201"/>
      <c r="D5666" s="201"/>
      <c r="E5666" s="202"/>
      <c r="F5666" s="210"/>
      <c r="G5666" s="210"/>
      <c r="H5666" s="206" t="s">
        <v>121</v>
      </c>
      <c r="I5666" s="206" t="s">
        <v>121</v>
      </c>
      <c r="J5666" s="206" t="s">
        <v>121</v>
      </c>
      <c r="K5666" s="206" t="s">
        <v>121</v>
      </c>
      <c r="L5666" s="206" t="str">
        <v/>
      </c>
      <c r="M5666" s="206" t="str">
        <v/>
      </c>
    </row>
    <row r="5667" spans="1:13" ht="14.4">
      <c r="A5667" s="201"/>
      <c r="B5667" s="209"/>
      <c r="C5667" s="201"/>
      <c r="D5667" s="201"/>
      <c r="E5667" s="202"/>
      <c r="F5667" s="210"/>
      <c r="G5667" s="210"/>
      <c r="H5667" s="206" t="s">
        <v>121</v>
      </c>
      <c r="I5667" s="206" t="s">
        <v>121</v>
      </c>
      <c r="J5667" s="206" t="s">
        <v>121</v>
      </c>
      <c r="K5667" s="206" t="s">
        <v>121</v>
      </c>
      <c r="L5667" s="206" t="str">
        <v/>
      </c>
      <c r="M5667" s="206" t="str">
        <v/>
      </c>
    </row>
    <row r="5668" spans="1:13" ht="14.4">
      <c r="A5668" s="201"/>
      <c r="B5668" s="209"/>
      <c r="C5668" s="201"/>
      <c r="D5668" s="201"/>
      <c r="E5668" s="202"/>
      <c r="F5668" s="210"/>
      <c r="G5668" s="210"/>
      <c r="H5668" s="206" t="s">
        <v>121</v>
      </c>
      <c r="I5668" s="206" t="s">
        <v>121</v>
      </c>
      <c r="J5668" s="206" t="s">
        <v>121</v>
      </c>
      <c r="K5668" s="206" t="s">
        <v>121</v>
      </c>
      <c r="L5668" s="206" t="str">
        <v/>
      </c>
      <c r="M5668" s="206" t="str">
        <v/>
      </c>
    </row>
    <row r="5669" spans="1:13" ht="14.4">
      <c r="A5669" s="201"/>
      <c r="B5669" s="209"/>
      <c r="C5669" s="201"/>
      <c r="D5669" s="201"/>
      <c r="E5669" s="202"/>
      <c r="F5669" s="210"/>
      <c r="G5669" s="210"/>
      <c r="H5669" s="206" t="s">
        <v>121</v>
      </c>
      <c r="I5669" s="206" t="s">
        <v>121</v>
      </c>
      <c r="J5669" s="206" t="s">
        <v>121</v>
      </c>
      <c r="K5669" s="206" t="s">
        <v>121</v>
      </c>
      <c r="L5669" s="206" t="str">
        <v/>
      </c>
      <c r="M5669" s="206" t="str">
        <v/>
      </c>
    </row>
    <row r="5670" spans="1:13" ht="14.4">
      <c r="A5670" s="201"/>
      <c r="B5670" s="209"/>
      <c r="C5670" s="201"/>
      <c r="D5670" s="201"/>
      <c r="E5670" s="202"/>
      <c r="F5670" s="210"/>
      <c r="G5670" s="210"/>
      <c r="H5670" s="206" t="s">
        <v>121</v>
      </c>
      <c r="I5670" s="206" t="s">
        <v>121</v>
      </c>
      <c r="J5670" s="206" t="s">
        <v>121</v>
      </c>
      <c r="K5670" s="206" t="s">
        <v>121</v>
      </c>
      <c r="L5670" s="206" t="str">
        <v/>
      </c>
      <c r="M5670" s="206" t="str">
        <v/>
      </c>
    </row>
    <row r="5671" spans="1:13" ht="14.4">
      <c r="A5671" s="201"/>
      <c r="B5671" s="209"/>
      <c r="C5671" s="201"/>
      <c r="D5671" s="201"/>
      <c r="E5671" s="202"/>
      <c r="F5671" s="210"/>
      <c r="G5671" s="210"/>
      <c r="H5671" s="206" t="s">
        <v>121</v>
      </c>
      <c r="I5671" s="206" t="s">
        <v>121</v>
      </c>
      <c r="J5671" s="206" t="s">
        <v>121</v>
      </c>
      <c r="K5671" s="206" t="s">
        <v>121</v>
      </c>
      <c r="L5671" s="206" t="str">
        <v/>
      </c>
      <c r="M5671" s="206" t="str">
        <v/>
      </c>
    </row>
    <row r="5672" spans="1:13" ht="14.4">
      <c r="A5672" s="201"/>
      <c r="B5672" s="209"/>
      <c r="C5672" s="201"/>
      <c r="D5672" s="201"/>
      <c r="E5672" s="202"/>
      <c r="F5672" s="210"/>
      <c r="G5672" s="210"/>
      <c r="H5672" s="206" t="s">
        <v>121</v>
      </c>
      <c r="I5672" s="206" t="s">
        <v>121</v>
      </c>
      <c r="J5672" s="206" t="s">
        <v>121</v>
      </c>
      <c r="K5672" s="206" t="s">
        <v>121</v>
      </c>
      <c r="L5672" s="206" t="str">
        <v/>
      </c>
      <c r="M5672" s="206" t="str">
        <v/>
      </c>
    </row>
    <row r="5673" spans="1:13" ht="14.4">
      <c r="A5673" s="201"/>
      <c r="B5673" s="209"/>
      <c r="C5673" s="201"/>
      <c r="D5673" s="201"/>
      <c r="E5673" s="202"/>
      <c r="F5673" s="210"/>
      <c r="G5673" s="210"/>
      <c r="H5673" s="206" t="s">
        <v>121</v>
      </c>
      <c r="I5673" s="206" t="s">
        <v>121</v>
      </c>
      <c r="J5673" s="206" t="s">
        <v>121</v>
      </c>
      <c r="K5673" s="206" t="s">
        <v>121</v>
      </c>
      <c r="L5673" s="206" t="str">
        <v/>
      </c>
      <c r="M5673" s="206" t="str">
        <v/>
      </c>
    </row>
    <row r="5674" spans="1:13" ht="14.4">
      <c r="A5674" s="201"/>
      <c r="B5674" s="209"/>
      <c r="C5674" s="201"/>
      <c r="D5674" s="201"/>
      <c r="E5674" s="202"/>
      <c r="F5674" s="210"/>
      <c r="G5674" s="210"/>
      <c r="H5674" s="206" t="s">
        <v>121</v>
      </c>
      <c r="I5674" s="206" t="s">
        <v>121</v>
      </c>
      <c r="J5674" s="206" t="s">
        <v>121</v>
      </c>
      <c r="K5674" s="206" t="s">
        <v>121</v>
      </c>
      <c r="L5674" s="206" t="str">
        <v/>
      </c>
      <c r="M5674" s="206" t="str">
        <v/>
      </c>
    </row>
    <row r="5675" spans="1:13" ht="14.4">
      <c r="A5675" s="201"/>
      <c r="B5675" s="209"/>
      <c r="C5675" s="201"/>
      <c r="D5675" s="201"/>
      <c r="E5675" s="202"/>
      <c r="F5675" s="210"/>
      <c r="G5675" s="210"/>
      <c r="H5675" s="206" t="s">
        <v>121</v>
      </c>
      <c r="I5675" s="206" t="s">
        <v>121</v>
      </c>
      <c r="J5675" s="206" t="s">
        <v>121</v>
      </c>
      <c r="K5675" s="206" t="s">
        <v>121</v>
      </c>
      <c r="L5675" s="206" t="str">
        <v/>
      </c>
      <c r="M5675" s="206" t="str">
        <v/>
      </c>
    </row>
    <row r="5676" spans="1:13" ht="14.4">
      <c r="A5676" s="201"/>
      <c r="B5676" s="209"/>
      <c r="C5676" s="201"/>
      <c r="D5676" s="201"/>
      <c r="E5676" s="202"/>
      <c r="F5676" s="210"/>
      <c r="G5676" s="210"/>
      <c r="H5676" s="206" t="s">
        <v>121</v>
      </c>
      <c r="I5676" s="206" t="s">
        <v>121</v>
      </c>
      <c r="J5676" s="206" t="s">
        <v>121</v>
      </c>
      <c r="K5676" s="206" t="s">
        <v>121</v>
      </c>
      <c r="L5676" s="206" t="str">
        <v/>
      </c>
      <c r="M5676" s="206" t="str">
        <v/>
      </c>
    </row>
    <row r="5677" spans="1:13" ht="14.4">
      <c r="A5677" s="201"/>
      <c r="B5677" s="209"/>
      <c r="C5677" s="201"/>
      <c r="D5677" s="201"/>
      <c r="E5677" s="202"/>
      <c r="F5677" s="210"/>
      <c r="G5677" s="210"/>
      <c r="H5677" s="206" t="s">
        <v>121</v>
      </c>
      <c r="I5677" s="206" t="s">
        <v>121</v>
      </c>
      <c r="J5677" s="206" t="s">
        <v>121</v>
      </c>
      <c r="K5677" s="206" t="s">
        <v>121</v>
      </c>
      <c r="L5677" s="206" t="str">
        <v/>
      </c>
      <c r="M5677" s="206" t="str">
        <v/>
      </c>
    </row>
    <row r="5678" spans="1:13" ht="14.4">
      <c r="A5678" s="201"/>
      <c r="B5678" s="209"/>
      <c r="C5678" s="201"/>
      <c r="D5678" s="201"/>
      <c r="E5678" s="202"/>
      <c r="F5678" s="210"/>
      <c r="G5678" s="210"/>
      <c r="H5678" s="206" t="s">
        <v>121</v>
      </c>
      <c r="I5678" s="206" t="s">
        <v>121</v>
      </c>
      <c r="J5678" s="206" t="s">
        <v>121</v>
      </c>
      <c r="K5678" s="206" t="s">
        <v>121</v>
      </c>
      <c r="L5678" s="206" t="str">
        <v/>
      </c>
      <c r="M5678" s="206" t="str">
        <v/>
      </c>
    </row>
    <row r="5679" spans="1:13" ht="14.4">
      <c r="A5679" s="201"/>
      <c r="B5679" s="209"/>
      <c r="C5679" s="201"/>
      <c r="D5679" s="201"/>
      <c r="E5679" s="202"/>
      <c r="F5679" s="210"/>
      <c r="G5679" s="210"/>
      <c r="H5679" s="206" t="s">
        <v>121</v>
      </c>
      <c r="I5679" s="206" t="s">
        <v>121</v>
      </c>
      <c r="J5679" s="206" t="s">
        <v>121</v>
      </c>
      <c r="K5679" s="206" t="s">
        <v>121</v>
      </c>
      <c r="L5679" s="206" t="str">
        <v/>
      </c>
      <c r="M5679" s="206" t="str">
        <v/>
      </c>
    </row>
    <row r="5680" spans="1:13" ht="14.4">
      <c r="A5680" s="201"/>
      <c r="B5680" s="209"/>
      <c r="C5680" s="201"/>
      <c r="D5680" s="201"/>
      <c r="E5680" s="202"/>
      <c r="F5680" s="210"/>
      <c r="G5680" s="210"/>
      <c r="H5680" s="206" t="s">
        <v>121</v>
      </c>
      <c r="I5680" s="206" t="s">
        <v>121</v>
      </c>
      <c r="J5680" s="206" t="s">
        <v>121</v>
      </c>
      <c r="K5680" s="206" t="s">
        <v>121</v>
      </c>
      <c r="L5680" s="206" t="str">
        <v/>
      </c>
      <c r="M5680" s="206" t="str">
        <v/>
      </c>
    </row>
    <row r="5681" spans="1:13" ht="14.4">
      <c r="A5681" s="201"/>
      <c r="B5681" s="209"/>
      <c r="C5681" s="201"/>
      <c r="D5681" s="201"/>
      <c r="E5681" s="202"/>
      <c r="F5681" s="210"/>
      <c r="G5681" s="210"/>
      <c r="H5681" s="206" t="s">
        <v>121</v>
      </c>
      <c r="I5681" s="206" t="s">
        <v>121</v>
      </c>
      <c r="J5681" s="206" t="s">
        <v>121</v>
      </c>
      <c r="K5681" s="206" t="s">
        <v>121</v>
      </c>
      <c r="L5681" s="206" t="str">
        <v/>
      </c>
      <c r="M5681" s="206" t="str">
        <v/>
      </c>
    </row>
    <row r="5682" spans="1:13" ht="14.4">
      <c r="A5682" s="201"/>
      <c r="B5682" s="209"/>
      <c r="C5682" s="201"/>
      <c r="D5682" s="201"/>
      <c r="E5682" s="202"/>
      <c r="F5682" s="210"/>
      <c r="G5682" s="210"/>
      <c r="H5682" s="206" t="s">
        <v>121</v>
      </c>
      <c r="I5682" s="206" t="s">
        <v>121</v>
      </c>
      <c r="J5682" s="206" t="s">
        <v>121</v>
      </c>
      <c r="K5682" s="206" t="s">
        <v>121</v>
      </c>
      <c r="L5682" s="206" t="str">
        <v/>
      </c>
      <c r="M5682" s="206" t="str">
        <v/>
      </c>
    </row>
    <row r="5683" spans="1:13" ht="14.4">
      <c r="A5683" s="201"/>
      <c r="B5683" s="209"/>
      <c r="C5683" s="201"/>
      <c r="D5683" s="201"/>
      <c r="E5683" s="202"/>
      <c r="F5683" s="210"/>
      <c r="G5683" s="210"/>
      <c r="H5683" s="206" t="s">
        <v>121</v>
      </c>
      <c r="I5683" s="206" t="s">
        <v>121</v>
      </c>
      <c r="J5683" s="206" t="s">
        <v>121</v>
      </c>
      <c r="K5683" s="206" t="s">
        <v>121</v>
      </c>
      <c r="L5683" s="206" t="str">
        <v/>
      </c>
      <c r="M5683" s="206" t="str">
        <v/>
      </c>
    </row>
    <row r="5684" spans="1:13" ht="14.4">
      <c r="A5684" s="201"/>
      <c r="B5684" s="209"/>
      <c r="C5684" s="201"/>
      <c r="D5684" s="201"/>
      <c r="E5684" s="202"/>
      <c r="F5684" s="210"/>
      <c r="G5684" s="210"/>
      <c r="H5684" s="206" t="s">
        <v>121</v>
      </c>
      <c r="I5684" s="206" t="s">
        <v>121</v>
      </c>
      <c r="J5684" s="206" t="s">
        <v>121</v>
      </c>
      <c r="K5684" s="206" t="s">
        <v>121</v>
      </c>
      <c r="L5684" s="206" t="str">
        <v/>
      </c>
      <c r="M5684" s="206" t="str">
        <v/>
      </c>
    </row>
    <row r="5685" spans="1:13" ht="14.4">
      <c r="A5685" s="201"/>
      <c r="B5685" s="209"/>
      <c r="C5685" s="201"/>
      <c r="D5685" s="201"/>
      <c r="E5685" s="202"/>
      <c r="F5685" s="210"/>
      <c r="G5685" s="210"/>
      <c r="H5685" s="206" t="s">
        <v>121</v>
      </c>
      <c r="I5685" s="206" t="s">
        <v>121</v>
      </c>
      <c r="J5685" s="206" t="s">
        <v>121</v>
      </c>
      <c r="K5685" s="206" t="s">
        <v>121</v>
      </c>
      <c r="L5685" s="206" t="str">
        <v/>
      </c>
      <c r="M5685" s="206" t="str">
        <v/>
      </c>
    </row>
    <row r="5686" spans="1:13" ht="14.4">
      <c r="A5686" s="201"/>
      <c r="B5686" s="209"/>
      <c r="C5686" s="201"/>
      <c r="D5686" s="201"/>
      <c r="E5686" s="202"/>
      <c r="F5686" s="210"/>
      <c r="G5686" s="210"/>
      <c r="H5686" s="206" t="s">
        <v>121</v>
      </c>
      <c r="I5686" s="206" t="s">
        <v>121</v>
      </c>
      <c r="J5686" s="206" t="s">
        <v>121</v>
      </c>
      <c r="K5686" s="206" t="s">
        <v>121</v>
      </c>
      <c r="L5686" s="206" t="str">
        <v/>
      </c>
      <c r="M5686" s="206" t="str">
        <v/>
      </c>
    </row>
    <row r="5687" spans="1:13" ht="14.4">
      <c r="A5687" s="201"/>
      <c r="B5687" s="209"/>
      <c r="C5687" s="201"/>
      <c r="D5687" s="201"/>
      <c r="E5687" s="202"/>
      <c r="F5687" s="210"/>
      <c r="G5687" s="210"/>
      <c r="H5687" s="206" t="s">
        <v>121</v>
      </c>
      <c r="I5687" s="206" t="s">
        <v>121</v>
      </c>
      <c r="J5687" s="206" t="s">
        <v>121</v>
      </c>
      <c r="K5687" s="206" t="s">
        <v>121</v>
      </c>
      <c r="L5687" s="206" t="str">
        <v/>
      </c>
      <c r="M5687" s="206" t="str">
        <v/>
      </c>
    </row>
    <row r="5688" spans="1:13" ht="14.4">
      <c r="A5688" s="201"/>
      <c r="B5688" s="209"/>
      <c r="C5688" s="201"/>
      <c r="D5688" s="201"/>
      <c r="E5688" s="202"/>
      <c r="F5688" s="210"/>
      <c r="G5688" s="210"/>
      <c r="H5688" s="206" t="s">
        <v>121</v>
      </c>
      <c r="I5688" s="206" t="s">
        <v>121</v>
      </c>
      <c r="J5688" s="206" t="s">
        <v>121</v>
      </c>
      <c r="K5688" s="206" t="s">
        <v>121</v>
      </c>
      <c r="L5688" s="206" t="str">
        <v/>
      </c>
      <c r="M5688" s="206" t="str">
        <v/>
      </c>
    </row>
    <row r="5689" spans="1:13" ht="14.4">
      <c r="A5689" s="201"/>
      <c r="B5689" s="209"/>
      <c r="C5689" s="201"/>
      <c r="D5689" s="201"/>
      <c r="E5689" s="202"/>
      <c r="F5689" s="210"/>
      <c r="G5689" s="210"/>
      <c r="H5689" s="206" t="s">
        <v>121</v>
      </c>
      <c r="I5689" s="206" t="s">
        <v>121</v>
      </c>
      <c r="J5689" s="206" t="s">
        <v>121</v>
      </c>
      <c r="K5689" s="206" t="s">
        <v>121</v>
      </c>
      <c r="L5689" s="206" t="str">
        <v/>
      </c>
      <c r="M5689" s="206" t="str">
        <v/>
      </c>
    </row>
    <row r="5690" spans="1:13" ht="14.4">
      <c r="A5690" s="201"/>
      <c r="B5690" s="209"/>
      <c r="C5690" s="201"/>
      <c r="D5690" s="201"/>
      <c r="E5690" s="202"/>
      <c r="F5690" s="210"/>
      <c r="G5690" s="210"/>
      <c r="H5690" s="206" t="s">
        <v>121</v>
      </c>
      <c r="I5690" s="206" t="s">
        <v>121</v>
      </c>
      <c r="J5690" s="206" t="s">
        <v>121</v>
      </c>
      <c r="K5690" s="206" t="s">
        <v>121</v>
      </c>
      <c r="L5690" s="206" t="str">
        <v/>
      </c>
      <c r="M5690" s="206" t="str">
        <v/>
      </c>
    </row>
    <row r="5691" spans="1:13" ht="14.4">
      <c r="A5691" s="201"/>
      <c r="B5691" s="209"/>
      <c r="C5691" s="201"/>
      <c r="D5691" s="201"/>
      <c r="E5691" s="202"/>
      <c r="F5691" s="210"/>
      <c r="G5691" s="210"/>
      <c r="H5691" s="206" t="s">
        <v>121</v>
      </c>
      <c r="I5691" s="206" t="s">
        <v>121</v>
      </c>
      <c r="J5691" s="206" t="s">
        <v>121</v>
      </c>
      <c r="K5691" s="206" t="s">
        <v>121</v>
      </c>
      <c r="L5691" s="206" t="str">
        <v/>
      </c>
      <c r="M5691" s="206" t="str">
        <v/>
      </c>
    </row>
    <row r="5692" spans="1:13" ht="14.4">
      <c r="A5692" s="201"/>
      <c r="B5692" s="209"/>
      <c r="C5692" s="201"/>
      <c r="D5692" s="201"/>
      <c r="E5692" s="202"/>
      <c r="F5692" s="210"/>
      <c r="G5692" s="210"/>
      <c r="H5692" s="206" t="s">
        <v>121</v>
      </c>
      <c r="I5692" s="206" t="s">
        <v>121</v>
      </c>
      <c r="J5692" s="206" t="s">
        <v>121</v>
      </c>
      <c r="K5692" s="206" t="s">
        <v>121</v>
      </c>
      <c r="L5692" s="206" t="str">
        <v/>
      </c>
      <c r="M5692" s="206" t="str">
        <v/>
      </c>
    </row>
    <row r="5693" spans="1:13" ht="14.4">
      <c r="A5693" s="201"/>
      <c r="B5693" s="209"/>
      <c r="C5693" s="201"/>
      <c r="D5693" s="201"/>
      <c r="E5693" s="202"/>
      <c r="F5693" s="210"/>
      <c r="G5693" s="210"/>
      <c r="H5693" s="206" t="s">
        <v>121</v>
      </c>
      <c r="I5693" s="206" t="s">
        <v>121</v>
      </c>
      <c r="J5693" s="206" t="s">
        <v>121</v>
      </c>
      <c r="K5693" s="206" t="s">
        <v>121</v>
      </c>
      <c r="L5693" s="206" t="str">
        <v/>
      </c>
      <c r="M5693" s="206" t="str">
        <v/>
      </c>
    </row>
    <row r="5694" spans="1:13" ht="14.4">
      <c r="A5694" s="201"/>
      <c r="B5694" s="209"/>
      <c r="C5694" s="201"/>
      <c r="D5694" s="201"/>
      <c r="E5694" s="202"/>
      <c r="F5694" s="210"/>
      <c r="G5694" s="210"/>
      <c r="H5694" s="206" t="s">
        <v>121</v>
      </c>
      <c r="I5694" s="206" t="s">
        <v>121</v>
      </c>
      <c r="J5694" s="206" t="s">
        <v>121</v>
      </c>
      <c r="K5694" s="206" t="s">
        <v>121</v>
      </c>
      <c r="L5694" s="206" t="str">
        <v/>
      </c>
      <c r="M5694" s="206" t="str">
        <v/>
      </c>
    </row>
    <row r="5695" spans="1:13" ht="14.4">
      <c r="A5695" s="201"/>
      <c r="B5695" s="209"/>
      <c r="C5695" s="201"/>
      <c r="D5695" s="201"/>
      <c r="E5695" s="202"/>
      <c r="F5695" s="210"/>
      <c r="G5695" s="210"/>
      <c r="H5695" s="206" t="s">
        <v>121</v>
      </c>
      <c r="I5695" s="206" t="s">
        <v>121</v>
      </c>
      <c r="J5695" s="206" t="s">
        <v>121</v>
      </c>
      <c r="K5695" s="206" t="s">
        <v>121</v>
      </c>
      <c r="L5695" s="206" t="str">
        <v/>
      </c>
      <c r="M5695" s="206" t="str">
        <v/>
      </c>
    </row>
    <row r="5696" spans="1:13" ht="14.4">
      <c r="A5696" s="201"/>
      <c r="B5696" s="209"/>
      <c r="C5696" s="201"/>
      <c r="D5696" s="201"/>
      <c r="E5696" s="202"/>
      <c r="F5696" s="210"/>
      <c r="G5696" s="210"/>
      <c r="H5696" s="206" t="s">
        <v>121</v>
      </c>
      <c r="I5696" s="206" t="s">
        <v>121</v>
      </c>
      <c r="J5696" s="206" t="s">
        <v>121</v>
      </c>
      <c r="K5696" s="206" t="s">
        <v>121</v>
      </c>
      <c r="L5696" s="206" t="str">
        <v/>
      </c>
      <c r="M5696" s="206" t="str">
        <v/>
      </c>
    </row>
    <row r="5697" spans="1:13" ht="14.4">
      <c r="A5697" s="201"/>
      <c r="B5697" s="209"/>
      <c r="C5697" s="201"/>
      <c r="D5697" s="201"/>
      <c r="E5697" s="202"/>
      <c r="F5697" s="210"/>
      <c r="G5697" s="210"/>
      <c r="H5697" s="206" t="s">
        <v>121</v>
      </c>
      <c r="I5697" s="206" t="s">
        <v>121</v>
      </c>
      <c r="J5697" s="206" t="s">
        <v>121</v>
      </c>
      <c r="K5697" s="206" t="s">
        <v>121</v>
      </c>
      <c r="L5697" s="206" t="str">
        <v/>
      </c>
      <c r="M5697" s="206" t="str">
        <v/>
      </c>
    </row>
    <row r="5698" spans="1:13" ht="14.4">
      <c r="A5698" s="201"/>
      <c r="B5698" s="209"/>
      <c r="C5698" s="201"/>
      <c r="D5698" s="201"/>
      <c r="E5698" s="202"/>
      <c r="F5698" s="210"/>
      <c r="G5698" s="210"/>
      <c r="H5698" s="206" t="s">
        <v>121</v>
      </c>
      <c r="I5698" s="206" t="s">
        <v>121</v>
      </c>
      <c r="J5698" s="206" t="s">
        <v>121</v>
      </c>
      <c r="K5698" s="206" t="s">
        <v>121</v>
      </c>
      <c r="L5698" s="206" t="str">
        <v/>
      </c>
      <c r="M5698" s="206" t="str">
        <v/>
      </c>
    </row>
    <row r="5699" spans="1:13" ht="14.4">
      <c r="A5699" s="201"/>
      <c r="B5699" s="209"/>
      <c r="C5699" s="201"/>
      <c r="D5699" s="201"/>
      <c r="E5699" s="202"/>
      <c r="F5699" s="210"/>
      <c r="G5699" s="210"/>
      <c r="H5699" s="206" t="s">
        <v>121</v>
      </c>
      <c r="I5699" s="206" t="s">
        <v>121</v>
      </c>
      <c r="J5699" s="206" t="s">
        <v>121</v>
      </c>
      <c r="K5699" s="206" t="s">
        <v>121</v>
      </c>
      <c r="L5699" s="206" t="str">
        <v/>
      </c>
      <c r="M5699" s="206" t="str">
        <v/>
      </c>
    </row>
    <row r="5700" spans="1:13" ht="14.4">
      <c r="A5700" s="201"/>
      <c r="B5700" s="209"/>
      <c r="C5700" s="201"/>
      <c r="D5700" s="201"/>
      <c r="E5700" s="202"/>
      <c r="F5700" s="210"/>
      <c r="G5700" s="210"/>
      <c r="H5700" s="206" t="s">
        <v>121</v>
      </c>
      <c r="I5700" s="206" t="s">
        <v>121</v>
      </c>
      <c r="J5700" s="206" t="s">
        <v>121</v>
      </c>
      <c r="K5700" s="206" t="s">
        <v>121</v>
      </c>
      <c r="L5700" s="206" t="str">
        <v/>
      </c>
      <c r="M5700" s="206" t="str">
        <v/>
      </c>
    </row>
    <row r="5701" spans="1:13" ht="14.4">
      <c r="A5701" s="201"/>
      <c r="B5701" s="209"/>
      <c r="C5701" s="201"/>
      <c r="D5701" s="201"/>
      <c r="E5701" s="202"/>
      <c r="F5701" s="210"/>
      <c r="G5701" s="210"/>
      <c r="H5701" s="206" t="s">
        <v>121</v>
      </c>
      <c r="I5701" s="206" t="s">
        <v>121</v>
      </c>
      <c r="J5701" s="206" t="s">
        <v>121</v>
      </c>
      <c r="K5701" s="206" t="s">
        <v>121</v>
      </c>
      <c r="L5701" s="206" t="str">
        <v/>
      </c>
      <c r="M5701" s="206" t="str">
        <v/>
      </c>
    </row>
    <row r="5702" spans="1:13" ht="14.4">
      <c r="A5702" s="201"/>
      <c r="B5702" s="209"/>
      <c r="C5702" s="201"/>
      <c r="D5702" s="201"/>
      <c r="E5702" s="202"/>
      <c r="F5702" s="210"/>
      <c r="G5702" s="210"/>
      <c r="H5702" s="206" t="s">
        <v>121</v>
      </c>
      <c r="I5702" s="206" t="s">
        <v>121</v>
      </c>
      <c r="J5702" s="206" t="s">
        <v>121</v>
      </c>
      <c r="K5702" s="206" t="s">
        <v>121</v>
      </c>
      <c r="L5702" s="206" t="str">
        <v/>
      </c>
      <c r="M5702" s="206" t="str">
        <v/>
      </c>
    </row>
    <row r="5703" spans="1:13" ht="14.4">
      <c r="A5703" s="201"/>
      <c r="B5703" s="209"/>
      <c r="C5703" s="201"/>
      <c r="D5703" s="201"/>
      <c r="E5703" s="202"/>
      <c r="F5703" s="210"/>
      <c r="G5703" s="210"/>
      <c r="H5703" s="206" t="s">
        <v>121</v>
      </c>
      <c r="I5703" s="206" t="s">
        <v>121</v>
      </c>
      <c r="J5703" s="206" t="s">
        <v>121</v>
      </c>
      <c r="K5703" s="206" t="s">
        <v>121</v>
      </c>
      <c r="L5703" s="206" t="str">
        <v/>
      </c>
      <c r="M5703" s="206" t="str">
        <v/>
      </c>
    </row>
    <row r="5704" spans="1:13" ht="14.4">
      <c r="A5704" s="201"/>
      <c r="B5704" s="209"/>
      <c r="C5704" s="201"/>
      <c r="D5704" s="201"/>
      <c r="E5704" s="202"/>
      <c r="F5704" s="210"/>
      <c r="G5704" s="210"/>
      <c r="H5704" s="206" t="s">
        <v>121</v>
      </c>
      <c r="I5704" s="206" t="s">
        <v>121</v>
      </c>
      <c r="J5704" s="206" t="s">
        <v>121</v>
      </c>
      <c r="K5704" s="206" t="s">
        <v>121</v>
      </c>
      <c r="L5704" s="206" t="str">
        <v/>
      </c>
      <c r="M5704" s="206" t="str">
        <v/>
      </c>
    </row>
    <row r="5705" spans="1:13" ht="14.4">
      <c r="A5705" s="201"/>
      <c r="B5705" s="209"/>
      <c r="C5705" s="201"/>
      <c r="D5705" s="201"/>
      <c r="E5705" s="202"/>
      <c r="F5705" s="210"/>
      <c r="G5705" s="210"/>
      <c r="H5705" s="206" t="s">
        <v>121</v>
      </c>
      <c r="I5705" s="206" t="s">
        <v>121</v>
      </c>
      <c r="J5705" s="206" t="s">
        <v>121</v>
      </c>
      <c r="K5705" s="206" t="s">
        <v>121</v>
      </c>
      <c r="L5705" s="206" t="str">
        <v/>
      </c>
      <c r="M5705" s="206" t="str">
        <v/>
      </c>
    </row>
    <row r="5706" spans="1:13" ht="14.4">
      <c r="A5706" s="201"/>
      <c r="B5706" s="209"/>
      <c r="C5706" s="201"/>
      <c r="D5706" s="201"/>
      <c r="E5706" s="202"/>
      <c r="F5706" s="210"/>
      <c r="G5706" s="210"/>
      <c r="H5706" s="206" t="s">
        <v>121</v>
      </c>
      <c r="I5706" s="206" t="s">
        <v>121</v>
      </c>
      <c r="J5706" s="206" t="s">
        <v>121</v>
      </c>
      <c r="K5706" s="206" t="s">
        <v>121</v>
      </c>
      <c r="L5706" s="206" t="str">
        <v/>
      </c>
      <c r="M5706" s="206" t="str">
        <v/>
      </c>
    </row>
    <row r="5707" spans="1:13" ht="14.4">
      <c r="A5707" s="201"/>
      <c r="B5707" s="209"/>
      <c r="C5707" s="201"/>
      <c r="D5707" s="201"/>
      <c r="E5707" s="202"/>
      <c r="F5707" s="210"/>
      <c r="G5707" s="210"/>
      <c r="H5707" s="206" t="s">
        <v>121</v>
      </c>
      <c r="I5707" s="206" t="s">
        <v>121</v>
      </c>
      <c r="J5707" s="206" t="s">
        <v>121</v>
      </c>
      <c r="K5707" s="206" t="s">
        <v>121</v>
      </c>
      <c r="L5707" s="206" t="str">
        <v/>
      </c>
      <c r="M5707" s="206" t="str">
        <v/>
      </c>
    </row>
    <row r="5708" spans="1:13" ht="14.4">
      <c r="A5708" s="201"/>
      <c r="B5708" s="209"/>
      <c r="C5708" s="201"/>
      <c r="D5708" s="201"/>
      <c r="E5708" s="202"/>
      <c r="F5708" s="210"/>
      <c r="G5708" s="210"/>
      <c r="H5708" s="206" t="s">
        <v>121</v>
      </c>
      <c r="I5708" s="206" t="s">
        <v>121</v>
      </c>
      <c r="J5708" s="206" t="s">
        <v>121</v>
      </c>
      <c r="K5708" s="206" t="s">
        <v>121</v>
      </c>
      <c r="L5708" s="206" t="str">
        <v/>
      </c>
      <c r="M5708" s="206" t="str">
        <v/>
      </c>
    </row>
    <row r="5709" spans="1:13" ht="14.4">
      <c r="A5709" s="201"/>
      <c r="B5709" s="209"/>
      <c r="C5709" s="201"/>
      <c r="D5709" s="201"/>
      <c r="E5709" s="202"/>
      <c r="F5709" s="210"/>
      <c r="G5709" s="210"/>
      <c r="H5709" s="206" t="s">
        <v>121</v>
      </c>
      <c r="I5709" s="206" t="s">
        <v>121</v>
      </c>
      <c r="J5709" s="206" t="s">
        <v>121</v>
      </c>
      <c r="K5709" s="206" t="s">
        <v>121</v>
      </c>
      <c r="L5709" s="206" t="str">
        <v/>
      </c>
      <c r="M5709" s="206" t="str">
        <v/>
      </c>
    </row>
    <row r="5710" spans="1:13" ht="14.4">
      <c r="A5710" s="201"/>
      <c r="B5710" s="209"/>
      <c r="C5710" s="201"/>
      <c r="D5710" s="201"/>
      <c r="E5710" s="202"/>
      <c r="F5710" s="210"/>
      <c r="G5710" s="210"/>
      <c r="H5710" s="206" t="s">
        <v>121</v>
      </c>
      <c r="I5710" s="206" t="s">
        <v>121</v>
      </c>
      <c r="J5710" s="206" t="s">
        <v>121</v>
      </c>
      <c r="K5710" s="206" t="s">
        <v>121</v>
      </c>
      <c r="L5710" s="206" t="str">
        <v/>
      </c>
      <c r="M5710" s="206" t="str">
        <v/>
      </c>
    </row>
    <row r="5711" spans="1:13" ht="14.4">
      <c r="A5711" s="201"/>
      <c r="B5711" s="209"/>
      <c r="C5711" s="201"/>
      <c r="D5711" s="201"/>
      <c r="E5711" s="202"/>
      <c r="F5711" s="210"/>
      <c r="G5711" s="210"/>
      <c r="H5711" s="206" t="s">
        <v>121</v>
      </c>
      <c r="I5711" s="206" t="s">
        <v>121</v>
      </c>
      <c r="J5711" s="206" t="s">
        <v>121</v>
      </c>
      <c r="K5711" s="206" t="s">
        <v>121</v>
      </c>
      <c r="L5711" s="206" t="str">
        <v/>
      </c>
      <c r="M5711" s="206" t="str">
        <v/>
      </c>
    </row>
    <row r="5712" spans="1:13" ht="14.4">
      <c r="A5712" s="201"/>
      <c r="B5712" s="209"/>
      <c r="C5712" s="201"/>
      <c r="D5712" s="201"/>
      <c r="E5712" s="202"/>
      <c r="F5712" s="210"/>
      <c r="G5712" s="210"/>
      <c r="H5712" s="206" t="s">
        <v>121</v>
      </c>
      <c r="I5712" s="206" t="s">
        <v>121</v>
      </c>
      <c r="J5712" s="206" t="s">
        <v>121</v>
      </c>
      <c r="K5712" s="206" t="s">
        <v>121</v>
      </c>
      <c r="L5712" s="206" t="str">
        <v/>
      </c>
      <c r="M5712" s="206" t="str">
        <v/>
      </c>
    </row>
    <row r="5713" spans="1:13" ht="14.4">
      <c r="A5713" s="201"/>
      <c r="B5713" s="209"/>
      <c r="C5713" s="201"/>
      <c r="D5713" s="201"/>
      <c r="E5713" s="202"/>
      <c r="F5713" s="210"/>
      <c r="G5713" s="210"/>
      <c r="H5713" s="206" t="s">
        <v>121</v>
      </c>
      <c r="I5713" s="206" t="s">
        <v>121</v>
      </c>
      <c r="J5713" s="206" t="s">
        <v>121</v>
      </c>
      <c r="K5713" s="206" t="s">
        <v>121</v>
      </c>
      <c r="L5713" s="206" t="str">
        <v/>
      </c>
      <c r="M5713" s="206" t="str">
        <v/>
      </c>
    </row>
    <row r="5714" spans="1:13" ht="14.4">
      <c r="A5714" s="201"/>
      <c r="B5714" s="209"/>
      <c r="C5714" s="201"/>
      <c r="D5714" s="201"/>
      <c r="E5714" s="202"/>
      <c r="F5714" s="210"/>
      <c r="G5714" s="210"/>
      <c r="H5714" s="206" t="s">
        <v>121</v>
      </c>
      <c r="I5714" s="206" t="s">
        <v>121</v>
      </c>
      <c r="J5714" s="206" t="s">
        <v>121</v>
      </c>
      <c r="K5714" s="206" t="s">
        <v>121</v>
      </c>
      <c r="L5714" s="206" t="str">
        <v/>
      </c>
      <c r="M5714" s="206" t="str">
        <v/>
      </c>
    </row>
    <row r="5715" spans="1:13" ht="14.4">
      <c r="A5715" s="201"/>
      <c r="B5715" s="209"/>
      <c r="C5715" s="201"/>
      <c r="D5715" s="201"/>
      <c r="E5715" s="202"/>
      <c r="F5715" s="210"/>
      <c r="G5715" s="210"/>
      <c r="H5715" s="206" t="s">
        <v>121</v>
      </c>
      <c r="I5715" s="206" t="s">
        <v>121</v>
      </c>
      <c r="J5715" s="206" t="s">
        <v>121</v>
      </c>
      <c r="K5715" s="206" t="s">
        <v>121</v>
      </c>
      <c r="L5715" s="206" t="str">
        <v/>
      </c>
      <c r="M5715" s="206" t="str">
        <v/>
      </c>
    </row>
    <row r="5716" spans="1:13" ht="14.4">
      <c r="A5716" s="201"/>
      <c r="B5716" s="209"/>
      <c r="C5716" s="201"/>
      <c r="D5716" s="201"/>
      <c r="E5716" s="202"/>
      <c r="F5716" s="210"/>
      <c r="G5716" s="210"/>
      <c r="H5716" s="206" t="s">
        <v>121</v>
      </c>
      <c r="I5716" s="206" t="s">
        <v>121</v>
      </c>
      <c r="J5716" s="206" t="s">
        <v>121</v>
      </c>
      <c r="K5716" s="206" t="s">
        <v>121</v>
      </c>
      <c r="L5716" s="206" t="str">
        <v/>
      </c>
      <c r="M5716" s="206" t="str">
        <v/>
      </c>
    </row>
    <row r="5717" spans="1:13" ht="14.4">
      <c r="A5717" s="201"/>
      <c r="B5717" s="209"/>
      <c r="C5717" s="201"/>
      <c r="D5717" s="201"/>
      <c r="E5717" s="202"/>
      <c r="F5717" s="210"/>
      <c r="G5717" s="210"/>
      <c r="H5717" s="206" t="s">
        <v>121</v>
      </c>
      <c r="I5717" s="206" t="s">
        <v>121</v>
      </c>
      <c r="J5717" s="206" t="s">
        <v>121</v>
      </c>
      <c r="K5717" s="206" t="s">
        <v>121</v>
      </c>
      <c r="L5717" s="206" t="str">
        <v/>
      </c>
      <c r="M5717" s="206" t="str">
        <v/>
      </c>
    </row>
    <row r="5718" spans="1:13" ht="14.4">
      <c r="A5718" s="201"/>
      <c r="B5718" s="209"/>
      <c r="C5718" s="201"/>
      <c r="D5718" s="201"/>
      <c r="E5718" s="202"/>
      <c r="F5718" s="210"/>
      <c r="G5718" s="210"/>
      <c r="H5718" s="206" t="s">
        <v>121</v>
      </c>
      <c r="I5718" s="206" t="s">
        <v>121</v>
      </c>
      <c r="J5718" s="206" t="s">
        <v>121</v>
      </c>
      <c r="K5718" s="206" t="s">
        <v>121</v>
      </c>
      <c r="L5718" s="206" t="str">
        <v/>
      </c>
      <c r="M5718" s="206" t="str">
        <v/>
      </c>
    </row>
    <row r="5719" spans="1:13" ht="14.4">
      <c r="A5719" s="201"/>
      <c r="B5719" s="209"/>
      <c r="C5719" s="201"/>
      <c r="D5719" s="201"/>
      <c r="E5719" s="202"/>
      <c r="F5719" s="210"/>
      <c r="G5719" s="210"/>
      <c r="H5719" s="206" t="s">
        <v>121</v>
      </c>
      <c r="I5719" s="206" t="s">
        <v>121</v>
      </c>
      <c r="J5719" s="206" t="s">
        <v>121</v>
      </c>
      <c r="K5719" s="206" t="s">
        <v>121</v>
      </c>
      <c r="L5719" s="206" t="str">
        <v/>
      </c>
      <c r="M5719" s="206" t="str">
        <v/>
      </c>
    </row>
    <row r="5720" spans="1:13" ht="14.4">
      <c r="A5720" s="201"/>
      <c r="B5720" s="209"/>
      <c r="C5720" s="201"/>
      <c r="D5720" s="201"/>
      <c r="E5720" s="202"/>
      <c r="F5720" s="210"/>
      <c r="G5720" s="210"/>
      <c r="H5720" s="206" t="s">
        <v>121</v>
      </c>
      <c r="I5720" s="206" t="s">
        <v>121</v>
      </c>
      <c r="J5720" s="206" t="s">
        <v>121</v>
      </c>
      <c r="K5720" s="206" t="s">
        <v>121</v>
      </c>
      <c r="L5720" s="206" t="str">
        <v/>
      </c>
      <c r="M5720" s="206" t="str">
        <v/>
      </c>
    </row>
    <row r="5721" spans="1:13" ht="14.4">
      <c r="A5721" s="201"/>
      <c r="B5721" s="209"/>
      <c r="C5721" s="201"/>
      <c r="D5721" s="201"/>
      <c r="E5721" s="202"/>
      <c r="F5721" s="210"/>
      <c r="G5721" s="210"/>
      <c r="H5721" s="206" t="s">
        <v>121</v>
      </c>
      <c r="I5721" s="206" t="s">
        <v>121</v>
      </c>
      <c r="J5721" s="206" t="s">
        <v>121</v>
      </c>
      <c r="K5721" s="206" t="s">
        <v>121</v>
      </c>
      <c r="L5721" s="206" t="str">
        <v/>
      </c>
      <c r="M5721" s="206" t="str">
        <v/>
      </c>
    </row>
    <row r="5722" spans="1:13" ht="14.4">
      <c r="A5722" s="201"/>
      <c r="B5722" s="209"/>
      <c r="C5722" s="201"/>
      <c r="D5722" s="201"/>
      <c r="E5722" s="202"/>
      <c r="F5722" s="210"/>
      <c r="G5722" s="210"/>
      <c r="H5722" s="206" t="s">
        <v>121</v>
      </c>
      <c r="I5722" s="206" t="s">
        <v>121</v>
      </c>
      <c r="J5722" s="206" t="s">
        <v>121</v>
      </c>
      <c r="K5722" s="206" t="s">
        <v>121</v>
      </c>
      <c r="L5722" s="206" t="str">
        <v/>
      </c>
      <c r="M5722" s="206" t="str">
        <v/>
      </c>
    </row>
    <row r="5723" spans="1:13" ht="14.4">
      <c r="A5723" s="201"/>
      <c r="B5723" s="209"/>
      <c r="C5723" s="201"/>
      <c r="D5723" s="201"/>
      <c r="E5723" s="202"/>
      <c r="F5723" s="210"/>
      <c r="G5723" s="210"/>
      <c r="H5723" s="206" t="s">
        <v>121</v>
      </c>
      <c r="I5723" s="206" t="s">
        <v>121</v>
      </c>
      <c r="J5723" s="206" t="s">
        <v>121</v>
      </c>
      <c r="K5723" s="206" t="s">
        <v>121</v>
      </c>
      <c r="L5723" s="206" t="str">
        <v/>
      </c>
      <c r="M5723" s="206" t="str">
        <v/>
      </c>
    </row>
    <row r="5724" spans="1:13" ht="14.4">
      <c r="A5724" s="201"/>
      <c r="B5724" s="209"/>
      <c r="C5724" s="201"/>
      <c r="D5724" s="201"/>
      <c r="E5724" s="202"/>
      <c r="F5724" s="210"/>
      <c r="G5724" s="210"/>
      <c r="H5724" s="206" t="s">
        <v>121</v>
      </c>
      <c r="I5724" s="206" t="s">
        <v>121</v>
      </c>
      <c r="J5724" s="206" t="s">
        <v>121</v>
      </c>
      <c r="K5724" s="206" t="s">
        <v>121</v>
      </c>
      <c r="L5724" s="206" t="str">
        <v/>
      </c>
      <c r="M5724" s="206" t="str">
        <v/>
      </c>
    </row>
    <row r="5725" spans="1:13" ht="14.4">
      <c r="A5725" s="201"/>
      <c r="B5725" s="209"/>
      <c r="C5725" s="201"/>
      <c r="D5725" s="201"/>
      <c r="E5725" s="202"/>
      <c r="F5725" s="210"/>
      <c r="G5725" s="210"/>
      <c r="H5725" s="206" t="s">
        <v>121</v>
      </c>
      <c r="I5725" s="206" t="s">
        <v>121</v>
      </c>
      <c r="J5725" s="206" t="s">
        <v>121</v>
      </c>
      <c r="K5725" s="206" t="s">
        <v>121</v>
      </c>
      <c r="L5725" s="206" t="str">
        <v/>
      </c>
      <c r="M5725" s="206" t="str">
        <v/>
      </c>
    </row>
    <row r="5726" spans="1:13" ht="14.4">
      <c r="A5726" s="201"/>
      <c r="B5726" s="209"/>
      <c r="C5726" s="201"/>
      <c r="D5726" s="201"/>
      <c r="E5726" s="202"/>
      <c r="F5726" s="210"/>
      <c r="G5726" s="210"/>
      <c r="H5726" s="206" t="s">
        <v>121</v>
      </c>
      <c r="I5726" s="206" t="s">
        <v>121</v>
      </c>
      <c r="J5726" s="206" t="s">
        <v>121</v>
      </c>
      <c r="K5726" s="206" t="s">
        <v>121</v>
      </c>
      <c r="L5726" s="206" t="str">
        <v/>
      </c>
      <c r="M5726" s="206" t="str">
        <v/>
      </c>
    </row>
    <row r="5727" spans="1:13" ht="14.4">
      <c r="A5727" s="201"/>
      <c r="B5727" s="209"/>
      <c r="C5727" s="201"/>
      <c r="D5727" s="201"/>
      <c r="E5727" s="202"/>
      <c r="F5727" s="210"/>
      <c r="G5727" s="210"/>
      <c r="H5727" s="206" t="s">
        <v>121</v>
      </c>
      <c r="I5727" s="206" t="s">
        <v>121</v>
      </c>
      <c r="J5727" s="206" t="s">
        <v>121</v>
      </c>
      <c r="K5727" s="206" t="s">
        <v>121</v>
      </c>
      <c r="L5727" s="206" t="str">
        <v/>
      </c>
      <c r="M5727" s="206" t="str">
        <v/>
      </c>
    </row>
    <row r="5728" spans="1:13" ht="14.4">
      <c r="A5728" s="201"/>
      <c r="B5728" s="209"/>
      <c r="C5728" s="201"/>
      <c r="D5728" s="201"/>
      <c r="E5728" s="202"/>
      <c r="F5728" s="210"/>
      <c r="G5728" s="210"/>
      <c r="H5728" s="206" t="s">
        <v>121</v>
      </c>
      <c r="I5728" s="206" t="s">
        <v>121</v>
      </c>
      <c r="J5728" s="206" t="s">
        <v>121</v>
      </c>
      <c r="K5728" s="206" t="s">
        <v>121</v>
      </c>
      <c r="L5728" s="206" t="str">
        <v/>
      </c>
      <c r="M5728" s="206" t="str">
        <v/>
      </c>
    </row>
    <row r="5729" spans="1:13" ht="14.4">
      <c r="A5729" s="201"/>
      <c r="B5729" s="209"/>
      <c r="C5729" s="201"/>
      <c r="D5729" s="201"/>
      <c r="E5729" s="202"/>
      <c r="F5729" s="210"/>
      <c r="G5729" s="210"/>
      <c r="H5729" s="206" t="s">
        <v>121</v>
      </c>
      <c r="I5729" s="206" t="s">
        <v>121</v>
      </c>
      <c r="J5729" s="206" t="s">
        <v>121</v>
      </c>
      <c r="K5729" s="206" t="s">
        <v>121</v>
      </c>
      <c r="L5729" s="206" t="str">
        <v/>
      </c>
      <c r="M5729" s="206" t="str">
        <v/>
      </c>
    </row>
    <row r="5730" spans="1:13" ht="14.4">
      <c r="A5730" s="201"/>
      <c r="B5730" s="209"/>
      <c r="C5730" s="201"/>
      <c r="D5730" s="201"/>
      <c r="E5730" s="202"/>
      <c r="F5730" s="210"/>
      <c r="G5730" s="210"/>
      <c r="H5730" s="206" t="s">
        <v>121</v>
      </c>
      <c r="I5730" s="206" t="s">
        <v>121</v>
      </c>
      <c r="J5730" s="206" t="s">
        <v>121</v>
      </c>
      <c r="K5730" s="206" t="s">
        <v>121</v>
      </c>
      <c r="L5730" s="206" t="str">
        <v/>
      </c>
      <c r="M5730" s="206" t="str">
        <v/>
      </c>
    </row>
    <row r="5731" spans="1:13" ht="14.4">
      <c r="A5731" s="201"/>
      <c r="B5731" s="209"/>
      <c r="C5731" s="201"/>
      <c r="D5731" s="201"/>
      <c r="E5731" s="202"/>
      <c r="F5731" s="210"/>
      <c r="G5731" s="210"/>
      <c r="H5731" s="206" t="s">
        <v>121</v>
      </c>
      <c r="I5731" s="206" t="s">
        <v>121</v>
      </c>
      <c r="J5731" s="206" t="s">
        <v>121</v>
      </c>
      <c r="K5731" s="206" t="s">
        <v>121</v>
      </c>
      <c r="L5731" s="206" t="str">
        <v/>
      </c>
      <c r="M5731" s="206" t="str">
        <v/>
      </c>
    </row>
    <row r="5732" spans="1:13" ht="14.4">
      <c r="A5732" s="201"/>
      <c r="B5732" s="209"/>
      <c r="C5732" s="201"/>
      <c r="D5732" s="201"/>
      <c r="E5732" s="202"/>
      <c r="F5732" s="210"/>
      <c r="G5732" s="210"/>
      <c r="H5732" s="206" t="s">
        <v>121</v>
      </c>
      <c r="I5732" s="206" t="s">
        <v>121</v>
      </c>
      <c r="J5732" s="206" t="s">
        <v>121</v>
      </c>
      <c r="K5732" s="206" t="s">
        <v>121</v>
      </c>
      <c r="L5732" s="206" t="str">
        <v/>
      </c>
      <c r="M5732" s="206" t="str">
        <v/>
      </c>
    </row>
    <row r="5733" spans="1:13" ht="14.4">
      <c r="A5733" s="201"/>
      <c r="B5733" s="209"/>
      <c r="C5733" s="201"/>
      <c r="D5733" s="201"/>
      <c r="E5733" s="202"/>
      <c r="F5733" s="210"/>
      <c r="G5733" s="210"/>
      <c r="H5733" s="206" t="s">
        <v>121</v>
      </c>
      <c r="I5733" s="206" t="s">
        <v>121</v>
      </c>
      <c r="J5733" s="206" t="s">
        <v>121</v>
      </c>
      <c r="K5733" s="206" t="s">
        <v>121</v>
      </c>
      <c r="L5733" s="206" t="str">
        <v/>
      </c>
      <c r="M5733" s="206" t="str">
        <v/>
      </c>
    </row>
    <row r="5734" spans="1:13" ht="14.4">
      <c r="A5734" s="201"/>
      <c r="B5734" s="209"/>
      <c r="C5734" s="201"/>
      <c r="D5734" s="201"/>
      <c r="E5734" s="202"/>
      <c r="F5734" s="210"/>
      <c r="G5734" s="210"/>
      <c r="H5734" s="206" t="s">
        <v>121</v>
      </c>
      <c r="I5734" s="206" t="s">
        <v>121</v>
      </c>
      <c r="J5734" s="206" t="s">
        <v>121</v>
      </c>
      <c r="K5734" s="206" t="s">
        <v>121</v>
      </c>
      <c r="L5734" s="206" t="str">
        <v/>
      </c>
      <c r="M5734" s="206" t="str">
        <v/>
      </c>
    </row>
    <row r="5735" spans="1:13" ht="14.4">
      <c r="A5735" s="201"/>
      <c r="B5735" s="209"/>
      <c r="C5735" s="201"/>
      <c r="D5735" s="201"/>
      <c r="E5735" s="202"/>
      <c r="F5735" s="210"/>
      <c r="G5735" s="210"/>
      <c r="H5735" s="206" t="s">
        <v>121</v>
      </c>
      <c r="I5735" s="206" t="s">
        <v>121</v>
      </c>
      <c r="J5735" s="206" t="s">
        <v>121</v>
      </c>
      <c r="K5735" s="206" t="s">
        <v>121</v>
      </c>
      <c r="L5735" s="206" t="str">
        <v/>
      </c>
      <c r="M5735" s="206" t="str">
        <v/>
      </c>
    </row>
    <row r="5736" spans="1:13" ht="14.4">
      <c r="A5736" s="201"/>
      <c r="B5736" s="209"/>
      <c r="C5736" s="201"/>
      <c r="D5736" s="201"/>
      <c r="E5736" s="202"/>
      <c r="F5736" s="210"/>
      <c r="G5736" s="210"/>
      <c r="H5736" s="206" t="s">
        <v>121</v>
      </c>
      <c r="I5736" s="206" t="s">
        <v>121</v>
      </c>
      <c r="J5736" s="206" t="s">
        <v>121</v>
      </c>
      <c r="K5736" s="206" t="s">
        <v>121</v>
      </c>
      <c r="L5736" s="206" t="str">
        <v/>
      </c>
      <c r="M5736" s="206" t="str">
        <v/>
      </c>
    </row>
    <row r="5737" spans="1:13" ht="14.4">
      <c r="A5737" s="201"/>
      <c r="B5737" s="209"/>
      <c r="C5737" s="201"/>
      <c r="D5737" s="201"/>
      <c r="E5737" s="202"/>
      <c r="F5737" s="210"/>
      <c r="G5737" s="210"/>
      <c r="H5737" s="206" t="s">
        <v>121</v>
      </c>
      <c r="I5737" s="206" t="s">
        <v>121</v>
      </c>
      <c r="J5737" s="206" t="s">
        <v>121</v>
      </c>
      <c r="K5737" s="206" t="s">
        <v>121</v>
      </c>
      <c r="L5737" s="206" t="str">
        <v/>
      </c>
      <c r="M5737" s="206" t="str">
        <v/>
      </c>
    </row>
    <row r="5738" spans="1:13" ht="14.4">
      <c r="A5738" s="201"/>
      <c r="B5738" s="209"/>
      <c r="C5738" s="201"/>
      <c r="D5738" s="201"/>
      <c r="E5738" s="202"/>
      <c r="F5738" s="210"/>
      <c r="G5738" s="210"/>
      <c r="H5738" s="206" t="s">
        <v>121</v>
      </c>
      <c r="I5738" s="206" t="s">
        <v>121</v>
      </c>
      <c r="J5738" s="206" t="s">
        <v>121</v>
      </c>
      <c r="K5738" s="206" t="s">
        <v>121</v>
      </c>
      <c r="L5738" s="206" t="str">
        <v/>
      </c>
      <c r="M5738" s="206" t="str">
        <v/>
      </c>
    </row>
    <row r="5739" spans="1:13" ht="14.4">
      <c r="A5739" s="201"/>
      <c r="B5739" s="209"/>
      <c r="C5739" s="201"/>
      <c r="D5739" s="201"/>
      <c r="E5739" s="202"/>
      <c r="F5739" s="210"/>
      <c r="G5739" s="210"/>
      <c r="H5739" s="206" t="s">
        <v>121</v>
      </c>
      <c r="I5739" s="206" t="s">
        <v>121</v>
      </c>
      <c r="J5739" s="206" t="s">
        <v>121</v>
      </c>
      <c r="K5739" s="206" t="s">
        <v>121</v>
      </c>
      <c r="L5739" s="206" t="str">
        <v/>
      </c>
      <c r="M5739" s="206" t="str">
        <v/>
      </c>
    </row>
    <row r="5740" spans="1:13" ht="14.4">
      <c r="A5740" s="201"/>
      <c r="B5740" s="209"/>
      <c r="C5740" s="201"/>
      <c r="D5740" s="201"/>
      <c r="E5740" s="202"/>
      <c r="F5740" s="210"/>
      <c r="G5740" s="210"/>
      <c r="H5740" s="206" t="s">
        <v>121</v>
      </c>
      <c r="I5740" s="206" t="s">
        <v>121</v>
      </c>
      <c r="J5740" s="206" t="s">
        <v>121</v>
      </c>
      <c r="K5740" s="206" t="s">
        <v>121</v>
      </c>
      <c r="L5740" s="206" t="str">
        <v/>
      </c>
      <c r="M5740" s="206" t="str">
        <v/>
      </c>
    </row>
    <row r="5741" spans="1:13" ht="14.4">
      <c r="A5741" s="201"/>
      <c r="B5741" s="209"/>
      <c r="C5741" s="201"/>
      <c r="D5741" s="201"/>
      <c r="E5741" s="202"/>
      <c r="F5741" s="210"/>
      <c r="G5741" s="210"/>
      <c r="H5741" s="206" t="s">
        <v>121</v>
      </c>
      <c r="I5741" s="206" t="s">
        <v>121</v>
      </c>
      <c r="J5741" s="206" t="s">
        <v>121</v>
      </c>
      <c r="K5741" s="206" t="s">
        <v>121</v>
      </c>
      <c r="L5741" s="206" t="str">
        <v/>
      </c>
      <c r="M5741" s="206" t="str">
        <v/>
      </c>
    </row>
    <row r="5742" spans="1:13" ht="14.4">
      <c r="A5742" s="201"/>
      <c r="B5742" s="209"/>
      <c r="C5742" s="201"/>
      <c r="D5742" s="201"/>
      <c r="E5742" s="202"/>
      <c r="F5742" s="210"/>
      <c r="G5742" s="210"/>
      <c r="H5742" s="206" t="s">
        <v>121</v>
      </c>
      <c r="I5742" s="206" t="s">
        <v>121</v>
      </c>
      <c r="J5742" s="206" t="s">
        <v>121</v>
      </c>
      <c r="K5742" s="206" t="s">
        <v>121</v>
      </c>
      <c r="L5742" s="206" t="str">
        <v/>
      </c>
      <c r="M5742" s="206" t="str">
        <v/>
      </c>
    </row>
    <row r="5743" spans="1:13" ht="14.4">
      <c r="A5743" s="201"/>
      <c r="B5743" s="209"/>
      <c r="C5743" s="201"/>
      <c r="D5743" s="201"/>
      <c r="E5743" s="202"/>
      <c r="F5743" s="210"/>
      <c r="G5743" s="210"/>
      <c r="H5743" s="206" t="s">
        <v>121</v>
      </c>
      <c r="I5743" s="206" t="s">
        <v>121</v>
      </c>
      <c r="J5743" s="206" t="s">
        <v>121</v>
      </c>
      <c r="K5743" s="206" t="s">
        <v>121</v>
      </c>
      <c r="L5743" s="206" t="str">
        <v/>
      </c>
      <c r="M5743" s="206" t="str">
        <v/>
      </c>
    </row>
    <row r="5744" spans="1:13" ht="14.4">
      <c r="A5744" s="201"/>
      <c r="B5744" s="209"/>
      <c r="C5744" s="201"/>
      <c r="D5744" s="201"/>
      <c r="E5744" s="202"/>
      <c r="F5744" s="210"/>
      <c r="G5744" s="210"/>
      <c r="H5744" s="206" t="s">
        <v>121</v>
      </c>
      <c r="I5744" s="206" t="s">
        <v>121</v>
      </c>
      <c r="J5744" s="206" t="s">
        <v>121</v>
      </c>
      <c r="K5744" s="206" t="s">
        <v>121</v>
      </c>
      <c r="L5744" s="206" t="str">
        <v/>
      </c>
      <c r="M5744" s="206" t="str">
        <v/>
      </c>
    </row>
    <row r="5745" spans="1:13" ht="14.4">
      <c r="A5745" s="201"/>
      <c r="B5745" s="209"/>
      <c r="C5745" s="201"/>
      <c r="D5745" s="201"/>
      <c r="E5745" s="202"/>
      <c r="F5745" s="210"/>
      <c r="G5745" s="210"/>
      <c r="H5745" s="206" t="s">
        <v>121</v>
      </c>
      <c r="I5745" s="206" t="s">
        <v>121</v>
      </c>
      <c r="J5745" s="206" t="s">
        <v>121</v>
      </c>
      <c r="K5745" s="206" t="s">
        <v>121</v>
      </c>
      <c r="L5745" s="206" t="str">
        <v/>
      </c>
      <c r="M5745" s="206" t="str">
        <v/>
      </c>
    </row>
    <row r="5746" spans="1:13" ht="14.4">
      <c r="A5746" s="201"/>
      <c r="B5746" s="209"/>
      <c r="C5746" s="201"/>
      <c r="D5746" s="201"/>
      <c r="E5746" s="202"/>
      <c r="F5746" s="210"/>
      <c r="G5746" s="210"/>
      <c r="H5746" s="206" t="s">
        <v>121</v>
      </c>
      <c r="I5746" s="206" t="s">
        <v>121</v>
      </c>
      <c r="J5746" s="206" t="s">
        <v>121</v>
      </c>
      <c r="K5746" s="206" t="s">
        <v>121</v>
      </c>
      <c r="L5746" s="206" t="str">
        <v/>
      </c>
      <c r="M5746" s="206" t="str">
        <v/>
      </c>
    </row>
    <row r="5747" spans="1:13" ht="14.4">
      <c r="A5747" s="201"/>
      <c r="B5747" s="209"/>
      <c r="C5747" s="201"/>
      <c r="D5747" s="201"/>
      <c r="E5747" s="202"/>
      <c r="F5747" s="210"/>
      <c r="G5747" s="210"/>
      <c r="H5747" s="206" t="s">
        <v>121</v>
      </c>
      <c r="I5747" s="206" t="s">
        <v>121</v>
      </c>
      <c r="J5747" s="206" t="s">
        <v>121</v>
      </c>
      <c r="K5747" s="206" t="s">
        <v>121</v>
      </c>
      <c r="L5747" s="206" t="str">
        <v/>
      </c>
      <c r="M5747" s="206" t="str">
        <v/>
      </c>
    </row>
    <row r="5748" spans="1:13" ht="14.4">
      <c r="A5748" s="201"/>
      <c r="B5748" s="209"/>
      <c r="C5748" s="201"/>
      <c r="D5748" s="201"/>
      <c r="E5748" s="202"/>
      <c r="F5748" s="210"/>
      <c r="G5748" s="210"/>
      <c r="H5748" s="206" t="s">
        <v>121</v>
      </c>
      <c r="I5748" s="206" t="s">
        <v>121</v>
      </c>
      <c r="J5748" s="206" t="s">
        <v>121</v>
      </c>
      <c r="K5748" s="206" t="s">
        <v>121</v>
      </c>
      <c r="L5748" s="206" t="str">
        <v/>
      </c>
      <c r="M5748" s="206" t="str">
        <v/>
      </c>
    </row>
    <row r="5749" spans="1:13" ht="14.4">
      <c r="A5749" s="201"/>
      <c r="B5749" s="209"/>
      <c r="C5749" s="201"/>
      <c r="D5749" s="201"/>
      <c r="E5749" s="202"/>
      <c r="F5749" s="210"/>
      <c r="G5749" s="210"/>
      <c r="H5749" s="206" t="s">
        <v>121</v>
      </c>
      <c r="I5749" s="206" t="s">
        <v>121</v>
      </c>
      <c r="J5749" s="206" t="s">
        <v>121</v>
      </c>
      <c r="K5749" s="206" t="s">
        <v>121</v>
      </c>
      <c r="L5749" s="206" t="str">
        <v/>
      </c>
      <c r="M5749" s="206" t="str">
        <v/>
      </c>
    </row>
    <row r="5750" spans="1:13" ht="14.4">
      <c r="A5750" s="201"/>
      <c r="B5750" s="209"/>
      <c r="C5750" s="201"/>
      <c r="D5750" s="201"/>
      <c r="E5750" s="202"/>
      <c r="F5750" s="210"/>
      <c r="G5750" s="210"/>
      <c r="H5750" s="206" t="s">
        <v>121</v>
      </c>
      <c r="I5750" s="206" t="s">
        <v>121</v>
      </c>
      <c r="J5750" s="206" t="s">
        <v>121</v>
      </c>
      <c r="K5750" s="206" t="s">
        <v>121</v>
      </c>
      <c r="L5750" s="206" t="str">
        <v/>
      </c>
      <c r="M5750" s="206" t="str">
        <v/>
      </c>
    </row>
    <row r="5751" spans="1:13" ht="14.4">
      <c r="A5751" s="201"/>
      <c r="B5751" s="209"/>
      <c r="C5751" s="201"/>
      <c r="D5751" s="201"/>
      <c r="E5751" s="202"/>
      <c r="F5751" s="210"/>
      <c r="G5751" s="210"/>
      <c r="H5751" s="206" t="s">
        <v>121</v>
      </c>
      <c r="I5751" s="206" t="s">
        <v>121</v>
      </c>
      <c r="J5751" s="206" t="s">
        <v>121</v>
      </c>
      <c r="K5751" s="206" t="s">
        <v>121</v>
      </c>
      <c r="L5751" s="206" t="str">
        <v/>
      </c>
      <c r="M5751" s="206" t="str">
        <v/>
      </c>
    </row>
    <row r="5752" spans="1:13" ht="14.4">
      <c r="A5752" s="201"/>
      <c r="B5752" s="209"/>
      <c r="C5752" s="201"/>
      <c r="D5752" s="201"/>
      <c r="E5752" s="202"/>
      <c r="F5752" s="210"/>
      <c r="G5752" s="210"/>
      <c r="H5752" s="206" t="s">
        <v>121</v>
      </c>
      <c r="I5752" s="206" t="s">
        <v>121</v>
      </c>
      <c r="J5752" s="206" t="s">
        <v>121</v>
      </c>
      <c r="K5752" s="206" t="s">
        <v>121</v>
      </c>
      <c r="L5752" s="206" t="str">
        <v/>
      </c>
      <c r="M5752" s="206" t="str">
        <v/>
      </c>
    </row>
    <row r="5753" spans="1:13" ht="14.4">
      <c r="A5753" s="201"/>
      <c r="B5753" s="209"/>
      <c r="C5753" s="201"/>
      <c r="D5753" s="201"/>
      <c r="E5753" s="202"/>
      <c r="F5753" s="210"/>
      <c r="G5753" s="210"/>
      <c r="H5753" s="206" t="s">
        <v>121</v>
      </c>
      <c r="I5753" s="206" t="s">
        <v>121</v>
      </c>
      <c r="J5753" s="206" t="s">
        <v>121</v>
      </c>
      <c r="K5753" s="206" t="s">
        <v>121</v>
      </c>
      <c r="L5753" s="206" t="str">
        <v/>
      </c>
      <c r="M5753" s="206" t="str">
        <v/>
      </c>
    </row>
    <row r="5754" spans="1:13" ht="14.4">
      <c r="A5754" s="201"/>
      <c r="B5754" s="209"/>
      <c r="C5754" s="201"/>
      <c r="D5754" s="201"/>
      <c r="E5754" s="202"/>
      <c r="F5754" s="210"/>
      <c r="G5754" s="210"/>
      <c r="H5754" s="206" t="s">
        <v>121</v>
      </c>
      <c r="I5754" s="206" t="s">
        <v>121</v>
      </c>
      <c r="J5754" s="206" t="s">
        <v>121</v>
      </c>
      <c r="K5754" s="206" t="s">
        <v>121</v>
      </c>
      <c r="L5754" s="206" t="str">
        <v/>
      </c>
      <c r="M5754" s="206" t="str">
        <v/>
      </c>
    </row>
    <row r="5755" spans="1:13" ht="14.4">
      <c r="A5755" s="201"/>
      <c r="B5755" s="209"/>
      <c r="C5755" s="201"/>
      <c r="D5755" s="201"/>
      <c r="E5755" s="202"/>
      <c r="F5755" s="210"/>
      <c r="G5755" s="210"/>
      <c r="H5755" s="206" t="s">
        <v>121</v>
      </c>
      <c r="I5755" s="206" t="s">
        <v>121</v>
      </c>
      <c r="J5755" s="206" t="s">
        <v>121</v>
      </c>
      <c r="K5755" s="206" t="s">
        <v>121</v>
      </c>
      <c r="L5755" s="206" t="str">
        <v/>
      </c>
      <c r="M5755" s="206" t="str">
        <v/>
      </c>
    </row>
    <row r="5756" spans="1:13" ht="14.4">
      <c r="A5756" s="201"/>
      <c r="B5756" s="209"/>
      <c r="C5756" s="201"/>
      <c r="D5756" s="201"/>
      <c r="E5756" s="202"/>
      <c r="F5756" s="210"/>
      <c r="G5756" s="210"/>
      <c r="H5756" s="206" t="s">
        <v>121</v>
      </c>
      <c r="I5756" s="206" t="s">
        <v>121</v>
      </c>
      <c r="J5756" s="206" t="s">
        <v>121</v>
      </c>
      <c r="K5756" s="206" t="s">
        <v>121</v>
      </c>
      <c r="L5756" s="206" t="str">
        <v/>
      </c>
      <c r="M5756" s="206" t="str">
        <v/>
      </c>
    </row>
    <row r="5757" spans="1:13" ht="14.4">
      <c r="A5757" s="201"/>
      <c r="B5757" s="209"/>
      <c r="C5757" s="201"/>
      <c r="D5757" s="201"/>
      <c r="E5757" s="202"/>
      <c r="F5757" s="210"/>
      <c r="G5757" s="210"/>
      <c r="H5757" s="206" t="s">
        <v>121</v>
      </c>
      <c r="I5757" s="206" t="s">
        <v>121</v>
      </c>
      <c r="J5757" s="206" t="s">
        <v>121</v>
      </c>
      <c r="K5757" s="206" t="s">
        <v>121</v>
      </c>
      <c r="L5757" s="206" t="str">
        <v/>
      </c>
      <c r="M5757" s="206" t="str">
        <v/>
      </c>
    </row>
    <row r="5758" spans="1:13" ht="14.4">
      <c r="A5758" s="201"/>
      <c r="B5758" s="209"/>
      <c r="C5758" s="201"/>
      <c r="D5758" s="201"/>
      <c r="E5758" s="202"/>
      <c r="F5758" s="210"/>
      <c r="G5758" s="210"/>
      <c r="H5758" s="206" t="s">
        <v>121</v>
      </c>
      <c r="I5758" s="206" t="s">
        <v>121</v>
      </c>
      <c r="J5758" s="206" t="s">
        <v>121</v>
      </c>
      <c r="K5758" s="206" t="s">
        <v>121</v>
      </c>
      <c r="L5758" s="206" t="str">
        <v/>
      </c>
      <c r="M5758" s="206" t="str">
        <v/>
      </c>
    </row>
    <row r="5759" spans="1:13" ht="14.4">
      <c r="A5759" s="201"/>
      <c r="B5759" s="209"/>
      <c r="C5759" s="201"/>
      <c r="D5759" s="201"/>
      <c r="E5759" s="202"/>
      <c r="F5759" s="210"/>
      <c r="G5759" s="210"/>
      <c r="H5759" s="206" t="s">
        <v>121</v>
      </c>
      <c r="I5759" s="206" t="s">
        <v>121</v>
      </c>
      <c r="J5759" s="206" t="s">
        <v>121</v>
      </c>
      <c r="K5759" s="206" t="s">
        <v>121</v>
      </c>
      <c r="L5759" s="206" t="str">
        <v/>
      </c>
      <c r="M5759" s="206" t="str">
        <v/>
      </c>
    </row>
    <row r="5760" spans="1:13" ht="14.4">
      <c r="A5760" s="201"/>
      <c r="B5760" s="209"/>
      <c r="C5760" s="201"/>
      <c r="D5760" s="201"/>
      <c r="E5760" s="202"/>
      <c r="F5760" s="210"/>
      <c r="G5760" s="210"/>
      <c r="H5760" s="206" t="s">
        <v>121</v>
      </c>
      <c r="I5760" s="206" t="s">
        <v>121</v>
      </c>
      <c r="J5760" s="206" t="s">
        <v>121</v>
      </c>
      <c r="K5760" s="206" t="s">
        <v>121</v>
      </c>
      <c r="L5760" s="206" t="str">
        <v/>
      </c>
      <c r="M5760" s="206" t="str">
        <v/>
      </c>
    </row>
    <row r="5761" spans="1:13" ht="14.4">
      <c r="A5761" s="201"/>
      <c r="B5761" s="209"/>
      <c r="C5761" s="201"/>
      <c r="D5761" s="201"/>
      <c r="E5761" s="202"/>
      <c r="F5761" s="210"/>
      <c r="G5761" s="210"/>
      <c r="H5761" s="206" t="s">
        <v>121</v>
      </c>
      <c r="I5761" s="206" t="s">
        <v>121</v>
      </c>
      <c r="J5761" s="206" t="s">
        <v>121</v>
      </c>
      <c r="K5761" s="206" t="s">
        <v>121</v>
      </c>
      <c r="L5761" s="206" t="str">
        <v/>
      </c>
      <c r="M5761" s="206" t="str">
        <v/>
      </c>
    </row>
    <row r="5762" spans="1:13" ht="14.4">
      <c r="A5762" s="201"/>
      <c r="B5762" s="209"/>
      <c r="C5762" s="201"/>
      <c r="D5762" s="201"/>
      <c r="E5762" s="202"/>
      <c r="F5762" s="210"/>
      <c r="G5762" s="210"/>
      <c r="H5762" s="206" t="s">
        <v>121</v>
      </c>
      <c r="I5762" s="206" t="s">
        <v>121</v>
      </c>
      <c r="J5762" s="206" t="s">
        <v>121</v>
      </c>
      <c r="K5762" s="206" t="s">
        <v>121</v>
      </c>
      <c r="L5762" s="206" t="str">
        <v/>
      </c>
      <c r="M5762" s="206" t="str">
        <v/>
      </c>
    </row>
    <row r="5763" spans="1:13" ht="14.4">
      <c r="A5763" s="201"/>
      <c r="B5763" s="209"/>
      <c r="C5763" s="201"/>
      <c r="D5763" s="201"/>
      <c r="E5763" s="202"/>
      <c r="F5763" s="210"/>
      <c r="G5763" s="210"/>
      <c r="H5763" s="206" t="s">
        <v>121</v>
      </c>
      <c r="I5763" s="206" t="s">
        <v>121</v>
      </c>
      <c r="J5763" s="206" t="s">
        <v>121</v>
      </c>
      <c r="K5763" s="206" t="s">
        <v>121</v>
      </c>
      <c r="L5763" s="206" t="str">
        <v/>
      </c>
      <c r="M5763" s="206" t="str">
        <v/>
      </c>
    </row>
    <row r="5764" spans="1:13" ht="14.4">
      <c r="A5764" s="201"/>
      <c r="B5764" s="209"/>
      <c r="C5764" s="201"/>
      <c r="D5764" s="201"/>
      <c r="E5764" s="202"/>
      <c r="F5764" s="210"/>
      <c r="G5764" s="210"/>
      <c r="H5764" s="206" t="s">
        <v>121</v>
      </c>
      <c r="I5764" s="206" t="s">
        <v>121</v>
      </c>
      <c r="J5764" s="206" t="s">
        <v>121</v>
      </c>
      <c r="K5764" s="206" t="s">
        <v>121</v>
      </c>
      <c r="L5764" s="206" t="str">
        <v/>
      </c>
      <c r="M5764" s="206" t="str">
        <v/>
      </c>
    </row>
    <row r="5765" spans="1:13" ht="14.4">
      <c r="A5765" s="201"/>
      <c r="B5765" s="209"/>
      <c r="C5765" s="201"/>
      <c r="D5765" s="201"/>
      <c r="E5765" s="202"/>
      <c r="F5765" s="210"/>
      <c r="G5765" s="210"/>
      <c r="H5765" s="206" t="s">
        <v>121</v>
      </c>
      <c r="I5765" s="206" t="s">
        <v>121</v>
      </c>
      <c r="J5765" s="206" t="s">
        <v>121</v>
      </c>
      <c r="K5765" s="206" t="s">
        <v>121</v>
      </c>
      <c r="L5765" s="206" t="str">
        <v/>
      </c>
      <c r="M5765" s="206" t="str">
        <v/>
      </c>
    </row>
    <row r="5766" spans="1:13" ht="14.4">
      <c r="A5766" s="201"/>
      <c r="B5766" s="209"/>
      <c r="C5766" s="201"/>
      <c r="D5766" s="201"/>
      <c r="E5766" s="202"/>
      <c r="F5766" s="210"/>
      <c r="G5766" s="210"/>
      <c r="H5766" s="206" t="s">
        <v>121</v>
      </c>
      <c r="I5766" s="206" t="s">
        <v>121</v>
      </c>
      <c r="J5766" s="206" t="s">
        <v>121</v>
      </c>
      <c r="K5766" s="206" t="s">
        <v>121</v>
      </c>
      <c r="L5766" s="206" t="str">
        <v/>
      </c>
      <c r="M5766" s="206" t="str">
        <v/>
      </c>
    </row>
    <row r="5767" spans="1:13" ht="14.4">
      <c r="A5767" s="201"/>
      <c r="B5767" s="209"/>
      <c r="C5767" s="201"/>
      <c r="D5767" s="201"/>
      <c r="E5767" s="202"/>
      <c r="F5767" s="210"/>
      <c r="G5767" s="210"/>
      <c r="H5767" s="206" t="s">
        <v>121</v>
      </c>
      <c r="I5767" s="206" t="s">
        <v>121</v>
      </c>
      <c r="J5767" s="206" t="s">
        <v>121</v>
      </c>
      <c r="K5767" s="206" t="s">
        <v>121</v>
      </c>
      <c r="L5767" s="206" t="str">
        <v/>
      </c>
      <c r="M5767" s="206" t="str">
        <v/>
      </c>
    </row>
    <row r="5768" spans="1:13" ht="14.4">
      <c r="A5768" s="201"/>
      <c r="B5768" s="209"/>
      <c r="C5768" s="201"/>
      <c r="D5768" s="201"/>
      <c r="E5768" s="202"/>
      <c r="F5768" s="210"/>
      <c r="G5768" s="210"/>
      <c r="H5768" s="206" t="s">
        <v>121</v>
      </c>
      <c r="I5768" s="206" t="s">
        <v>121</v>
      </c>
      <c r="J5768" s="206" t="s">
        <v>121</v>
      </c>
      <c r="K5768" s="206" t="s">
        <v>121</v>
      </c>
      <c r="L5768" s="206" t="str">
        <v/>
      </c>
      <c r="M5768" s="206" t="str">
        <v/>
      </c>
    </row>
    <row r="5769" spans="1:13" ht="14.4">
      <c r="A5769" s="201"/>
      <c r="B5769" s="209"/>
      <c r="C5769" s="201"/>
      <c r="D5769" s="201"/>
      <c r="E5769" s="202"/>
      <c r="F5769" s="210"/>
      <c r="G5769" s="210"/>
      <c r="H5769" s="206" t="s">
        <v>121</v>
      </c>
      <c r="I5769" s="206" t="s">
        <v>121</v>
      </c>
      <c r="J5769" s="206" t="s">
        <v>121</v>
      </c>
      <c r="K5769" s="206" t="s">
        <v>121</v>
      </c>
      <c r="L5769" s="206" t="str">
        <v/>
      </c>
      <c r="M5769" s="206" t="str">
        <v/>
      </c>
    </row>
    <row r="5770" spans="1:13" ht="14.4">
      <c r="A5770" s="201"/>
      <c r="B5770" s="209"/>
      <c r="C5770" s="201"/>
      <c r="D5770" s="201"/>
      <c r="E5770" s="202"/>
      <c r="F5770" s="210"/>
      <c r="G5770" s="210"/>
      <c r="H5770" s="206" t="s">
        <v>121</v>
      </c>
      <c r="I5770" s="206" t="s">
        <v>121</v>
      </c>
      <c r="J5770" s="206" t="s">
        <v>121</v>
      </c>
      <c r="K5770" s="206" t="s">
        <v>121</v>
      </c>
      <c r="L5770" s="206" t="str">
        <v/>
      </c>
      <c r="M5770" s="206" t="str">
        <v/>
      </c>
    </row>
    <row r="5771" spans="1:13" ht="14.4">
      <c r="A5771" s="201"/>
      <c r="B5771" s="209"/>
      <c r="C5771" s="201"/>
      <c r="D5771" s="201"/>
      <c r="E5771" s="202"/>
      <c r="F5771" s="210"/>
      <c r="G5771" s="210"/>
      <c r="H5771" s="206" t="s">
        <v>121</v>
      </c>
      <c r="I5771" s="206" t="s">
        <v>121</v>
      </c>
      <c r="J5771" s="206" t="s">
        <v>121</v>
      </c>
      <c r="K5771" s="206" t="s">
        <v>121</v>
      </c>
      <c r="L5771" s="206" t="str">
        <v/>
      </c>
      <c r="M5771" s="206" t="str">
        <v/>
      </c>
    </row>
    <row r="5772" spans="1:13" ht="14.4">
      <c r="A5772" s="201"/>
      <c r="B5772" s="209"/>
      <c r="C5772" s="201"/>
      <c r="D5772" s="201"/>
      <c r="E5772" s="202"/>
      <c r="F5772" s="210"/>
      <c r="G5772" s="210"/>
      <c r="H5772" s="206" t="s">
        <v>121</v>
      </c>
      <c r="I5772" s="206" t="s">
        <v>121</v>
      </c>
      <c r="J5772" s="206" t="s">
        <v>121</v>
      </c>
      <c r="K5772" s="206" t="s">
        <v>121</v>
      </c>
      <c r="L5772" s="206" t="str">
        <v/>
      </c>
      <c r="M5772" s="206" t="str">
        <v/>
      </c>
    </row>
    <row r="5773" spans="1:13" ht="14.4">
      <c r="A5773" s="201"/>
      <c r="B5773" s="209"/>
      <c r="C5773" s="201"/>
      <c r="D5773" s="201"/>
      <c r="E5773" s="202"/>
      <c r="F5773" s="210"/>
      <c r="G5773" s="210"/>
      <c r="H5773" s="206" t="s">
        <v>121</v>
      </c>
      <c r="I5773" s="206" t="s">
        <v>121</v>
      </c>
      <c r="J5773" s="206" t="s">
        <v>121</v>
      </c>
      <c r="K5773" s="206" t="s">
        <v>121</v>
      </c>
      <c r="L5773" s="206" t="str">
        <v/>
      </c>
      <c r="M5773" s="206" t="str">
        <v/>
      </c>
    </row>
    <row r="5774" spans="1:13" ht="14.4">
      <c r="A5774" s="201"/>
      <c r="B5774" s="209"/>
      <c r="C5774" s="201"/>
      <c r="D5774" s="201"/>
      <c r="E5774" s="202"/>
      <c r="F5774" s="210"/>
      <c r="G5774" s="210"/>
      <c r="H5774" s="206" t="s">
        <v>121</v>
      </c>
      <c r="I5774" s="206" t="s">
        <v>121</v>
      </c>
      <c r="J5774" s="206" t="s">
        <v>121</v>
      </c>
      <c r="K5774" s="206" t="s">
        <v>121</v>
      </c>
      <c r="L5774" s="206" t="str">
        <v/>
      </c>
      <c r="M5774" s="206" t="str">
        <v/>
      </c>
    </row>
    <row r="5775" spans="1:13" ht="14.4">
      <c r="A5775" s="201"/>
      <c r="B5775" s="209"/>
      <c r="C5775" s="201"/>
      <c r="D5775" s="201"/>
      <c r="E5775" s="202"/>
      <c r="F5775" s="210"/>
      <c r="G5775" s="210"/>
      <c r="H5775" s="206" t="s">
        <v>121</v>
      </c>
      <c r="I5775" s="206" t="s">
        <v>121</v>
      </c>
      <c r="J5775" s="206" t="s">
        <v>121</v>
      </c>
      <c r="K5775" s="206" t="s">
        <v>121</v>
      </c>
      <c r="L5775" s="206" t="str">
        <v/>
      </c>
      <c r="M5775" s="206" t="str">
        <v/>
      </c>
    </row>
    <row r="5776" spans="1:13" ht="14.4">
      <c r="A5776" s="201"/>
      <c r="B5776" s="209"/>
      <c r="C5776" s="201"/>
      <c r="D5776" s="201"/>
      <c r="E5776" s="202"/>
      <c r="F5776" s="210"/>
      <c r="G5776" s="210"/>
      <c r="H5776" s="206" t="s">
        <v>121</v>
      </c>
      <c r="I5776" s="206" t="s">
        <v>121</v>
      </c>
      <c r="J5776" s="206" t="s">
        <v>121</v>
      </c>
      <c r="K5776" s="206" t="s">
        <v>121</v>
      </c>
      <c r="L5776" s="206" t="str">
        <v/>
      </c>
      <c r="M5776" s="206" t="str">
        <v/>
      </c>
    </row>
    <row r="5777" spans="1:13" ht="14.4">
      <c r="A5777" s="201"/>
      <c r="B5777" s="209"/>
      <c r="C5777" s="201"/>
      <c r="D5777" s="201"/>
      <c r="E5777" s="202"/>
      <c r="F5777" s="210"/>
      <c r="G5777" s="210"/>
      <c r="H5777" s="206" t="s">
        <v>121</v>
      </c>
      <c r="I5777" s="206" t="s">
        <v>121</v>
      </c>
      <c r="J5777" s="206" t="s">
        <v>121</v>
      </c>
      <c r="K5777" s="206" t="s">
        <v>121</v>
      </c>
      <c r="L5777" s="206" t="str">
        <v/>
      </c>
      <c r="M5777" s="206" t="str">
        <v/>
      </c>
    </row>
    <row r="5778" spans="1:13" ht="14.4">
      <c r="A5778" s="201"/>
      <c r="B5778" s="209"/>
      <c r="C5778" s="201"/>
      <c r="D5778" s="201"/>
      <c r="E5778" s="202"/>
      <c r="F5778" s="210"/>
      <c r="G5778" s="210"/>
      <c r="H5778" s="206" t="s">
        <v>121</v>
      </c>
      <c r="I5778" s="206" t="s">
        <v>121</v>
      </c>
      <c r="J5778" s="206" t="s">
        <v>121</v>
      </c>
      <c r="K5778" s="206" t="s">
        <v>121</v>
      </c>
      <c r="L5778" s="206" t="str">
        <v/>
      </c>
      <c r="M5778" s="206" t="str">
        <v/>
      </c>
    </row>
    <row r="5779" spans="1:13" ht="14.4">
      <c r="A5779" s="201"/>
      <c r="B5779" s="209"/>
      <c r="C5779" s="201"/>
      <c r="D5779" s="201"/>
      <c r="E5779" s="202"/>
      <c r="F5779" s="210"/>
      <c r="G5779" s="210"/>
      <c r="H5779" s="206" t="s">
        <v>121</v>
      </c>
      <c r="I5779" s="206" t="s">
        <v>121</v>
      </c>
      <c r="J5779" s="206" t="s">
        <v>121</v>
      </c>
      <c r="K5779" s="206" t="s">
        <v>121</v>
      </c>
      <c r="L5779" s="206" t="str">
        <v/>
      </c>
      <c r="M5779" s="206" t="str">
        <v/>
      </c>
    </row>
    <row r="5780" spans="1:13" ht="14.4">
      <c r="A5780" s="201"/>
      <c r="B5780" s="209"/>
      <c r="C5780" s="201"/>
      <c r="D5780" s="201"/>
      <c r="E5780" s="202"/>
      <c r="F5780" s="210"/>
      <c r="G5780" s="210"/>
      <c r="H5780" s="206" t="s">
        <v>121</v>
      </c>
      <c r="I5780" s="206" t="s">
        <v>121</v>
      </c>
      <c r="J5780" s="206" t="s">
        <v>121</v>
      </c>
      <c r="K5780" s="206" t="s">
        <v>121</v>
      </c>
      <c r="L5780" s="206" t="str">
        <v/>
      </c>
      <c r="M5780" s="206" t="str">
        <v/>
      </c>
    </row>
    <row r="5781" spans="1:13" ht="14.4">
      <c r="A5781" s="201"/>
      <c r="B5781" s="209"/>
      <c r="C5781" s="201"/>
      <c r="D5781" s="201"/>
      <c r="E5781" s="202"/>
      <c r="F5781" s="210"/>
      <c r="G5781" s="210"/>
      <c r="H5781" s="206" t="s">
        <v>121</v>
      </c>
      <c r="I5781" s="206" t="s">
        <v>121</v>
      </c>
      <c r="J5781" s="206" t="s">
        <v>121</v>
      </c>
      <c r="K5781" s="206" t="s">
        <v>121</v>
      </c>
      <c r="L5781" s="206" t="str">
        <v/>
      </c>
      <c r="M5781" s="206" t="str">
        <v/>
      </c>
    </row>
    <row r="5782" spans="1:13" ht="14.4">
      <c r="A5782" s="201"/>
      <c r="B5782" s="209"/>
      <c r="C5782" s="201"/>
      <c r="D5782" s="201"/>
      <c r="E5782" s="202"/>
      <c r="F5782" s="210"/>
      <c r="G5782" s="210"/>
      <c r="H5782" s="206" t="s">
        <v>121</v>
      </c>
      <c r="I5782" s="206" t="s">
        <v>121</v>
      </c>
      <c r="J5782" s="206" t="s">
        <v>121</v>
      </c>
      <c r="K5782" s="206" t="s">
        <v>121</v>
      </c>
      <c r="L5782" s="206" t="str">
        <v/>
      </c>
      <c r="M5782" s="206" t="str">
        <v/>
      </c>
    </row>
    <row r="5783" spans="1:13" ht="14.4">
      <c r="A5783" s="201"/>
      <c r="B5783" s="209"/>
      <c r="C5783" s="201"/>
      <c r="D5783" s="201"/>
      <c r="E5783" s="202"/>
      <c r="F5783" s="210"/>
      <c r="G5783" s="210"/>
      <c r="H5783" s="206" t="s">
        <v>121</v>
      </c>
      <c r="I5783" s="206" t="s">
        <v>121</v>
      </c>
      <c r="J5783" s="206" t="s">
        <v>121</v>
      </c>
      <c r="K5783" s="206" t="s">
        <v>121</v>
      </c>
      <c r="L5783" s="206" t="str">
        <v/>
      </c>
      <c r="M5783" s="206" t="str">
        <v/>
      </c>
    </row>
    <row r="5784" spans="1:13" ht="14.4">
      <c r="A5784" s="201"/>
      <c r="B5784" s="209"/>
      <c r="C5784" s="201"/>
      <c r="D5784" s="201"/>
      <c r="E5784" s="202"/>
      <c r="F5784" s="210"/>
      <c r="G5784" s="210"/>
      <c r="H5784" s="206" t="s">
        <v>121</v>
      </c>
      <c r="I5784" s="206" t="s">
        <v>121</v>
      </c>
      <c r="J5784" s="206" t="s">
        <v>121</v>
      </c>
      <c r="K5784" s="206" t="s">
        <v>121</v>
      </c>
      <c r="L5784" s="206" t="str">
        <v/>
      </c>
      <c r="M5784" s="206" t="str">
        <v/>
      </c>
    </row>
    <row r="5785" spans="1:13" ht="14.4">
      <c r="A5785" s="201"/>
      <c r="B5785" s="209"/>
      <c r="C5785" s="201"/>
      <c r="D5785" s="201"/>
      <c r="E5785" s="202"/>
      <c r="F5785" s="210"/>
      <c r="G5785" s="210"/>
      <c r="H5785" s="206" t="s">
        <v>121</v>
      </c>
      <c r="I5785" s="206" t="s">
        <v>121</v>
      </c>
      <c r="J5785" s="206" t="s">
        <v>121</v>
      </c>
      <c r="K5785" s="206" t="s">
        <v>121</v>
      </c>
      <c r="L5785" s="206" t="str">
        <v/>
      </c>
      <c r="M5785" s="206" t="str">
        <v/>
      </c>
    </row>
    <row r="5786" spans="1:13" ht="14.4">
      <c r="A5786" s="201"/>
      <c r="B5786" s="209"/>
      <c r="C5786" s="201"/>
      <c r="D5786" s="201"/>
      <c r="E5786" s="202"/>
      <c r="F5786" s="210"/>
      <c r="G5786" s="210"/>
      <c r="H5786" s="206" t="s">
        <v>121</v>
      </c>
      <c r="I5786" s="206" t="s">
        <v>121</v>
      </c>
      <c r="J5786" s="206" t="s">
        <v>121</v>
      </c>
      <c r="K5786" s="206" t="s">
        <v>121</v>
      </c>
      <c r="L5786" s="206" t="str">
        <v/>
      </c>
      <c r="M5786" s="206" t="str">
        <v/>
      </c>
    </row>
    <row r="5787" spans="1:13" ht="14.4">
      <c r="A5787" s="201"/>
      <c r="B5787" s="209"/>
      <c r="C5787" s="201"/>
      <c r="D5787" s="201"/>
      <c r="E5787" s="202"/>
      <c r="F5787" s="210"/>
      <c r="G5787" s="210"/>
      <c r="H5787" s="206" t="s">
        <v>121</v>
      </c>
      <c r="I5787" s="206" t="s">
        <v>121</v>
      </c>
      <c r="J5787" s="206" t="s">
        <v>121</v>
      </c>
      <c r="K5787" s="206" t="s">
        <v>121</v>
      </c>
      <c r="L5787" s="206" t="str">
        <v/>
      </c>
      <c r="M5787" s="206" t="str">
        <v/>
      </c>
    </row>
    <row r="5788" spans="1:13" ht="14.4">
      <c r="A5788" s="201"/>
      <c r="B5788" s="209"/>
      <c r="C5788" s="201"/>
      <c r="D5788" s="201"/>
      <c r="E5788" s="202"/>
      <c r="F5788" s="210"/>
      <c r="G5788" s="210"/>
      <c r="H5788" s="206" t="s">
        <v>121</v>
      </c>
      <c r="I5788" s="206" t="s">
        <v>121</v>
      </c>
      <c r="J5788" s="206" t="s">
        <v>121</v>
      </c>
      <c r="K5788" s="206" t="s">
        <v>121</v>
      </c>
      <c r="L5788" s="206" t="str">
        <v/>
      </c>
      <c r="M5788" s="206" t="str">
        <v/>
      </c>
    </row>
    <row r="5789" spans="1:13" ht="14.4">
      <c r="A5789" s="201"/>
      <c r="B5789" s="209"/>
      <c r="C5789" s="201"/>
      <c r="D5789" s="201"/>
      <c r="E5789" s="202"/>
      <c r="F5789" s="210"/>
      <c r="G5789" s="210"/>
      <c r="H5789" s="206" t="s">
        <v>121</v>
      </c>
      <c r="I5789" s="206" t="s">
        <v>121</v>
      </c>
      <c r="J5789" s="206" t="s">
        <v>121</v>
      </c>
      <c r="K5789" s="206" t="s">
        <v>121</v>
      </c>
      <c r="L5789" s="206" t="str">
        <v/>
      </c>
      <c r="M5789" s="206" t="str">
        <v/>
      </c>
    </row>
    <row r="5790" spans="1:13" ht="14.4">
      <c r="A5790" s="201"/>
      <c r="B5790" s="209"/>
      <c r="C5790" s="201"/>
      <c r="D5790" s="201"/>
      <c r="E5790" s="202"/>
      <c r="F5790" s="210"/>
      <c r="G5790" s="210"/>
      <c r="H5790" s="206" t="s">
        <v>121</v>
      </c>
      <c r="I5790" s="206" t="s">
        <v>121</v>
      </c>
      <c r="J5790" s="206" t="s">
        <v>121</v>
      </c>
      <c r="K5790" s="206" t="s">
        <v>121</v>
      </c>
      <c r="L5790" s="206" t="str">
        <v/>
      </c>
      <c r="M5790" s="206" t="str">
        <v/>
      </c>
    </row>
    <row r="5791" spans="1:13" ht="14.4">
      <c r="A5791" s="201"/>
      <c r="B5791" s="209"/>
      <c r="C5791" s="201"/>
      <c r="D5791" s="201"/>
      <c r="E5791" s="202"/>
      <c r="F5791" s="210"/>
      <c r="G5791" s="210"/>
      <c r="H5791" s="206" t="s">
        <v>121</v>
      </c>
      <c r="I5791" s="206" t="s">
        <v>121</v>
      </c>
      <c r="J5791" s="206" t="s">
        <v>121</v>
      </c>
      <c r="K5791" s="206" t="s">
        <v>121</v>
      </c>
      <c r="L5791" s="206" t="str">
        <v/>
      </c>
      <c r="M5791" s="206" t="str">
        <v/>
      </c>
    </row>
    <row r="5792" spans="1:13" ht="14.4">
      <c r="A5792" s="201"/>
      <c r="B5792" s="209"/>
      <c r="C5792" s="201"/>
      <c r="D5792" s="201"/>
      <c r="E5792" s="202"/>
      <c r="F5792" s="210"/>
      <c r="G5792" s="210"/>
      <c r="H5792" s="206" t="s">
        <v>121</v>
      </c>
      <c r="I5792" s="206" t="s">
        <v>121</v>
      </c>
      <c r="J5792" s="206" t="s">
        <v>121</v>
      </c>
      <c r="K5792" s="206" t="s">
        <v>121</v>
      </c>
      <c r="L5792" s="206" t="str">
        <v/>
      </c>
      <c r="M5792" s="206" t="str">
        <v/>
      </c>
    </row>
    <row r="5793" spans="1:13" ht="14.4">
      <c r="A5793" s="201"/>
      <c r="B5793" s="209"/>
      <c r="C5793" s="201"/>
      <c r="D5793" s="201"/>
      <c r="E5793" s="202"/>
      <c r="F5793" s="210"/>
      <c r="G5793" s="210"/>
      <c r="H5793" s="206" t="s">
        <v>121</v>
      </c>
      <c r="I5793" s="206" t="s">
        <v>121</v>
      </c>
      <c r="J5793" s="206" t="s">
        <v>121</v>
      </c>
      <c r="K5793" s="206" t="s">
        <v>121</v>
      </c>
      <c r="L5793" s="206" t="str">
        <v/>
      </c>
      <c r="M5793" s="206" t="str">
        <v/>
      </c>
    </row>
    <row r="5794" spans="1:13" ht="14.4">
      <c r="A5794" s="201"/>
      <c r="B5794" s="209"/>
      <c r="C5794" s="201"/>
      <c r="D5794" s="201"/>
      <c r="E5794" s="202"/>
      <c r="F5794" s="210"/>
      <c r="G5794" s="210"/>
      <c r="H5794" s="206" t="s">
        <v>121</v>
      </c>
      <c r="I5794" s="206" t="s">
        <v>121</v>
      </c>
      <c r="J5794" s="206" t="s">
        <v>121</v>
      </c>
      <c r="K5794" s="206" t="s">
        <v>121</v>
      </c>
      <c r="L5794" s="206" t="str">
        <v/>
      </c>
      <c r="M5794" s="206" t="str">
        <v/>
      </c>
    </row>
    <row r="5795" spans="1:13" ht="14.4">
      <c r="A5795" s="201"/>
      <c r="B5795" s="209"/>
      <c r="C5795" s="201"/>
      <c r="D5795" s="201"/>
      <c r="E5795" s="202"/>
      <c r="F5795" s="210"/>
      <c r="G5795" s="210"/>
      <c r="H5795" s="206" t="s">
        <v>121</v>
      </c>
      <c r="I5795" s="206" t="s">
        <v>121</v>
      </c>
      <c r="J5795" s="206" t="s">
        <v>121</v>
      </c>
      <c r="K5795" s="206" t="s">
        <v>121</v>
      </c>
      <c r="L5795" s="206" t="str">
        <v/>
      </c>
      <c r="M5795" s="206" t="str">
        <v/>
      </c>
    </row>
    <row r="5796" spans="1:13" ht="14.4">
      <c r="A5796" s="201"/>
      <c r="B5796" s="209"/>
      <c r="C5796" s="201"/>
      <c r="D5796" s="201"/>
      <c r="E5796" s="202"/>
      <c r="F5796" s="210"/>
      <c r="G5796" s="210"/>
      <c r="H5796" s="206" t="s">
        <v>121</v>
      </c>
      <c r="I5796" s="206" t="s">
        <v>121</v>
      </c>
      <c r="J5796" s="206" t="s">
        <v>121</v>
      </c>
      <c r="K5796" s="206" t="s">
        <v>121</v>
      </c>
      <c r="L5796" s="206" t="str">
        <v/>
      </c>
      <c r="M5796" s="206" t="str">
        <v/>
      </c>
    </row>
    <row r="5797" spans="1:13" ht="14.4">
      <c r="A5797" s="201"/>
      <c r="B5797" s="209"/>
      <c r="C5797" s="201"/>
      <c r="D5797" s="201"/>
      <c r="E5797" s="202"/>
      <c r="F5797" s="210"/>
      <c r="G5797" s="210"/>
      <c r="H5797" s="206" t="s">
        <v>121</v>
      </c>
      <c r="I5797" s="206" t="s">
        <v>121</v>
      </c>
      <c r="J5797" s="206" t="s">
        <v>121</v>
      </c>
      <c r="K5797" s="206" t="s">
        <v>121</v>
      </c>
      <c r="L5797" s="206" t="str">
        <v/>
      </c>
      <c r="M5797" s="206" t="str">
        <v/>
      </c>
    </row>
    <row r="5798" spans="1:13" ht="14.4">
      <c r="A5798" s="201"/>
      <c r="B5798" s="209"/>
      <c r="C5798" s="201"/>
      <c r="D5798" s="201"/>
      <c r="E5798" s="202"/>
      <c r="F5798" s="210"/>
      <c r="G5798" s="210"/>
      <c r="H5798" s="206" t="s">
        <v>121</v>
      </c>
      <c r="I5798" s="206" t="s">
        <v>121</v>
      </c>
      <c r="J5798" s="206" t="s">
        <v>121</v>
      </c>
      <c r="K5798" s="206" t="s">
        <v>121</v>
      </c>
      <c r="L5798" s="206" t="str">
        <v/>
      </c>
      <c r="M5798" s="206" t="str">
        <v/>
      </c>
    </row>
    <row r="5799" spans="1:13" ht="14.4">
      <c r="A5799" s="201"/>
      <c r="B5799" s="209"/>
      <c r="C5799" s="201"/>
      <c r="D5799" s="201"/>
      <c r="E5799" s="202"/>
      <c r="F5799" s="210"/>
      <c r="G5799" s="210"/>
      <c r="H5799" s="206" t="s">
        <v>121</v>
      </c>
      <c r="I5799" s="206" t="s">
        <v>121</v>
      </c>
      <c r="J5799" s="206" t="s">
        <v>121</v>
      </c>
      <c r="K5799" s="206" t="s">
        <v>121</v>
      </c>
      <c r="L5799" s="206" t="str">
        <v/>
      </c>
      <c r="M5799" s="206" t="str">
        <v/>
      </c>
    </row>
    <row r="5800" spans="1:13" ht="14.4">
      <c r="A5800" s="201"/>
      <c r="B5800" s="209"/>
      <c r="C5800" s="201"/>
      <c r="D5800" s="201"/>
      <c r="E5800" s="202"/>
      <c r="F5800" s="210"/>
      <c r="G5800" s="210"/>
      <c r="H5800" s="206" t="s">
        <v>121</v>
      </c>
      <c r="I5800" s="206" t="s">
        <v>121</v>
      </c>
      <c r="J5800" s="206" t="s">
        <v>121</v>
      </c>
      <c r="K5800" s="206" t="s">
        <v>121</v>
      </c>
      <c r="L5800" s="206" t="str">
        <v/>
      </c>
      <c r="M5800" s="206" t="str">
        <v/>
      </c>
    </row>
    <row r="5801" spans="1:13" ht="14.4">
      <c r="A5801" s="201"/>
      <c r="B5801" s="209"/>
      <c r="C5801" s="201"/>
      <c r="D5801" s="201"/>
      <c r="E5801" s="202"/>
      <c r="F5801" s="210"/>
      <c r="G5801" s="210"/>
      <c r="H5801" s="206" t="s">
        <v>121</v>
      </c>
      <c r="I5801" s="206" t="s">
        <v>121</v>
      </c>
      <c r="J5801" s="206" t="s">
        <v>121</v>
      </c>
      <c r="K5801" s="206" t="s">
        <v>121</v>
      </c>
      <c r="L5801" s="206" t="str">
        <v/>
      </c>
      <c r="M5801" s="206" t="str">
        <v/>
      </c>
    </row>
    <row r="5802" spans="1:13" ht="14.4">
      <c r="A5802" s="201"/>
      <c r="B5802" s="209"/>
      <c r="C5802" s="201"/>
      <c r="D5802" s="201"/>
      <c r="E5802" s="202"/>
      <c r="F5802" s="210"/>
      <c r="G5802" s="210"/>
      <c r="H5802" s="206" t="s">
        <v>121</v>
      </c>
      <c r="I5802" s="206" t="s">
        <v>121</v>
      </c>
      <c r="J5802" s="206" t="s">
        <v>121</v>
      </c>
      <c r="K5802" s="206" t="s">
        <v>121</v>
      </c>
      <c r="L5802" s="206" t="str">
        <v/>
      </c>
      <c r="M5802" s="206" t="str">
        <v/>
      </c>
    </row>
    <row r="5803" spans="1:13" ht="14.4">
      <c r="A5803" s="201"/>
      <c r="B5803" s="209"/>
      <c r="C5803" s="201"/>
      <c r="D5803" s="201"/>
      <c r="E5803" s="202"/>
      <c r="F5803" s="210"/>
      <c r="G5803" s="210"/>
      <c r="H5803" s="206" t="s">
        <v>121</v>
      </c>
      <c r="I5803" s="206" t="s">
        <v>121</v>
      </c>
      <c r="J5803" s="206" t="s">
        <v>121</v>
      </c>
      <c r="K5803" s="206" t="s">
        <v>121</v>
      </c>
      <c r="L5803" s="206" t="str">
        <v/>
      </c>
      <c r="M5803" s="206" t="str">
        <v/>
      </c>
    </row>
    <row r="5804" spans="1:13" ht="14.4">
      <c r="A5804" s="201"/>
      <c r="B5804" s="209"/>
      <c r="C5804" s="201"/>
      <c r="D5804" s="201"/>
      <c r="E5804" s="202"/>
      <c r="F5804" s="210"/>
      <c r="G5804" s="210"/>
      <c r="H5804" s="206" t="s">
        <v>121</v>
      </c>
      <c r="I5804" s="206" t="s">
        <v>121</v>
      </c>
      <c r="J5804" s="206" t="s">
        <v>121</v>
      </c>
      <c r="K5804" s="206" t="s">
        <v>121</v>
      </c>
      <c r="L5804" s="206" t="str">
        <v/>
      </c>
      <c r="M5804" s="206" t="str">
        <v/>
      </c>
    </row>
    <row r="5805" spans="1:13" ht="14.4">
      <c r="A5805" s="201"/>
      <c r="B5805" s="209"/>
      <c r="C5805" s="201"/>
      <c r="D5805" s="201"/>
      <c r="E5805" s="202"/>
      <c r="F5805" s="210"/>
      <c r="G5805" s="210"/>
      <c r="H5805" s="206" t="s">
        <v>121</v>
      </c>
      <c r="I5805" s="206" t="s">
        <v>121</v>
      </c>
      <c r="J5805" s="206" t="s">
        <v>121</v>
      </c>
      <c r="K5805" s="206" t="s">
        <v>121</v>
      </c>
      <c r="L5805" s="206" t="str">
        <v/>
      </c>
      <c r="M5805" s="206" t="str">
        <v/>
      </c>
    </row>
    <row r="5806" spans="1:13" ht="14.4">
      <c r="A5806" s="201"/>
      <c r="B5806" s="209"/>
      <c r="C5806" s="201"/>
      <c r="D5806" s="201"/>
      <c r="E5806" s="202"/>
      <c r="F5806" s="210"/>
      <c r="G5806" s="210"/>
      <c r="H5806" s="206" t="s">
        <v>121</v>
      </c>
      <c r="I5806" s="206" t="s">
        <v>121</v>
      </c>
      <c r="J5806" s="206" t="s">
        <v>121</v>
      </c>
      <c r="K5806" s="206" t="s">
        <v>121</v>
      </c>
      <c r="L5806" s="206" t="str">
        <v/>
      </c>
      <c r="M5806" s="206" t="str">
        <v/>
      </c>
    </row>
    <row r="5807" spans="1:13" ht="14.4">
      <c r="A5807" s="201"/>
      <c r="B5807" s="209"/>
      <c r="C5807" s="201"/>
      <c r="D5807" s="201"/>
      <c r="E5807" s="202"/>
      <c r="F5807" s="210"/>
      <c r="G5807" s="210"/>
      <c r="H5807" s="206" t="s">
        <v>121</v>
      </c>
      <c r="I5807" s="206" t="s">
        <v>121</v>
      </c>
      <c r="J5807" s="206" t="s">
        <v>121</v>
      </c>
      <c r="K5807" s="206" t="s">
        <v>121</v>
      </c>
      <c r="L5807" s="206" t="str">
        <v/>
      </c>
      <c r="M5807" s="206" t="str">
        <v/>
      </c>
    </row>
    <row r="5808" spans="1:13" ht="14.4">
      <c r="A5808" s="201"/>
      <c r="B5808" s="209"/>
      <c r="C5808" s="201"/>
      <c r="D5808" s="201"/>
      <c r="E5808" s="202"/>
      <c r="F5808" s="210"/>
      <c r="G5808" s="210"/>
      <c r="H5808" s="206" t="s">
        <v>121</v>
      </c>
      <c r="I5808" s="206" t="s">
        <v>121</v>
      </c>
      <c r="J5808" s="206" t="s">
        <v>121</v>
      </c>
      <c r="K5808" s="206" t="s">
        <v>121</v>
      </c>
      <c r="L5808" s="206" t="str">
        <v/>
      </c>
      <c r="M5808" s="206" t="str">
        <v/>
      </c>
    </row>
    <row r="5809" spans="1:13" ht="14.4">
      <c r="A5809" s="201"/>
      <c r="B5809" s="209"/>
      <c r="C5809" s="201"/>
      <c r="D5809" s="201"/>
      <c r="E5809" s="202"/>
      <c r="F5809" s="210"/>
      <c r="G5809" s="210"/>
      <c r="H5809" s="206" t="s">
        <v>121</v>
      </c>
      <c r="I5809" s="206" t="s">
        <v>121</v>
      </c>
      <c r="J5809" s="206" t="s">
        <v>121</v>
      </c>
      <c r="K5809" s="206" t="s">
        <v>121</v>
      </c>
      <c r="L5809" s="206" t="str">
        <v/>
      </c>
      <c r="M5809" s="206" t="str">
        <v/>
      </c>
    </row>
    <row r="5810" spans="1:13" ht="14.4">
      <c r="A5810" s="201"/>
      <c r="B5810" s="209"/>
      <c r="C5810" s="201"/>
      <c r="D5810" s="201"/>
      <c r="E5810" s="202"/>
      <c r="F5810" s="210"/>
      <c r="G5810" s="210"/>
      <c r="H5810" s="206" t="s">
        <v>121</v>
      </c>
      <c r="I5810" s="206" t="s">
        <v>121</v>
      </c>
      <c r="J5810" s="206" t="s">
        <v>121</v>
      </c>
      <c r="K5810" s="206" t="s">
        <v>121</v>
      </c>
      <c r="L5810" s="206" t="str">
        <v/>
      </c>
      <c r="M5810" s="206" t="str">
        <v/>
      </c>
    </row>
    <row r="5811" spans="1:13" ht="14.4">
      <c r="A5811" s="201"/>
      <c r="B5811" s="209"/>
      <c r="C5811" s="201"/>
      <c r="D5811" s="201"/>
      <c r="E5811" s="202"/>
      <c r="F5811" s="210"/>
      <c r="G5811" s="210"/>
      <c r="H5811" s="206" t="s">
        <v>121</v>
      </c>
      <c r="I5811" s="206" t="s">
        <v>121</v>
      </c>
      <c r="J5811" s="206" t="s">
        <v>121</v>
      </c>
      <c r="K5811" s="206" t="s">
        <v>121</v>
      </c>
      <c r="L5811" s="206" t="str">
        <v/>
      </c>
      <c r="M5811" s="206" t="str">
        <v/>
      </c>
    </row>
    <row r="5812" spans="1:13" ht="14.4">
      <c r="A5812" s="201"/>
      <c r="B5812" s="209"/>
      <c r="C5812" s="201"/>
      <c r="D5812" s="201"/>
      <c r="E5812" s="202"/>
      <c r="F5812" s="210"/>
      <c r="G5812" s="210"/>
      <c r="H5812" s="206" t="s">
        <v>121</v>
      </c>
      <c r="I5812" s="206" t="s">
        <v>121</v>
      </c>
      <c r="J5812" s="206" t="s">
        <v>121</v>
      </c>
      <c r="K5812" s="206" t="s">
        <v>121</v>
      </c>
      <c r="L5812" s="206" t="str">
        <v/>
      </c>
      <c r="M5812" s="206" t="str">
        <v/>
      </c>
    </row>
    <row r="5813" spans="1:13" ht="14.4">
      <c r="A5813" s="201"/>
      <c r="B5813" s="209"/>
      <c r="C5813" s="201"/>
      <c r="D5813" s="201"/>
      <c r="E5813" s="202"/>
      <c r="F5813" s="210"/>
      <c r="G5813" s="210"/>
      <c r="H5813" s="206" t="s">
        <v>121</v>
      </c>
      <c r="I5813" s="206" t="s">
        <v>121</v>
      </c>
      <c r="J5813" s="206" t="s">
        <v>121</v>
      </c>
      <c r="K5813" s="206" t="s">
        <v>121</v>
      </c>
      <c r="L5813" s="206" t="str">
        <v/>
      </c>
      <c r="M5813" s="206" t="str">
        <v/>
      </c>
    </row>
    <row r="5814" spans="1:13" ht="14.4">
      <c r="A5814" s="201"/>
      <c r="B5814" s="209"/>
      <c r="C5814" s="201"/>
      <c r="D5814" s="201"/>
      <c r="E5814" s="202"/>
      <c r="F5814" s="210"/>
      <c r="G5814" s="210"/>
      <c r="H5814" s="206" t="s">
        <v>121</v>
      </c>
      <c r="I5814" s="206" t="s">
        <v>121</v>
      </c>
      <c r="J5814" s="206" t="s">
        <v>121</v>
      </c>
      <c r="K5814" s="206" t="s">
        <v>121</v>
      </c>
      <c r="L5814" s="206" t="str">
        <v/>
      </c>
      <c r="M5814" s="206" t="str">
        <v/>
      </c>
    </row>
    <row r="5815" spans="1:13" ht="14.4">
      <c r="A5815" s="201"/>
      <c r="B5815" s="209"/>
      <c r="C5815" s="201"/>
      <c r="D5815" s="201"/>
      <c r="E5815" s="202"/>
      <c r="F5815" s="210"/>
      <c r="G5815" s="210"/>
      <c r="H5815" s="206" t="s">
        <v>121</v>
      </c>
      <c r="I5815" s="206" t="s">
        <v>121</v>
      </c>
      <c r="J5815" s="206" t="s">
        <v>121</v>
      </c>
      <c r="K5815" s="206" t="s">
        <v>121</v>
      </c>
      <c r="L5815" s="206" t="str">
        <v/>
      </c>
      <c r="M5815" s="206" t="str">
        <v/>
      </c>
    </row>
    <row r="5816" spans="1:13" ht="14.4">
      <c r="A5816" s="201"/>
      <c r="B5816" s="209"/>
      <c r="C5816" s="201"/>
      <c r="D5816" s="201"/>
      <c r="E5816" s="202"/>
      <c r="F5816" s="210"/>
      <c r="G5816" s="210"/>
      <c r="H5816" s="206" t="s">
        <v>121</v>
      </c>
      <c r="I5816" s="206" t="s">
        <v>121</v>
      </c>
      <c r="J5816" s="206" t="s">
        <v>121</v>
      </c>
      <c r="K5816" s="206" t="s">
        <v>121</v>
      </c>
      <c r="L5816" s="206" t="str">
        <v/>
      </c>
      <c r="M5816" s="206" t="str">
        <v/>
      </c>
    </row>
    <row r="5817" spans="1:13" ht="14.4">
      <c r="A5817" s="201"/>
      <c r="B5817" s="209"/>
      <c r="C5817" s="201"/>
      <c r="D5817" s="201"/>
      <c r="E5817" s="202"/>
      <c r="F5817" s="210"/>
      <c r="G5817" s="210"/>
      <c r="H5817" s="206" t="s">
        <v>121</v>
      </c>
      <c r="I5817" s="206" t="s">
        <v>121</v>
      </c>
      <c r="J5817" s="206" t="s">
        <v>121</v>
      </c>
      <c r="K5817" s="206" t="s">
        <v>121</v>
      </c>
      <c r="L5817" s="206" t="str">
        <v/>
      </c>
      <c r="M5817" s="206" t="str">
        <v/>
      </c>
    </row>
    <row r="5818" spans="1:13" ht="14.4">
      <c r="A5818" s="201"/>
      <c r="B5818" s="209"/>
      <c r="C5818" s="201"/>
      <c r="D5818" s="201"/>
      <c r="E5818" s="202"/>
      <c r="F5818" s="210"/>
      <c r="G5818" s="210"/>
      <c r="H5818" s="206" t="s">
        <v>121</v>
      </c>
      <c r="I5818" s="206" t="s">
        <v>121</v>
      </c>
      <c r="J5818" s="206" t="s">
        <v>121</v>
      </c>
      <c r="K5818" s="206" t="s">
        <v>121</v>
      </c>
      <c r="L5818" s="206" t="str">
        <v/>
      </c>
      <c r="M5818" s="206" t="str">
        <v/>
      </c>
    </row>
    <row r="5819" spans="1:13" ht="14.4">
      <c r="A5819" s="201"/>
      <c r="B5819" s="209"/>
      <c r="C5819" s="201"/>
      <c r="D5819" s="201"/>
      <c r="E5819" s="202"/>
      <c r="F5819" s="210"/>
      <c r="G5819" s="210"/>
      <c r="H5819" s="206" t="s">
        <v>121</v>
      </c>
      <c r="I5819" s="206" t="s">
        <v>121</v>
      </c>
      <c r="J5819" s="206" t="s">
        <v>121</v>
      </c>
      <c r="K5819" s="206" t="s">
        <v>121</v>
      </c>
      <c r="L5819" s="206" t="str">
        <v/>
      </c>
      <c r="M5819" s="206" t="str">
        <v/>
      </c>
    </row>
    <row r="5820" spans="1:13" ht="14.4">
      <c r="A5820" s="201"/>
      <c r="B5820" s="209"/>
      <c r="C5820" s="201"/>
      <c r="D5820" s="201"/>
      <c r="E5820" s="202"/>
      <c r="F5820" s="210"/>
      <c r="G5820" s="210"/>
      <c r="H5820" s="206" t="s">
        <v>121</v>
      </c>
      <c r="I5820" s="206" t="s">
        <v>121</v>
      </c>
      <c r="J5820" s="206" t="s">
        <v>121</v>
      </c>
      <c r="K5820" s="206" t="s">
        <v>121</v>
      </c>
      <c r="L5820" s="206" t="str">
        <v/>
      </c>
      <c r="M5820" s="206" t="str">
        <v/>
      </c>
    </row>
    <row r="5821" spans="1:13" ht="14.4">
      <c r="A5821" s="201"/>
      <c r="B5821" s="209"/>
      <c r="C5821" s="201"/>
      <c r="D5821" s="201"/>
      <c r="E5821" s="202"/>
      <c r="F5821" s="210"/>
      <c r="G5821" s="210"/>
      <c r="H5821" s="206" t="s">
        <v>121</v>
      </c>
      <c r="I5821" s="206" t="s">
        <v>121</v>
      </c>
      <c r="J5821" s="206" t="s">
        <v>121</v>
      </c>
      <c r="K5821" s="206" t="s">
        <v>121</v>
      </c>
      <c r="L5821" s="206" t="str">
        <v/>
      </c>
      <c r="M5821" s="206" t="str">
        <v/>
      </c>
    </row>
    <row r="5822" spans="1:13" ht="14.4">
      <c r="A5822" s="201"/>
      <c r="B5822" s="209"/>
      <c r="C5822" s="201"/>
      <c r="D5822" s="201"/>
      <c r="E5822" s="202"/>
      <c r="F5822" s="210"/>
      <c r="G5822" s="210"/>
      <c r="H5822" s="206" t="s">
        <v>121</v>
      </c>
      <c r="I5822" s="206" t="s">
        <v>121</v>
      </c>
      <c r="J5822" s="206" t="s">
        <v>121</v>
      </c>
      <c r="K5822" s="206" t="s">
        <v>121</v>
      </c>
      <c r="L5822" s="206" t="str">
        <v/>
      </c>
      <c r="M5822" s="206" t="str">
        <v/>
      </c>
    </row>
    <row r="5823" spans="1:13" ht="14.4">
      <c r="A5823" s="201"/>
      <c r="B5823" s="209"/>
      <c r="C5823" s="201"/>
      <c r="D5823" s="201"/>
      <c r="E5823" s="202"/>
      <c r="F5823" s="210"/>
      <c r="G5823" s="210"/>
      <c r="H5823" s="206" t="s">
        <v>121</v>
      </c>
      <c r="I5823" s="206" t="s">
        <v>121</v>
      </c>
      <c r="J5823" s="206" t="s">
        <v>121</v>
      </c>
      <c r="K5823" s="206" t="s">
        <v>121</v>
      </c>
      <c r="L5823" s="206" t="str">
        <v/>
      </c>
      <c r="M5823" s="206" t="str">
        <v/>
      </c>
    </row>
    <row r="5824" spans="1:13" ht="14.4">
      <c r="A5824" s="201"/>
      <c r="B5824" s="209"/>
      <c r="C5824" s="201"/>
      <c r="D5824" s="201"/>
      <c r="E5824" s="202"/>
      <c r="F5824" s="210"/>
      <c r="G5824" s="210"/>
      <c r="H5824" s="206" t="s">
        <v>121</v>
      </c>
      <c r="I5824" s="206" t="s">
        <v>121</v>
      </c>
      <c r="J5824" s="206" t="s">
        <v>121</v>
      </c>
      <c r="K5824" s="206" t="s">
        <v>121</v>
      </c>
      <c r="L5824" s="206" t="str">
        <v/>
      </c>
      <c r="M5824" s="206" t="str">
        <v/>
      </c>
    </row>
    <row r="5825" spans="1:13" ht="14.4">
      <c r="A5825" s="201"/>
      <c r="B5825" s="209"/>
      <c r="C5825" s="201"/>
      <c r="D5825" s="201"/>
      <c r="E5825" s="202"/>
      <c r="F5825" s="210"/>
      <c r="G5825" s="210"/>
      <c r="H5825" s="206" t="s">
        <v>121</v>
      </c>
      <c r="I5825" s="206" t="s">
        <v>121</v>
      </c>
      <c r="J5825" s="206" t="s">
        <v>121</v>
      </c>
      <c r="K5825" s="206" t="s">
        <v>121</v>
      </c>
      <c r="L5825" s="206" t="str">
        <v/>
      </c>
      <c r="M5825" s="206" t="str">
        <v/>
      </c>
    </row>
    <row r="5826" spans="1:13" ht="14.4">
      <c r="A5826" s="201"/>
      <c r="B5826" s="209"/>
      <c r="C5826" s="201"/>
      <c r="D5826" s="201"/>
      <c r="E5826" s="202"/>
      <c r="F5826" s="210"/>
      <c r="G5826" s="210"/>
      <c r="H5826" s="206" t="s">
        <v>121</v>
      </c>
      <c r="I5826" s="206" t="s">
        <v>121</v>
      </c>
      <c r="J5826" s="206" t="s">
        <v>121</v>
      </c>
      <c r="K5826" s="206" t="s">
        <v>121</v>
      </c>
      <c r="L5826" s="206" t="str">
        <v/>
      </c>
      <c r="M5826" s="206" t="str">
        <v/>
      </c>
    </row>
    <row r="5827" spans="1:13" ht="14.4">
      <c r="A5827" s="201"/>
      <c r="B5827" s="209"/>
      <c r="C5827" s="201"/>
      <c r="D5827" s="201"/>
      <c r="E5827" s="202"/>
      <c r="F5827" s="210"/>
      <c r="G5827" s="210"/>
      <c r="H5827" s="206" t="s">
        <v>121</v>
      </c>
      <c r="I5827" s="206" t="s">
        <v>121</v>
      </c>
      <c r="J5827" s="206" t="s">
        <v>121</v>
      </c>
      <c r="K5827" s="206" t="s">
        <v>121</v>
      </c>
      <c r="L5827" s="206" t="str">
        <v/>
      </c>
      <c r="M5827" s="206" t="str">
        <v/>
      </c>
    </row>
    <row r="5828" spans="1:13" ht="14.4">
      <c r="A5828" s="201"/>
      <c r="B5828" s="209"/>
      <c r="C5828" s="201"/>
      <c r="D5828" s="201"/>
      <c r="E5828" s="202"/>
      <c r="F5828" s="210"/>
      <c r="G5828" s="210"/>
      <c r="H5828" s="206" t="s">
        <v>121</v>
      </c>
      <c r="I5828" s="206" t="s">
        <v>121</v>
      </c>
      <c r="J5828" s="206" t="s">
        <v>121</v>
      </c>
      <c r="K5828" s="206" t="s">
        <v>121</v>
      </c>
      <c r="L5828" s="206" t="str">
        <v/>
      </c>
      <c r="M5828" s="206" t="str">
        <v/>
      </c>
    </row>
    <row r="5829" spans="1:13" ht="14.4">
      <c r="A5829" s="201"/>
      <c r="B5829" s="209"/>
      <c r="C5829" s="201"/>
      <c r="D5829" s="201"/>
      <c r="E5829" s="202"/>
      <c r="F5829" s="210"/>
      <c r="G5829" s="210"/>
      <c r="H5829" s="206" t="s">
        <v>121</v>
      </c>
      <c r="I5829" s="206" t="s">
        <v>121</v>
      </c>
      <c r="J5829" s="206" t="s">
        <v>121</v>
      </c>
      <c r="K5829" s="206" t="s">
        <v>121</v>
      </c>
      <c r="L5829" s="206" t="str">
        <v/>
      </c>
      <c r="M5829" s="206" t="str">
        <v/>
      </c>
    </row>
    <row r="5830" spans="1:13" ht="14.4">
      <c r="A5830" s="201"/>
      <c r="B5830" s="209"/>
      <c r="C5830" s="201"/>
      <c r="D5830" s="201"/>
      <c r="E5830" s="202"/>
      <c r="F5830" s="210"/>
      <c r="G5830" s="210"/>
      <c r="H5830" s="206" t="s">
        <v>121</v>
      </c>
      <c r="I5830" s="206" t="s">
        <v>121</v>
      </c>
      <c r="J5830" s="206" t="s">
        <v>121</v>
      </c>
      <c r="K5830" s="206" t="s">
        <v>121</v>
      </c>
      <c r="L5830" s="206" t="str">
        <v/>
      </c>
      <c r="M5830" s="206" t="str">
        <v/>
      </c>
    </row>
    <row r="5831" spans="1:13" ht="14.4">
      <c r="A5831" s="201"/>
      <c r="B5831" s="209"/>
      <c r="C5831" s="201"/>
      <c r="D5831" s="201"/>
      <c r="E5831" s="202"/>
      <c r="F5831" s="210"/>
      <c r="G5831" s="210"/>
      <c r="H5831" s="206" t="s">
        <v>121</v>
      </c>
      <c r="I5831" s="206" t="s">
        <v>121</v>
      </c>
      <c r="J5831" s="206" t="s">
        <v>121</v>
      </c>
      <c r="K5831" s="206" t="s">
        <v>121</v>
      </c>
      <c r="L5831" s="206" t="str">
        <v/>
      </c>
      <c r="M5831" s="206" t="str">
        <v/>
      </c>
    </row>
    <row r="5832" spans="1:13" ht="14.4">
      <c r="A5832" s="201"/>
      <c r="B5832" s="209"/>
      <c r="C5832" s="201"/>
      <c r="D5832" s="201"/>
      <c r="E5832" s="202"/>
      <c r="F5832" s="210"/>
      <c r="G5832" s="210"/>
      <c r="H5832" s="206" t="s">
        <v>121</v>
      </c>
      <c r="I5832" s="206" t="s">
        <v>121</v>
      </c>
      <c r="J5832" s="206" t="s">
        <v>121</v>
      </c>
      <c r="K5832" s="206" t="s">
        <v>121</v>
      </c>
      <c r="L5832" s="206" t="str">
        <v/>
      </c>
      <c r="M5832" s="206" t="str">
        <v/>
      </c>
    </row>
    <row r="5833" spans="1:13" ht="14.4">
      <c r="A5833" s="201"/>
      <c r="B5833" s="209"/>
      <c r="C5833" s="201"/>
      <c r="D5833" s="201"/>
      <c r="E5833" s="202"/>
      <c r="F5833" s="210"/>
      <c r="G5833" s="210"/>
      <c r="H5833" s="206" t="s">
        <v>121</v>
      </c>
      <c r="I5833" s="206" t="s">
        <v>121</v>
      </c>
      <c r="J5833" s="206" t="s">
        <v>121</v>
      </c>
      <c r="K5833" s="206" t="s">
        <v>121</v>
      </c>
      <c r="L5833" s="206" t="str">
        <v/>
      </c>
      <c r="M5833" s="206" t="str">
        <v/>
      </c>
    </row>
    <row r="5834" spans="1:13" ht="14.4">
      <c r="A5834" s="201"/>
      <c r="B5834" s="209"/>
      <c r="C5834" s="201"/>
      <c r="D5834" s="201"/>
      <c r="E5834" s="202"/>
      <c r="F5834" s="210"/>
      <c r="G5834" s="210"/>
      <c r="H5834" s="206" t="s">
        <v>121</v>
      </c>
      <c r="I5834" s="206" t="s">
        <v>121</v>
      </c>
      <c r="J5834" s="206" t="s">
        <v>121</v>
      </c>
      <c r="K5834" s="206" t="s">
        <v>121</v>
      </c>
      <c r="L5834" s="206" t="str">
        <v/>
      </c>
      <c r="M5834" s="206" t="str">
        <v/>
      </c>
    </row>
    <row r="5835" spans="1:13" ht="14.4">
      <c r="A5835" s="201"/>
      <c r="B5835" s="209"/>
      <c r="C5835" s="201"/>
      <c r="D5835" s="201"/>
      <c r="E5835" s="202"/>
      <c r="F5835" s="210"/>
      <c r="G5835" s="210"/>
      <c r="H5835" s="206" t="s">
        <v>121</v>
      </c>
      <c r="I5835" s="206" t="s">
        <v>121</v>
      </c>
      <c r="J5835" s="206" t="s">
        <v>121</v>
      </c>
      <c r="K5835" s="206" t="s">
        <v>121</v>
      </c>
      <c r="L5835" s="206" t="str">
        <v/>
      </c>
      <c r="M5835" s="206" t="str">
        <v/>
      </c>
    </row>
    <row r="5836" spans="1:13" ht="14.4">
      <c r="A5836" s="201"/>
      <c r="B5836" s="209"/>
      <c r="C5836" s="201"/>
      <c r="D5836" s="201"/>
      <c r="E5836" s="202"/>
      <c r="F5836" s="210"/>
      <c r="G5836" s="210"/>
      <c r="H5836" s="206" t="s">
        <v>121</v>
      </c>
      <c r="I5836" s="206" t="s">
        <v>121</v>
      </c>
      <c r="J5836" s="206" t="s">
        <v>121</v>
      </c>
      <c r="K5836" s="206" t="s">
        <v>121</v>
      </c>
      <c r="L5836" s="206" t="str">
        <v/>
      </c>
      <c r="M5836" s="206" t="str">
        <v/>
      </c>
    </row>
    <row r="5837" spans="1:13" ht="14.4">
      <c r="A5837" s="201"/>
      <c r="B5837" s="209"/>
      <c r="C5837" s="201"/>
      <c r="D5837" s="201"/>
      <c r="E5837" s="202"/>
      <c r="F5837" s="210"/>
      <c r="G5837" s="210"/>
      <c r="H5837" s="206" t="s">
        <v>121</v>
      </c>
      <c r="I5837" s="206" t="s">
        <v>121</v>
      </c>
      <c r="J5837" s="206" t="s">
        <v>121</v>
      </c>
      <c r="K5837" s="206" t="s">
        <v>121</v>
      </c>
      <c r="L5837" s="206" t="str">
        <v/>
      </c>
      <c r="M5837" s="206" t="str">
        <v/>
      </c>
    </row>
    <row r="5838" spans="1:13" ht="14.4">
      <c r="A5838" s="201"/>
      <c r="B5838" s="209"/>
      <c r="C5838" s="201"/>
      <c r="D5838" s="201"/>
      <c r="E5838" s="202"/>
      <c r="F5838" s="210"/>
      <c r="G5838" s="210"/>
      <c r="H5838" s="206" t="s">
        <v>121</v>
      </c>
      <c r="I5838" s="206" t="s">
        <v>121</v>
      </c>
      <c r="J5838" s="206" t="s">
        <v>121</v>
      </c>
      <c r="K5838" s="206" t="s">
        <v>121</v>
      </c>
      <c r="L5838" s="206" t="str">
        <v/>
      </c>
      <c r="M5838" s="206" t="str">
        <v/>
      </c>
    </row>
    <row r="5839" spans="1:13" ht="14.4">
      <c r="A5839" s="201"/>
      <c r="B5839" s="209"/>
      <c r="C5839" s="201"/>
      <c r="D5839" s="201"/>
      <c r="E5839" s="202"/>
      <c r="F5839" s="210"/>
      <c r="G5839" s="210"/>
      <c r="H5839" s="206" t="s">
        <v>121</v>
      </c>
      <c r="I5839" s="206" t="s">
        <v>121</v>
      </c>
      <c r="J5839" s="206" t="s">
        <v>121</v>
      </c>
      <c r="K5839" s="206" t="s">
        <v>121</v>
      </c>
      <c r="L5839" s="206" t="str">
        <v/>
      </c>
      <c r="M5839" s="206" t="str">
        <v/>
      </c>
    </row>
    <row r="5840" spans="1:13" ht="14.4">
      <c r="A5840" s="201"/>
      <c r="B5840" s="209"/>
      <c r="C5840" s="201"/>
      <c r="D5840" s="201"/>
      <c r="E5840" s="202"/>
      <c r="F5840" s="210"/>
      <c r="G5840" s="210"/>
      <c r="H5840" s="206" t="s">
        <v>121</v>
      </c>
      <c r="I5840" s="206" t="s">
        <v>121</v>
      </c>
      <c r="J5840" s="206" t="s">
        <v>121</v>
      </c>
      <c r="K5840" s="206" t="s">
        <v>121</v>
      </c>
      <c r="L5840" s="206" t="str">
        <v/>
      </c>
      <c r="M5840" s="206" t="str">
        <v/>
      </c>
    </row>
    <row r="5841" spans="1:13" ht="14.4">
      <c r="A5841" s="201"/>
      <c r="B5841" s="209"/>
      <c r="C5841" s="201"/>
      <c r="D5841" s="201"/>
      <c r="E5841" s="202"/>
      <c r="F5841" s="210"/>
      <c r="G5841" s="210"/>
      <c r="H5841" s="206" t="s">
        <v>121</v>
      </c>
      <c r="I5841" s="206" t="s">
        <v>121</v>
      </c>
      <c r="J5841" s="206" t="s">
        <v>121</v>
      </c>
      <c r="K5841" s="206" t="s">
        <v>121</v>
      </c>
      <c r="L5841" s="206" t="str">
        <v/>
      </c>
      <c r="M5841" s="206" t="str">
        <v/>
      </c>
    </row>
    <row r="5842" spans="1:13" ht="14.4">
      <c r="A5842" s="201"/>
      <c r="B5842" s="209"/>
      <c r="C5842" s="201"/>
      <c r="D5842" s="201"/>
      <c r="E5842" s="202"/>
      <c r="F5842" s="210"/>
      <c r="G5842" s="210"/>
      <c r="H5842" s="206" t="s">
        <v>121</v>
      </c>
      <c r="I5842" s="206" t="s">
        <v>121</v>
      </c>
      <c r="J5842" s="206" t="s">
        <v>121</v>
      </c>
      <c r="K5842" s="206" t="s">
        <v>121</v>
      </c>
      <c r="L5842" s="206" t="str">
        <v/>
      </c>
      <c r="M5842" s="206" t="str">
        <v/>
      </c>
    </row>
    <row r="5843" spans="1:13" ht="14.4">
      <c r="A5843" s="201"/>
      <c r="B5843" s="209"/>
      <c r="C5843" s="201"/>
      <c r="D5843" s="201"/>
      <c r="E5843" s="202"/>
      <c r="F5843" s="210"/>
      <c r="G5843" s="210"/>
      <c r="H5843" s="206" t="s">
        <v>121</v>
      </c>
      <c r="I5843" s="206" t="s">
        <v>121</v>
      </c>
      <c r="J5843" s="206" t="s">
        <v>121</v>
      </c>
      <c r="K5843" s="206" t="s">
        <v>121</v>
      </c>
      <c r="L5843" s="206" t="str">
        <v/>
      </c>
      <c r="M5843" s="206" t="str">
        <v/>
      </c>
    </row>
    <row r="5844" spans="1:13" ht="14.4">
      <c r="A5844" s="201"/>
      <c r="B5844" s="209"/>
      <c r="C5844" s="201"/>
      <c r="D5844" s="201"/>
      <c r="E5844" s="202"/>
      <c r="F5844" s="210"/>
      <c r="G5844" s="210"/>
      <c r="H5844" s="206" t="s">
        <v>121</v>
      </c>
      <c r="I5844" s="206" t="s">
        <v>121</v>
      </c>
      <c r="J5844" s="206" t="s">
        <v>121</v>
      </c>
      <c r="K5844" s="206" t="s">
        <v>121</v>
      </c>
      <c r="L5844" s="206" t="str">
        <v/>
      </c>
      <c r="M5844" s="206" t="str">
        <v/>
      </c>
    </row>
    <row r="5845" spans="1:13" ht="14.4">
      <c r="A5845" s="201"/>
      <c r="B5845" s="209"/>
      <c r="C5845" s="201"/>
      <c r="D5845" s="201"/>
      <c r="E5845" s="202"/>
      <c r="F5845" s="210"/>
      <c r="G5845" s="210"/>
      <c r="H5845" s="206" t="s">
        <v>121</v>
      </c>
      <c r="I5845" s="206" t="s">
        <v>121</v>
      </c>
      <c r="J5845" s="206" t="s">
        <v>121</v>
      </c>
      <c r="K5845" s="206" t="s">
        <v>121</v>
      </c>
      <c r="L5845" s="206" t="str">
        <v/>
      </c>
      <c r="M5845" s="206" t="str">
        <v/>
      </c>
    </row>
    <row r="5846" spans="1:13" ht="14.4">
      <c r="A5846" s="201"/>
      <c r="B5846" s="209"/>
      <c r="C5846" s="201"/>
      <c r="D5846" s="201"/>
      <c r="E5846" s="202"/>
      <c r="F5846" s="210"/>
      <c r="G5846" s="210"/>
      <c r="H5846" s="206" t="s">
        <v>121</v>
      </c>
      <c r="I5846" s="206" t="s">
        <v>121</v>
      </c>
      <c r="J5846" s="206" t="s">
        <v>121</v>
      </c>
      <c r="K5846" s="206" t="s">
        <v>121</v>
      </c>
      <c r="L5846" s="206" t="str">
        <v/>
      </c>
      <c r="M5846" s="206" t="str">
        <v/>
      </c>
    </row>
    <row r="5847" spans="1:13" ht="14.4">
      <c r="A5847" s="201"/>
      <c r="B5847" s="209"/>
      <c r="C5847" s="201"/>
      <c r="D5847" s="201"/>
      <c r="E5847" s="202"/>
      <c r="F5847" s="210"/>
      <c r="G5847" s="210"/>
      <c r="H5847" s="206" t="s">
        <v>121</v>
      </c>
      <c r="I5847" s="206" t="s">
        <v>121</v>
      </c>
      <c r="J5847" s="206" t="s">
        <v>121</v>
      </c>
      <c r="K5847" s="206" t="s">
        <v>121</v>
      </c>
      <c r="L5847" s="206" t="str">
        <v/>
      </c>
      <c r="M5847" s="206" t="str">
        <v/>
      </c>
    </row>
    <row r="5848" spans="1:13" ht="14.4">
      <c r="A5848" s="201"/>
      <c r="B5848" s="209"/>
      <c r="C5848" s="201"/>
      <c r="D5848" s="201"/>
      <c r="E5848" s="202"/>
      <c r="F5848" s="210"/>
      <c r="G5848" s="210"/>
      <c r="H5848" s="206" t="s">
        <v>121</v>
      </c>
      <c r="I5848" s="206" t="s">
        <v>121</v>
      </c>
      <c r="J5848" s="206" t="s">
        <v>121</v>
      </c>
      <c r="K5848" s="206" t="s">
        <v>121</v>
      </c>
      <c r="L5848" s="206" t="str">
        <v/>
      </c>
      <c r="M5848" s="206" t="str">
        <v/>
      </c>
    </row>
    <row r="5849" spans="1:13" ht="14.4">
      <c r="A5849" s="201"/>
      <c r="B5849" s="209"/>
      <c r="C5849" s="201"/>
      <c r="D5849" s="201"/>
      <c r="E5849" s="202"/>
      <c r="F5849" s="210"/>
      <c r="G5849" s="210"/>
      <c r="H5849" s="206" t="s">
        <v>121</v>
      </c>
      <c r="I5849" s="206" t="s">
        <v>121</v>
      </c>
      <c r="J5849" s="206" t="s">
        <v>121</v>
      </c>
      <c r="K5849" s="206" t="s">
        <v>121</v>
      </c>
      <c r="L5849" s="206" t="str">
        <v/>
      </c>
      <c r="M5849" s="206" t="str">
        <v/>
      </c>
    </row>
    <row r="5850" spans="1:13" ht="14.4">
      <c r="A5850" s="201"/>
      <c r="B5850" s="209"/>
      <c r="C5850" s="201"/>
      <c r="D5850" s="201"/>
      <c r="E5850" s="202"/>
      <c r="F5850" s="210"/>
      <c r="G5850" s="210"/>
      <c r="H5850" s="206" t="s">
        <v>121</v>
      </c>
      <c r="I5850" s="206" t="s">
        <v>121</v>
      </c>
      <c r="J5850" s="206" t="s">
        <v>121</v>
      </c>
      <c r="K5850" s="206" t="s">
        <v>121</v>
      </c>
      <c r="L5850" s="206" t="str">
        <v/>
      </c>
      <c r="M5850" s="206" t="str">
        <v/>
      </c>
    </row>
    <row r="5851" spans="1:13" ht="14.4">
      <c r="A5851" s="201"/>
      <c r="B5851" s="209"/>
      <c r="C5851" s="201"/>
      <c r="D5851" s="201"/>
      <c r="E5851" s="202"/>
      <c r="F5851" s="210"/>
      <c r="G5851" s="210"/>
      <c r="H5851" s="206" t="s">
        <v>121</v>
      </c>
      <c r="I5851" s="206" t="s">
        <v>121</v>
      </c>
      <c r="J5851" s="206" t="s">
        <v>121</v>
      </c>
      <c r="K5851" s="206" t="s">
        <v>121</v>
      </c>
      <c r="L5851" s="206" t="str">
        <v/>
      </c>
      <c r="M5851" s="206" t="str">
        <v/>
      </c>
    </row>
    <row r="5852" spans="1:13" ht="14.4">
      <c r="A5852" s="201"/>
      <c r="B5852" s="209"/>
      <c r="C5852" s="201"/>
      <c r="D5852" s="201"/>
      <c r="E5852" s="202"/>
      <c r="F5852" s="210"/>
      <c r="G5852" s="210"/>
      <c r="H5852" s="206" t="s">
        <v>121</v>
      </c>
      <c r="I5852" s="206" t="s">
        <v>121</v>
      </c>
      <c r="J5852" s="206" t="s">
        <v>121</v>
      </c>
      <c r="K5852" s="206" t="s">
        <v>121</v>
      </c>
      <c r="L5852" s="206" t="str">
        <v/>
      </c>
      <c r="M5852" s="206" t="str">
        <v/>
      </c>
    </row>
    <row r="5853" spans="1:13" ht="14.4">
      <c r="A5853" s="201"/>
      <c r="B5853" s="209"/>
      <c r="C5853" s="201"/>
      <c r="D5853" s="201"/>
      <c r="E5853" s="202"/>
      <c r="F5853" s="210"/>
      <c r="G5853" s="210"/>
      <c r="H5853" s="206" t="s">
        <v>121</v>
      </c>
      <c r="I5853" s="206" t="s">
        <v>121</v>
      </c>
      <c r="J5853" s="206" t="s">
        <v>121</v>
      </c>
      <c r="K5853" s="206" t="s">
        <v>121</v>
      </c>
      <c r="L5853" s="206" t="str">
        <v/>
      </c>
      <c r="M5853" s="206" t="str">
        <v/>
      </c>
    </row>
    <row r="5854" spans="1:13" ht="14.4">
      <c r="A5854" s="201"/>
      <c r="B5854" s="209"/>
      <c r="C5854" s="201"/>
      <c r="D5854" s="201"/>
      <c r="E5854" s="202"/>
      <c r="F5854" s="210"/>
      <c r="G5854" s="210"/>
      <c r="H5854" s="206" t="s">
        <v>121</v>
      </c>
      <c r="I5854" s="206" t="s">
        <v>121</v>
      </c>
      <c r="J5854" s="206" t="s">
        <v>121</v>
      </c>
      <c r="K5854" s="206" t="s">
        <v>121</v>
      </c>
      <c r="L5854" s="206" t="str">
        <v/>
      </c>
      <c r="M5854" s="206" t="str">
        <v/>
      </c>
    </row>
    <row r="5855" spans="1:13" ht="14.4">
      <c r="A5855" s="201"/>
      <c r="B5855" s="209"/>
      <c r="C5855" s="201"/>
      <c r="D5855" s="201"/>
      <c r="E5855" s="202"/>
      <c r="F5855" s="210"/>
      <c r="G5855" s="210"/>
      <c r="H5855" s="206" t="s">
        <v>121</v>
      </c>
      <c r="I5855" s="206" t="s">
        <v>121</v>
      </c>
      <c r="J5855" s="206" t="s">
        <v>121</v>
      </c>
      <c r="K5855" s="206" t="s">
        <v>121</v>
      </c>
      <c r="L5855" s="206" t="str">
        <v/>
      </c>
      <c r="M5855" s="206" t="str">
        <v/>
      </c>
    </row>
    <row r="5856" spans="1:13" ht="14.4">
      <c r="A5856" s="201"/>
      <c r="B5856" s="209"/>
      <c r="C5856" s="201"/>
      <c r="D5856" s="201"/>
      <c r="E5856" s="202"/>
      <c r="F5856" s="210"/>
      <c r="G5856" s="210"/>
      <c r="H5856" s="206" t="s">
        <v>121</v>
      </c>
      <c r="I5856" s="206" t="s">
        <v>121</v>
      </c>
      <c r="J5856" s="206" t="s">
        <v>121</v>
      </c>
      <c r="K5856" s="206" t="s">
        <v>121</v>
      </c>
      <c r="L5856" s="206" t="str">
        <v/>
      </c>
      <c r="M5856" s="206" t="str">
        <v/>
      </c>
    </row>
    <row r="5857" spans="1:13" ht="14.4">
      <c r="A5857" s="201"/>
      <c r="B5857" s="209"/>
      <c r="C5857" s="201"/>
      <c r="D5857" s="201"/>
      <c r="E5857" s="202"/>
      <c r="F5857" s="210"/>
      <c r="G5857" s="210"/>
      <c r="H5857" s="206" t="s">
        <v>121</v>
      </c>
      <c r="I5857" s="206" t="s">
        <v>121</v>
      </c>
      <c r="J5857" s="206" t="s">
        <v>121</v>
      </c>
      <c r="K5857" s="206" t="s">
        <v>121</v>
      </c>
      <c r="L5857" s="206" t="str">
        <v/>
      </c>
      <c r="M5857" s="206" t="str">
        <v/>
      </c>
    </row>
    <row r="5858" spans="1:13" ht="14.4">
      <c r="A5858" s="201"/>
      <c r="B5858" s="209"/>
      <c r="C5858" s="201"/>
      <c r="D5858" s="201"/>
      <c r="E5858" s="202"/>
      <c r="F5858" s="210"/>
      <c r="G5858" s="210"/>
      <c r="H5858" s="206" t="s">
        <v>121</v>
      </c>
      <c r="I5858" s="206" t="s">
        <v>121</v>
      </c>
      <c r="J5858" s="206" t="s">
        <v>121</v>
      </c>
      <c r="K5858" s="206" t="s">
        <v>121</v>
      </c>
      <c r="L5858" s="206" t="str">
        <v/>
      </c>
      <c r="M5858" s="206" t="str">
        <v/>
      </c>
    </row>
    <row r="5859" spans="1:13" ht="14.4">
      <c r="A5859" s="201"/>
      <c r="B5859" s="209"/>
      <c r="C5859" s="201"/>
      <c r="D5859" s="201"/>
      <c r="E5859" s="202"/>
      <c r="F5859" s="210"/>
      <c r="G5859" s="210"/>
      <c r="H5859" s="206" t="s">
        <v>121</v>
      </c>
      <c r="I5859" s="206" t="s">
        <v>121</v>
      </c>
      <c r="J5859" s="206" t="s">
        <v>121</v>
      </c>
      <c r="K5859" s="206" t="s">
        <v>121</v>
      </c>
      <c r="L5859" s="206" t="str">
        <v/>
      </c>
      <c r="M5859" s="206" t="str">
        <v/>
      </c>
    </row>
    <row r="5860" spans="1:13" ht="14.4">
      <c r="A5860" s="201"/>
      <c r="B5860" s="209"/>
      <c r="C5860" s="201"/>
      <c r="D5860" s="201"/>
      <c r="E5860" s="202"/>
      <c r="F5860" s="210"/>
      <c r="G5860" s="210"/>
      <c r="H5860" s="206" t="s">
        <v>121</v>
      </c>
      <c r="I5860" s="206" t="s">
        <v>121</v>
      </c>
      <c r="J5860" s="206" t="s">
        <v>121</v>
      </c>
      <c r="K5860" s="206" t="s">
        <v>121</v>
      </c>
      <c r="L5860" s="206" t="str">
        <v/>
      </c>
      <c r="M5860" s="206" t="str">
        <v/>
      </c>
    </row>
    <row r="5861" spans="1:13" ht="14.4">
      <c r="A5861" s="201"/>
      <c r="B5861" s="209"/>
      <c r="C5861" s="201"/>
      <c r="D5861" s="201"/>
      <c r="E5861" s="202"/>
      <c r="F5861" s="210"/>
      <c r="G5861" s="210"/>
      <c r="H5861" s="206" t="s">
        <v>121</v>
      </c>
      <c r="I5861" s="206" t="s">
        <v>121</v>
      </c>
      <c r="J5861" s="206" t="s">
        <v>121</v>
      </c>
      <c r="K5861" s="206" t="s">
        <v>121</v>
      </c>
      <c r="L5861" s="206" t="str">
        <v/>
      </c>
      <c r="M5861" s="206" t="str">
        <v/>
      </c>
    </row>
    <row r="5862" spans="1:13" ht="14.4">
      <c r="A5862" s="201"/>
      <c r="B5862" s="209"/>
      <c r="C5862" s="201"/>
      <c r="D5862" s="201"/>
      <c r="E5862" s="202"/>
      <c r="F5862" s="210"/>
      <c r="G5862" s="210"/>
      <c r="H5862" s="206" t="s">
        <v>121</v>
      </c>
      <c r="I5862" s="206" t="s">
        <v>121</v>
      </c>
      <c r="J5862" s="206" t="s">
        <v>121</v>
      </c>
      <c r="K5862" s="206" t="s">
        <v>121</v>
      </c>
      <c r="L5862" s="206" t="str">
        <v/>
      </c>
      <c r="M5862" s="206" t="str">
        <v/>
      </c>
    </row>
    <row r="5863" spans="1:13" ht="14.4">
      <c r="A5863" s="201"/>
      <c r="B5863" s="209"/>
      <c r="C5863" s="201"/>
      <c r="D5863" s="201"/>
      <c r="E5863" s="202"/>
      <c r="F5863" s="210"/>
      <c r="G5863" s="210"/>
      <c r="H5863" s="206" t="s">
        <v>121</v>
      </c>
      <c r="I5863" s="206" t="s">
        <v>121</v>
      </c>
      <c r="J5863" s="206" t="s">
        <v>121</v>
      </c>
      <c r="K5863" s="206" t="s">
        <v>121</v>
      </c>
      <c r="L5863" s="206" t="str">
        <v/>
      </c>
      <c r="M5863" s="206" t="str">
        <v/>
      </c>
    </row>
    <row r="5864" spans="1:13" ht="14.4">
      <c r="A5864" s="201"/>
      <c r="B5864" s="209"/>
      <c r="C5864" s="201"/>
      <c r="D5864" s="201"/>
      <c r="E5864" s="202"/>
      <c r="F5864" s="210"/>
      <c r="G5864" s="210"/>
      <c r="H5864" s="206" t="s">
        <v>121</v>
      </c>
      <c r="I5864" s="206" t="s">
        <v>121</v>
      </c>
      <c r="J5864" s="206" t="s">
        <v>121</v>
      </c>
      <c r="K5864" s="206" t="s">
        <v>121</v>
      </c>
      <c r="L5864" s="206" t="str">
        <v/>
      </c>
      <c r="M5864" s="206" t="str">
        <v/>
      </c>
    </row>
    <row r="5865" spans="1:13" ht="14.4">
      <c r="A5865" s="201"/>
      <c r="B5865" s="209"/>
      <c r="C5865" s="201"/>
      <c r="D5865" s="201"/>
      <c r="E5865" s="202"/>
      <c r="F5865" s="210"/>
      <c r="G5865" s="210"/>
      <c r="H5865" s="206" t="s">
        <v>121</v>
      </c>
      <c r="I5865" s="206" t="s">
        <v>121</v>
      </c>
      <c r="J5865" s="206" t="s">
        <v>121</v>
      </c>
      <c r="K5865" s="206" t="s">
        <v>121</v>
      </c>
      <c r="L5865" s="206" t="str">
        <v/>
      </c>
      <c r="M5865" s="206" t="str">
        <v/>
      </c>
    </row>
    <row r="5866" spans="1:13" ht="14.4">
      <c r="A5866" s="201"/>
      <c r="B5866" s="209"/>
      <c r="C5866" s="201"/>
      <c r="D5866" s="201"/>
      <c r="E5866" s="202"/>
      <c r="F5866" s="210"/>
      <c r="G5866" s="210"/>
      <c r="H5866" s="206" t="s">
        <v>121</v>
      </c>
      <c r="I5866" s="206" t="s">
        <v>121</v>
      </c>
      <c r="J5866" s="206" t="s">
        <v>121</v>
      </c>
      <c r="K5866" s="206" t="s">
        <v>121</v>
      </c>
      <c r="L5866" s="206" t="str">
        <v/>
      </c>
      <c r="M5866" s="206" t="str">
        <v/>
      </c>
    </row>
    <row r="5867" spans="1:13" ht="14.4">
      <c r="A5867" s="201"/>
      <c r="B5867" s="209"/>
      <c r="C5867" s="201"/>
      <c r="D5867" s="201"/>
      <c r="E5867" s="202"/>
      <c r="F5867" s="210"/>
      <c r="G5867" s="210"/>
      <c r="H5867" s="206" t="s">
        <v>121</v>
      </c>
      <c r="I5867" s="206" t="s">
        <v>121</v>
      </c>
      <c r="J5867" s="206" t="s">
        <v>121</v>
      </c>
      <c r="K5867" s="206" t="s">
        <v>121</v>
      </c>
      <c r="L5867" s="206" t="str">
        <v/>
      </c>
      <c r="M5867" s="206" t="str">
        <v/>
      </c>
    </row>
    <row r="5868" spans="1:13" ht="14.4">
      <c r="A5868" s="201"/>
      <c r="B5868" s="209"/>
      <c r="C5868" s="201"/>
      <c r="D5868" s="201"/>
      <c r="E5868" s="202"/>
      <c r="F5868" s="210"/>
      <c r="G5868" s="210"/>
      <c r="H5868" s="206" t="s">
        <v>121</v>
      </c>
      <c r="I5868" s="206" t="s">
        <v>121</v>
      </c>
      <c r="J5868" s="206" t="s">
        <v>121</v>
      </c>
      <c r="K5868" s="206" t="s">
        <v>121</v>
      </c>
      <c r="L5868" s="206" t="str">
        <v/>
      </c>
      <c r="M5868" s="206" t="str">
        <v/>
      </c>
    </row>
    <row r="5869" spans="1:13" ht="14.4">
      <c r="A5869" s="201"/>
      <c r="B5869" s="209"/>
      <c r="C5869" s="201"/>
      <c r="D5869" s="201"/>
      <c r="E5869" s="202"/>
      <c r="F5869" s="210"/>
      <c r="G5869" s="210"/>
      <c r="H5869" s="206" t="s">
        <v>121</v>
      </c>
      <c r="I5869" s="206" t="s">
        <v>121</v>
      </c>
      <c r="J5869" s="206" t="s">
        <v>121</v>
      </c>
      <c r="K5869" s="206" t="s">
        <v>121</v>
      </c>
      <c r="L5869" s="206" t="str">
        <v/>
      </c>
      <c r="M5869" s="206" t="str">
        <v/>
      </c>
    </row>
    <row r="5870" spans="1:13" ht="14.4">
      <c r="A5870" s="201"/>
      <c r="B5870" s="209"/>
      <c r="C5870" s="201"/>
      <c r="D5870" s="201"/>
      <c r="E5870" s="202"/>
      <c r="F5870" s="210"/>
      <c r="G5870" s="210"/>
      <c r="H5870" s="206" t="s">
        <v>121</v>
      </c>
      <c r="I5870" s="206" t="s">
        <v>121</v>
      </c>
      <c r="J5870" s="206" t="s">
        <v>121</v>
      </c>
      <c r="K5870" s="206" t="s">
        <v>121</v>
      </c>
      <c r="L5870" s="206" t="str">
        <v/>
      </c>
      <c r="M5870" s="206" t="str">
        <v/>
      </c>
    </row>
    <row r="5871" spans="1:13" ht="14.4">
      <c r="A5871" s="201"/>
      <c r="B5871" s="209"/>
      <c r="C5871" s="201"/>
      <c r="D5871" s="201"/>
      <c r="E5871" s="202"/>
      <c r="F5871" s="210"/>
      <c r="G5871" s="210"/>
      <c r="H5871" s="206" t="s">
        <v>121</v>
      </c>
      <c r="I5871" s="206" t="s">
        <v>121</v>
      </c>
      <c r="J5871" s="206" t="s">
        <v>121</v>
      </c>
      <c r="K5871" s="206" t="s">
        <v>121</v>
      </c>
      <c r="L5871" s="206" t="str">
        <v/>
      </c>
      <c r="M5871" s="206" t="str">
        <v/>
      </c>
    </row>
    <row r="5872" spans="1:13" ht="14.4">
      <c r="A5872" s="201"/>
      <c r="B5872" s="209"/>
      <c r="C5872" s="201"/>
      <c r="D5872" s="201"/>
      <c r="E5872" s="202"/>
      <c r="F5872" s="210"/>
      <c r="G5872" s="210"/>
      <c r="H5872" s="206" t="s">
        <v>121</v>
      </c>
      <c r="I5872" s="206" t="s">
        <v>121</v>
      </c>
      <c r="J5872" s="206" t="s">
        <v>121</v>
      </c>
      <c r="K5872" s="206" t="s">
        <v>121</v>
      </c>
      <c r="L5872" s="206" t="str">
        <v/>
      </c>
      <c r="M5872" s="206" t="str">
        <v/>
      </c>
    </row>
    <row r="5873" spans="1:13" ht="14.4">
      <c r="A5873" s="201"/>
      <c r="B5873" s="209"/>
      <c r="C5873" s="201"/>
      <c r="D5873" s="201"/>
      <c r="E5873" s="202"/>
      <c r="F5873" s="210"/>
      <c r="G5873" s="210"/>
      <c r="H5873" s="206" t="s">
        <v>121</v>
      </c>
      <c r="I5873" s="206" t="s">
        <v>121</v>
      </c>
      <c r="J5873" s="206" t="s">
        <v>121</v>
      </c>
      <c r="K5873" s="206" t="s">
        <v>121</v>
      </c>
      <c r="L5873" s="206" t="str">
        <v/>
      </c>
      <c r="M5873" s="206" t="str">
        <v/>
      </c>
    </row>
    <row r="5874" spans="1:13" ht="14.4">
      <c r="A5874" s="201"/>
      <c r="B5874" s="209"/>
      <c r="C5874" s="201"/>
      <c r="D5874" s="201"/>
      <c r="E5874" s="202"/>
      <c r="F5874" s="210"/>
      <c r="G5874" s="210"/>
      <c r="H5874" s="206" t="s">
        <v>121</v>
      </c>
      <c r="I5874" s="206" t="s">
        <v>121</v>
      </c>
      <c r="J5874" s="206" t="s">
        <v>121</v>
      </c>
      <c r="K5874" s="206" t="s">
        <v>121</v>
      </c>
      <c r="L5874" s="206" t="str">
        <v/>
      </c>
      <c r="M5874" s="206" t="str">
        <v/>
      </c>
    </row>
    <row r="5875" spans="1:13" ht="14.4">
      <c r="A5875" s="201"/>
      <c r="B5875" s="209"/>
      <c r="C5875" s="201"/>
      <c r="D5875" s="201"/>
      <c r="E5875" s="202"/>
      <c r="F5875" s="210"/>
      <c r="G5875" s="210"/>
      <c r="H5875" s="206" t="s">
        <v>121</v>
      </c>
      <c r="I5875" s="206" t="s">
        <v>121</v>
      </c>
      <c r="J5875" s="206" t="s">
        <v>121</v>
      </c>
      <c r="K5875" s="206" t="s">
        <v>121</v>
      </c>
      <c r="L5875" s="206" t="str">
        <v/>
      </c>
      <c r="M5875" s="206" t="str">
        <v/>
      </c>
    </row>
    <row r="5876" spans="1:13" ht="14.4">
      <c r="A5876" s="201"/>
      <c r="B5876" s="209"/>
      <c r="C5876" s="201"/>
      <c r="D5876" s="201"/>
      <c r="E5876" s="202"/>
      <c r="F5876" s="210"/>
      <c r="G5876" s="210"/>
      <c r="H5876" s="206" t="s">
        <v>121</v>
      </c>
      <c r="I5876" s="206" t="s">
        <v>121</v>
      </c>
      <c r="J5876" s="206" t="s">
        <v>121</v>
      </c>
      <c r="K5876" s="206" t="s">
        <v>121</v>
      </c>
      <c r="L5876" s="206" t="str">
        <v/>
      </c>
      <c r="M5876" s="206" t="str">
        <v/>
      </c>
    </row>
    <row r="5877" spans="1:13" ht="14.4">
      <c r="A5877" s="201"/>
      <c r="B5877" s="209"/>
      <c r="C5877" s="201"/>
      <c r="D5877" s="201"/>
      <c r="E5877" s="202"/>
      <c r="F5877" s="210"/>
      <c r="G5877" s="210"/>
      <c r="H5877" s="206" t="s">
        <v>121</v>
      </c>
      <c r="I5877" s="206" t="s">
        <v>121</v>
      </c>
      <c r="J5877" s="206" t="s">
        <v>121</v>
      </c>
      <c r="K5877" s="206" t="s">
        <v>121</v>
      </c>
      <c r="L5877" s="206" t="str">
        <v/>
      </c>
      <c r="M5877" s="206" t="str">
        <v/>
      </c>
    </row>
    <row r="5878" spans="1:13" ht="14.4">
      <c r="A5878" s="201"/>
      <c r="B5878" s="209"/>
      <c r="C5878" s="201"/>
      <c r="D5878" s="201"/>
      <c r="E5878" s="202"/>
      <c r="F5878" s="210"/>
      <c r="G5878" s="210"/>
      <c r="H5878" s="206" t="s">
        <v>121</v>
      </c>
      <c r="I5878" s="206" t="s">
        <v>121</v>
      </c>
      <c r="J5878" s="206" t="s">
        <v>121</v>
      </c>
      <c r="K5878" s="206" t="s">
        <v>121</v>
      </c>
      <c r="L5878" s="206" t="str">
        <v/>
      </c>
      <c r="M5878" s="206" t="str">
        <v/>
      </c>
    </row>
    <row r="5879" spans="1:13" ht="14.4">
      <c r="A5879" s="201"/>
      <c r="B5879" s="209"/>
      <c r="C5879" s="201"/>
      <c r="D5879" s="201"/>
      <c r="E5879" s="202"/>
      <c r="F5879" s="210"/>
      <c r="G5879" s="210"/>
      <c r="H5879" s="206" t="s">
        <v>121</v>
      </c>
      <c r="I5879" s="206" t="s">
        <v>121</v>
      </c>
      <c r="J5879" s="206" t="s">
        <v>121</v>
      </c>
      <c r="K5879" s="206" t="s">
        <v>121</v>
      </c>
      <c r="L5879" s="206" t="str">
        <v/>
      </c>
      <c r="M5879" s="206" t="str">
        <v/>
      </c>
    </row>
    <row r="5880" spans="1:13" ht="14.4">
      <c r="A5880" s="201"/>
      <c r="B5880" s="209"/>
      <c r="C5880" s="201"/>
      <c r="D5880" s="201"/>
      <c r="E5880" s="202"/>
      <c r="F5880" s="210"/>
      <c r="G5880" s="210"/>
      <c r="H5880" s="206" t="s">
        <v>121</v>
      </c>
      <c r="I5880" s="206" t="s">
        <v>121</v>
      </c>
      <c r="J5880" s="206" t="s">
        <v>121</v>
      </c>
      <c r="K5880" s="206" t="s">
        <v>121</v>
      </c>
      <c r="L5880" s="206" t="str">
        <v/>
      </c>
      <c r="M5880" s="206" t="str">
        <v/>
      </c>
    </row>
    <row r="5881" spans="1:13" ht="14.4">
      <c r="A5881" s="201"/>
      <c r="B5881" s="209"/>
      <c r="C5881" s="201"/>
      <c r="D5881" s="201"/>
      <c r="E5881" s="202"/>
      <c r="F5881" s="210"/>
      <c r="G5881" s="210"/>
      <c r="H5881" s="206" t="s">
        <v>121</v>
      </c>
      <c r="I5881" s="206" t="s">
        <v>121</v>
      </c>
      <c r="J5881" s="206" t="s">
        <v>121</v>
      </c>
      <c r="K5881" s="206" t="s">
        <v>121</v>
      </c>
      <c r="L5881" s="206" t="str">
        <v/>
      </c>
      <c r="M5881" s="206" t="str">
        <v/>
      </c>
    </row>
    <row r="5882" spans="1:13" ht="14.4">
      <c r="A5882" s="201"/>
      <c r="B5882" s="209"/>
      <c r="C5882" s="201"/>
      <c r="D5882" s="201"/>
      <c r="E5882" s="202"/>
      <c r="F5882" s="210"/>
      <c r="G5882" s="210"/>
      <c r="H5882" s="206" t="s">
        <v>121</v>
      </c>
      <c r="I5882" s="206" t="s">
        <v>121</v>
      </c>
      <c r="J5882" s="206" t="s">
        <v>121</v>
      </c>
      <c r="K5882" s="206" t="s">
        <v>121</v>
      </c>
      <c r="L5882" s="206" t="str">
        <v/>
      </c>
      <c r="M5882" s="206" t="str">
        <v/>
      </c>
    </row>
    <row r="5883" spans="1:13" ht="14.4">
      <c r="A5883" s="201"/>
      <c r="B5883" s="209"/>
      <c r="C5883" s="201"/>
      <c r="D5883" s="201"/>
      <c r="E5883" s="202"/>
      <c r="F5883" s="210"/>
      <c r="G5883" s="210"/>
      <c r="H5883" s="206" t="s">
        <v>121</v>
      </c>
      <c r="I5883" s="206" t="s">
        <v>121</v>
      </c>
      <c r="J5883" s="206" t="s">
        <v>121</v>
      </c>
      <c r="K5883" s="206" t="s">
        <v>121</v>
      </c>
      <c r="L5883" s="206" t="str">
        <v/>
      </c>
      <c r="M5883" s="206" t="str">
        <v/>
      </c>
    </row>
    <row r="5884" spans="1:13" ht="14.4">
      <c r="A5884" s="201"/>
      <c r="B5884" s="209"/>
      <c r="C5884" s="201"/>
      <c r="D5884" s="201"/>
      <c r="E5884" s="202"/>
      <c r="F5884" s="210"/>
      <c r="G5884" s="210"/>
      <c r="H5884" s="206" t="s">
        <v>121</v>
      </c>
      <c r="I5884" s="206" t="s">
        <v>121</v>
      </c>
      <c r="J5884" s="206" t="s">
        <v>121</v>
      </c>
      <c r="K5884" s="206" t="s">
        <v>121</v>
      </c>
      <c r="L5884" s="206" t="str">
        <v/>
      </c>
      <c r="M5884" s="206" t="str">
        <v/>
      </c>
    </row>
    <row r="5885" spans="1:13" ht="14.4">
      <c r="A5885" s="201"/>
      <c r="B5885" s="209"/>
      <c r="C5885" s="201"/>
      <c r="D5885" s="201"/>
      <c r="E5885" s="202"/>
      <c r="F5885" s="210"/>
      <c r="G5885" s="210"/>
      <c r="H5885" s="206" t="s">
        <v>121</v>
      </c>
      <c r="I5885" s="206" t="s">
        <v>121</v>
      </c>
      <c r="J5885" s="206" t="s">
        <v>121</v>
      </c>
      <c r="K5885" s="206" t="s">
        <v>121</v>
      </c>
      <c r="L5885" s="206" t="str">
        <v/>
      </c>
      <c r="M5885" s="206" t="str">
        <v/>
      </c>
    </row>
    <row r="5886" spans="1:13" ht="14.4">
      <c r="A5886" s="201"/>
      <c r="B5886" s="209"/>
      <c r="C5886" s="201"/>
      <c r="D5886" s="201"/>
      <c r="E5886" s="202"/>
      <c r="F5886" s="210"/>
      <c r="G5886" s="210"/>
      <c r="H5886" s="206" t="s">
        <v>121</v>
      </c>
      <c r="I5886" s="206" t="s">
        <v>121</v>
      </c>
      <c r="J5886" s="206" t="s">
        <v>121</v>
      </c>
      <c r="K5886" s="206" t="s">
        <v>121</v>
      </c>
      <c r="L5886" s="206" t="str">
        <v/>
      </c>
      <c r="M5886" s="206" t="str">
        <v/>
      </c>
    </row>
    <row r="5887" spans="1:13" ht="14.4">
      <c r="A5887" s="201"/>
      <c r="B5887" s="209"/>
      <c r="C5887" s="201"/>
      <c r="D5887" s="201"/>
      <c r="E5887" s="202"/>
      <c r="F5887" s="210"/>
      <c r="G5887" s="210"/>
      <c r="H5887" s="206" t="s">
        <v>121</v>
      </c>
      <c r="I5887" s="206" t="s">
        <v>121</v>
      </c>
      <c r="J5887" s="206" t="s">
        <v>121</v>
      </c>
      <c r="K5887" s="206" t="s">
        <v>121</v>
      </c>
      <c r="L5887" s="206" t="str">
        <v/>
      </c>
      <c r="M5887" s="206" t="str">
        <v/>
      </c>
    </row>
    <row r="5888" spans="1:13" ht="14.4">
      <c r="A5888" s="201"/>
      <c r="B5888" s="209"/>
      <c r="C5888" s="201"/>
      <c r="D5888" s="201"/>
      <c r="E5888" s="202"/>
      <c r="F5888" s="210"/>
      <c r="G5888" s="210"/>
      <c r="H5888" s="206" t="s">
        <v>121</v>
      </c>
      <c r="I5888" s="206" t="s">
        <v>121</v>
      </c>
      <c r="J5888" s="206" t="s">
        <v>121</v>
      </c>
      <c r="K5888" s="206" t="s">
        <v>121</v>
      </c>
      <c r="L5888" s="206" t="str">
        <v/>
      </c>
      <c r="M5888" s="206" t="str">
        <v/>
      </c>
    </row>
    <row r="5889" spans="1:13" ht="14.4">
      <c r="A5889" s="201"/>
      <c r="B5889" s="209"/>
      <c r="C5889" s="201"/>
      <c r="D5889" s="201"/>
      <c r="E5889" s="202"/>
      <c r="F5889" s="210"/>
      <c r="G5889" s="210"/>
      <c r="H5889" s="206" t="s">
        <v>121</v>
      </c>
      <c r="I5889" s="206" t="s">
        <v>121</v>
      </c>
      <c r="J5889" s="206" t="s">
        <v>121</v>
      </c>
      <c r="K5889" s="206" t="s">
        <v>121</v>
      </c>
      <c r="L5889" s="206" t="str">
        <v/>
      </c>
      <c r="M5889" s="206" t="str">
        <v/>
      </c>
    </row>
    <row r="5890" spans="1:13" ht="14.4">
      <c r="A5890" s="201"/>
      <c r="B5890" s="209"/>
      <c r="C5890" s="201"/>
      <c r="D5890" s="201"/>
      <c r="E5890" s="202"/>
      <c r="F5890" s="210"/>
      <c r="G5890" s="210"/>
      <c r="H5890" s="206" t="s">
        <v>121</v>
      </c>
      <c r="I5890" s="206" t="s">
        <v>121</v>
      </c>
      <c r="J5890" s="206" t="s">
        <v>121</v>
      </c>
      <c r="K5890" s="206" t="s">
        <v>121</v>
      </c>
      <c r="L5890" s="206" t="str">
        <v/>
      </c>
      <c r="M5890" s="206" t="str">
        <v/>
      </c>
    </row>
    <row r="5891" spans="1:13" ht="14.4">
      <c r="A5891" s="201"/>
      <c r="B5891" s="209"/>
      <c r="C5891" s="201"/>
      <c r="D5891" s="201"/>
      <c r="E5891" s="202"/>
      <c r="F5891" s="210"/>
      <c r="G5891" s="210"/>
      <c r="H5891" s="206" t="s">
        <v>121</v>
      </c>
      <c r="I5891" s="206" t="s">
        <v>121</v>
      </c>
      <c r="J5891" s="206" t="s">
        <v>121</v>
      </c>
      <c r="K5891" s="206" t="s">
        <v>121</v>
      </c>
      <c r="L5891" s="206" t="str">
        <v/>
      </c>
      <c r="M5891" s="206" t="str">
        <v/>
      </c>
    </row>
    <row r="5892" spans="1:13" ht="14.4">
      <c r="A5892" s="201"/>
      <c r="B5892" s="209"/>
      <c r="C5892" s="201"/>
      <c r="D5892" s="201"/>
      <c r="E5892" s="202"/>
      <c r="F5892" s="210"/>
      <c r="G5892" s="210"/>
      <c r="H5892" s="206" t="s">
        <v>121</v>
      </c>
      <c r="I5892" s="206" t="s">
        <v>121</v>
      </c>
      <c r="J5892" s="206" t="s">
        <v>121</v>
      </c>
      <c r="K5892" s="206" t="s">
        <v>121</v>
      </c>
      <c r="L5892" s="206" t="str">
        <v/>
      </c>
      <c r="M5892" s="206" t="str">
        <v/>
      </c>
    </row>
    <row r="5893" spans="1:13" ht="14.4">
      <c r="A5893" s="201"/>
      <c r="B5893" s="209"/>
      <c r="C5893" s="201"/>
      <c r="D5893" s="201"/>
      <c r="E5893" s="202"/>
      <c r="F5893" s="210"/>
      <c r="G5893" s="210"/>
      <c r="H5893" s="206" t="s">
        <v>121</v>
      </c>
      <c r="I5893" s="206" t="s">
        <v>121</v>
      </c>
      <c r="J5893" s="206" t="s">
        <v>121</v>
      </c>
      <c r="K5893" s="206" t="s">
        <v>121</v>
      </c>
      <c r="L5893" s="206" t="str">
        <v/>
      </c>
      <c r="M5893" s="206" t="str">
        <v/>
      </c>
    </row>
    <row r="5894" spans="1:13" ht="14.4">
      <c r="A5894" s="201"/>
      <c r="B5894" s="209"/>
      <c r="C5894" s="201"/>
      <c r="D5894" s="201"/>
      <c r="E5894" s="202"/>
      <c r="F5894" s="210"/>
      <c r="G5894" s="210"/>
      <c r="H5894" s="206" t="s">
        <v>121</v>
      </c>
      <c r="I5894" s="206" t="s">
        <v>121</v>
      </c>
      <c r="J5894" s="206" t="s">
        <v>121</v>
      </c>
      <c r="K5894" s="206" t="s">
        <v>121</v>
      </c>
      <c r="L5894" s="206" t="str">
        <v/>
      </c>
      <c r="M5894" s="206" t="str">
        <v/>
      </c>
    </row>
    <row r="5895" spans="1:13" ht="14.4">
      <c r="A5895" s="201"/>
      <c r="B5895" s="209"/>
      <c r="C5895" s="201"/>
      <c r="D5895" s="201"/>
      <c r="E5895" s="202"/>
      <c r="F5895" s="210"/>
      <c r="G5895" s="210"/>
      <c r="H5895" s="206" t="s">
        <v>121</v>
      </c>
      <c r="I5895" s="206" t="s">
        <v>121</v>
      </c>
      <c r="J5895" s="206" t="s">
        <v>121</v>
      </c>
      <c r="K5895" s="206" t="s">
        <v>121</v>
      </c>
      <c r="L5895" s="206" t="str">
        <v/>
      </c>
      <c r="M5895" s="206" t="str">
        <v/>
      </c>
    </row>
    <row r="5896" spans="1:13" ht="14.4">
      <c r="A5896" s="201"/>
      <c r="B5896" s="209"/>
      <c r="C5896" s="201"/>
      <c r="D5896" s="201"/>
      <c r="E5896" s="202"/>
      <c r="F5896" s="210"/>
      <c r="G5896" s="210"/>
      <c r="H5896" s="206" t="s">
        <v>121</v>
      </c>
      <c r="I5896" s="206" t="s">
        <v>121</v>
      </c>
      <c r="J5896" s="206" t="s">
        <v>121</v>
      </c>
      <c r="K5896" s="206" t="s">
        <v>121</v>
      </c>
      <c r="L5896" s="206" t="str">
        <v/>
      </c>
      <c r="M5896" s="206" t="str">
        <v/>
      </c>
    </row>
    <row r="5897" spans="1:13" ht="14.4">
      <c r="A5897" s="201"/>
      <c r="B5897" s="209"/>
      <c r="C5897" s="201"/>
      <c r="D5897" s="201"/>
      <c r="E5897" s="202"/>
      <c r="F5897" s="210"/>
      <c r="G5897" s="210"/>
      <c r="H5897" s="206" t="s">
        <v>121</v>
      </c>
      <c r="I5897" s="206" t="s">
        <v>121</v>
      </c>
      <c r="J5897" s="206" t="s">
        <v>121</v>
      </c>
      <c r="K5897" s="206" t="s">
        <v>121</v>
      </c>
      <c r="L5897" s="206" t="str">
        <v/>
      </c>
      <c r="M5897" s="206" t="str">
        <v/>
      </c>
    </row>
    <row r="5898" spans="1:13" ht="14.4">
      <c r="A5898" s="201"/>
      <c r="B5898" s="209"/>
      <c r="C5898" s="201"/>
      <c r="D5898" s="201"/>
      <c r="E5898" s="202"/>
      <c r="F5898" s="210"/>
      <c r="G5898" s="210"/>
      <c r="H5898" s="206" t="s">
        <v>121</v>
      </c>
      <c r="I5898" s="206" t="s">
        <v>121</v>
      </c>
      <c r="J5898" s="206" t="s">
        <v>121</v>
      </c>
      <c r="K5898" s="206" t="s">
        <v>121</v>
      </c>
      <c r="L5898" s="206" t="str">
        <v/>
      </c>
      <c r="M5898" s="206" t="str">
        <v/>
      </c>
    </row>
    <row r="5899" spans="1:13" ht="14.4">
      <c r="A5899" s="201"/>
      <c r="B5899" s="209"/>
      <c r="C5899" s="201"/>
      <c r="D5899" s="201"/>
      <c r="E5899" s="202"/>
      <c r="F5899" s="210"/>
      <c r="G5899" s="210"/>
      <c r="H5899" s="206" t="s">
        <v>121</v>
      </c>
      <c r="I5899" s="206" t="s">
        <v>121</v>
      </c>
      <c r="J5899" s="206" t="s">
        <v>121</v>
      </c>
      <c r="K5899" s="206" t="s">
        <v>121</v>
      </c>
      <c r="L5899" s="206" t="str">
        <v/>
      </c>
      <c r="M5899" s="206" t="str">
        <v/>
      </c>
    </row>
    <row r="5900" spans="1:13" ht="14.4">
      <c r="A5900" s="201"/>
      <c r="B5900" s="209"/>
      <c r="C5900" s="201"/>
      <c r="D5900" s="201"/>
      <c r="E5900" s="202"/>
      <c r="F5900" s="210"/>
      <c r="G5900" s="210"/>
      <c r="H5900" s="206" t="s">
        <v>121</v>
      </c>
      <c r="I5900" s="206" t="s">
        <v>121</v>
      </c>
      <c r="J5900" s="206" t="s">
        <v>121</v>
      </c>
      <c r="K5900" s="206" t="s">
        <v>121</v>
      </c>
      <c r="L5900" s="206" t="str">
        <v/>
      </c>
      <c r="M5900" s="206" t="str">
        <v/>
      </c>
    </row>
    <row r="5901" spans="1:13" ht="14.4">
      <c r="A5901" s="201"/>
      <c r="B5901" s="209"/>
      <c r="C5901" s="201"/>
      <c r="D5901" s="201"/>
      <c r="E5901" s="202"/>
      <c r="F5901" s="210"/>
      <c r="G5901" s="210"/>
      <c r="H5901" s="206" t="s">
        <v>121</v>
      </c>
      <c r="I5901" s="206" t="s">
        <v>121</v>
      </c>
      <c r="J5901" s="206" t="s">
        <v>121</v>
      </c>
      <c r="K5901" s="206" t="s">
        <v>121</v>
      </c>
      <c r="L5901" s="206" t="str">
        <v/>
      </c>
      <c r="M5901" s="206" t="str">
        <v/>
      </c>
    </row>
    <row r="5902" spans="1:13" ht="14.4">
      <c r="A5902" s="201"/>
      <c r="B5902" s="209"/>
      <c r="C5902" s="201"/>
      <c r="D5902" s="201"/>
      <c r="E5902" s="202"/>
      <c r="F5902" s="210"/>
      <c r="G5902" s="210"/>
      <c r="H5902" s="206" t="s">
        <v>121</v>
      </c>
      <c r="I5902" s="206" t="s">
        <v>121</v>
      </c>
      <c r="J5902" s="206" t="s">
        <v>121</v>
      </c>
      <c r="K5902" s="206" t="s">
        <v>121</v>
      </c>
      <c r="L5902" s="206" t="str">
        <v/>
      </c>
      <c r="M5902" s="206" t="str">
        <v/>
      </c>
    </row>
    <row r="5903" spans="1:13" ht="14.4">
      <c r="A5903" s="201"/>
      <c r="B5903" s="209"/>
      <c r="C5903" s="201"/>
      <c r="D5903" s="201"/>
      <c r="E5903" s="202"/>
      <c r="F5903" s="210"/>
      <c r="G5903" s="210"/>
      <c r="H5903" s="206" t="s">
        <v>121</v>
      </c>
      <c r="I5903" s="206" t="s">
        <v>121</v>
      </c>
      <c r="J5903" s="206" t="s">
        <v>121</v>
      </c>
      <c r="K5903" s="206" t="s">
        <v>121</v>
      </c>
      <c r="L5903" s="206" t="str">
        <v/>
      </c>
      <c r="M5903" s="206" t="str">
        <v/>
      </c>
    </row>
    <row r="5904" spans="1:13" ht="14.4">
      <c r="A5904" s="201"/>
      <c r="B5904" s="209"/>
      <c r="C5904" s="201"/>
      <c r="D5904" s="201"/>
      <c r="E5904" s="202"/>
      <c r="F5904" s="210"/>
      <c r="G5904" s="210"/>
      <c r="H5904" s="206" t="s">
        <v>121</v>
      </c>
      <c r="I5904" s="206" t="s">
        <v>121</v>
      </c>
      <c r="J5904" s="206" t="s">
        <v>121</v>
      </c>
      <c r="K5904" s="206" t="s">
        <v>121</v>
      </c>
      <c r="L5904" s="206" t="str">
        <v/>
      </c>
      <c r="M5904" s="206" t="str">
        <v/>
      </c>
    </row>
    <row r="5905" spans="1:13" ht="14.4">
      <c r="A5905" s="201"/>
      <c r="B5905" s="209"/>
      <c r="C5905" s="201"/>
      <c r="D5905" s="201"/>
      <c r="E5905" s="202"/>
      <c r="F5905" s="210"/>
      <c r="G5905" s="210"/>
      <c r="H5905" s="206" t="s">
        <v>121</v>
      </c>
      <c r="I5905" s="206" t="s">
        <v>121</v>
      </c>
      <c r="J5905" s="206" t="s">
        <v>121</v>
      </c>
      <c r="K5905" s="206" t="s">
        <v>121</v>
      </c>
      <c r="L5905" s="206" t="str">
        <v/>
      </c>
      <c r="M5905" s="206" t="str">
        <v/>
      </c>
    </row>
    <row r="5906" spans="1:13" ht="14.4">
      <c r="A5906" s="201"/>
      <c r="B5906" s="209"/>
      <c r="C5906" s="201"/>
      <c r="D5906" s="201"/>
      <c r="E5906" s="202"/>
      <c r="F5906" s="210"/>
      <c r="G5906" s="210"/>
      <c r="H5906" s="206" t="s">
        <v>121</v>
      </c>
      <c r="I5906" s="206" t="s">
        <v>121</v>
      </c>
      <c r="J5906" s="206" t="s">
        <v>121</v>
      </c>
      <c r="K5906" s="206" t="s">
        <v>121</v>
      </c>
      <c r="L5906" s="206" t="str">
        <v/>
      </c>
      <c r="M5906" s="206" t="str">
        <v/>
      </c>
    </row>
    <row r="5907" spans="1:13" ht="14.4">
      <c r="A5907" s="201"/>
      <c r="B5907" s="209"/>
      <c r="C5907" s="201"/>
      <c r="D5907" s="201"/>
      <c r="E5907" s="202"/>
      <c r="F5907" s="210"/>
      <c r="G5907" s="210"/>
      <c r="H5907" s="206" t="s">
        <v>121</v>
      </c>
      <c r="I5907" s="206" t="s">
        <v>121</v>
      </c>
      <c r="J5907" s="206" t="s">
        <v>121</v>
      </c>
      <c r="K5907" s="206" t="s">
        <v>121</v>
      </c>
      <c r="L5907" s="206" t="str">
        <v/>
      </c>
      <c r="M5907" s="206" t="str">
        <v/>
      </c>
    </row>
    <row r="5908" spans="1:13" ht="14.4">
      <c r="A5908" s="201"/>
      <c r="B5908" s="209"/>
      <c r="C5908" s="201"/>
      <c r="D5908" s="201"/>
      <c r="E5908" s="202"/>
      <c r="F5908" s="210"/>
      <c r="G5908" s="210"/>
      <c r="H5908" s="206" t="s">
        <v>121</v>
      </c>
      <c r="I5908" s="206" t="s">
        <v>121</v>
      </c>
      <c r="J5908" s="206" t="s">
        <v>121</v>
      </c>
      <c r="K5908" s="206" t="s">
        <v>121</v>
      </c>
      <c r="L5908" s="206" t="str">
        <v/>
      </c>
      <c r="M5908" s="206" t="str">
        <v/>
      </c>
    </row>
    <row r="5909" spans="1:13" ht="14.4">
      <c r="A5909" s="201"/>
      <c r="B5909" s="209"/>
      <c r="C5909" s="201"/>
      <c r="D5909" s="201"/>
      <c r="E5909" s="202"/>
      <c r="F5909" s="210"/>
      <c r="G5909" s="210"/>
      <c r="H5909" s="206" t="s">
        <v>121</v>
      </c>
      <c r="I5909" s="206" t="s">
        <v>121</v>
      </c>
      <c r="J5909" s="206" t="s">
        <v>121</v>
      </c>
      <c r="K5909" s="206" t="s">
        <v>121</v>
      </c>
      <c r="L5909" s="206" t="str">
        <v/>
      </c>
      <c r="M5909" s="206" t="str">
        <v/>
      </c>
    </row>
    <row r="5910" spans="1:13" ht="14.4">
      <c r="A5910" s="201"/>
      <c r="B5910" s="209"/>
      <c r="C5910" s="201"/>
      <c r="D5910" s="201"/>
      <c r="E5910" s="202"/>
      <c r="F5910" s="210"/>
      <c r="G5910" s="210"/>
      <c r="H5910" s="206" t="s">
        <v>121</v>
      </c>
      <c r="I5910" s="206" t="s">
        <v>121</v>
      </c>
      <c r="J5910" s="206" t="s">
        <v>121</v>
      </c>
      <c r="K5910" s="206" t="s">
        <v>121</v>
      </c>
      <c r="L5910" s="206" t="str">
        <v/>
      </c>
      <c r="M5910" s="206" t="str">
        <v/>
      </c>
    </row>
    <row r="5911" spans="1:13" ht="14.4">
      <c r="A5911" s="201"/>
      <c r="B5911" s="209"/>
      <c r="C5911" s="201"/>
      <c r="D5911" s="201"/>
      <c r="E5911" s="202"/>
      <c r="F5911" s="210"/>
      <c r="G5911" s="210"/>
      <c r="H5911" s="206" t="s">
        <v>121</v>
      </c>
      <c r="I5911" s="206" t="s">
        <v>121</v>
      </c>
      <c r="J5911" s="206" t="s">
        <v>121</v>
      </c>
      <c r="K5911" s="206" t="s">
        <v>121</v>
      </c>
      <c r="L5911" s="206" t="str">
        <v/>
      </c>
      <c r="M5911" s="206" t="str">
        <v/>
      </c>
    </row>
    <row r="5912" spans="1:13" ht="14.4">
      <c r="A5912" s="201"/>
      <c r="B5912" s="209"/>
      <c r="C5912" s="201"/>
      <c r="D5912" s="201"/>
      <c r="E5912" s="202"/>
      <c r="F5912" s="210"/>
      <c r="G5912" s="210"/>
      <c r="H5912" s="206" t="s">
        <v>121</v>
      </c>
      <c r="I5912" s="206" t="s">
        <v>121</v>
      </c>
      <c r="J5912" s="206" t="s">
        <v>121</v>
      </c>
      <c r="K5912" s="206" t="s">
        <v>121</v>
      </c>
      <c r="L5912" s="206" t="str">
        <v/>
      </c>
      <c r="M5912" s="206" t="str">
        <v/>
      </c>
    </row>
    <row r="5913" spans="1:13" ht="14.4">
      <c r="A5913" s="201"/>
      <c r="B5913" s="209"/>
      <c r="C5913" s="201"/>
      <c r="D5913" s="201"/>
      <c r="E5913" s="202"/>
      <c r="F5913" s="210"/>
      <c r="G5913" s="210"/>
      <c r="H5913" s="206" t="s">
        <v>121</v>
      </c>
      <c r="I5913" s="206" t="s">
        <v>121</v>
      </c>
      <c r="J5913" s="206" t="s">
        <v>121</v>
      </c>
      <c r="K5913" s="206" t="s">
        <v>121</v>
      </c>
      <c r="L5913" s="206" t="str">
        <v/>
      </c>
      <c r="M5913" s="206" t="str">
        <v/>
      </c>
    </row>
    <row r="5914" spans="1:13" ht="14.4">
      <c r="A5914" s="201"/>
      <c r="B5914" s="209"/>
      <c r="C5914" s="201"/>
      <c r="D5914" s="201"/>
      <c r="E5914" s="202"/>
      <c r="F5914" s="210"/>
      <c r="G5914" s="210"/>
      <c r="H5914" s="206" t="s">
        <v>121</v>
      </c>
      <c r="I5914" s="206" t="s">
        <v>121</v>
      </c>
      <c r="J5914" s="206" t="s">
        <v>121</v>
      </c>
      <c r="K5914" s="206" t="s">
        <v>121</v>
      </c>
      <c r="L5914" s="206" t="str">
        <v/>
      </c>
      <c r="M5914" s="206" t="str">
        <v/>
      </c>
    </row>
    <row r="5915" spans="1:13" ht="14.4">
      <c r="A5915" s="201"/>
      <c r="B5915" s="209"/>
      <c r="C5915" s="201"/>
      <c r="D5915" s="201"/>
      <c r="E5915" s="202"/>
      <c r="F5915" s="210"/>
      <c r="G5915" s="210"/>
      <c r="H5915" s="206" t="s">
        <v>121</v>
      </c>
      <c r="I5915" s="206" t="s">
        <v>121</v>
      </c>
      <c r="J5915" s="206" t="s">
        <v>121</v>
      </c>
      <c r="K5915" s="206" t="s">
        <v>121</v>
      </c>
      <c r="L5915" s="206" t="str">
        <v/>
      </c>
      <c r="M5915" s="206" t="str">
        <v/>
      </c>
    </row>
    <row r="5916" spans="1:13" ht="14.4">
      <c r="A5916" s="201"/>
      <c r="B5916" s="209"/>
      <c r="C5916" s="201"/>
      <c r="D5916" s="201"/>
      <c r="E5916" s="202"/>
      <c r="F5916" s="210"/>
      <c r="G5916" s="210"/>
      <c r="H5916" s="206" t="s">
        <v>121</v>
      </c>
      <c r="I5916" s="206" t="s">
        <v>121</v>
      </c>
      <c r="J5916" s="206" t="s">
        <v>121</v>
      </c>
      <c r="K5916" s="206" t="s">
        <v>121</v>
      </c>
      <c r="L5916" s="206" t="str">
        <v/>
      </c>
      <c r="M5916" s="206" t="str">
        <v/>
      </c>
    </row>
    <row r="5917" spans="1:13" ht="14.4">
      <c r="A5917" s="201"/>
      <c r="B5917" s="209"/>
      <c r="C5917" s="201"/>
      <c r="D5917" s="201"/>
      <c r="E5917" s="202"/>
      <c r="F5917" s="210"/>
      <c r="G5917" s="210"/>
      <c r="H5917" s="206" t="s">
        <v>121</v>
      </c>
      <c r="I5917" s="206" t="s">
        <v>121</v>
      </c>
      <c r="J5917" s="206" t="s">
        <v>121</v>
      </c>
      <c r="K5917" s="206" t="s">
        <v>121</v>
      </c>
      <c r="L5917" s="206" t="str">
        <v/>
      </c>
      <c r="M5917" s="206" t="str">
        <v/>
      </c>
    </row>
    <row r="5918" spans="1:13" ht="14.4">
      <c r="A5918" s="201"/>
      <c r="B5918" s="209"/>
      <c r="C5918" s="201"/>
      <c r="D5918" s="201"/>
      <c r="E5918" s="202"/>
      <c r="F5918" s="210"/>
      <c r="G5918" s="210"/>
      <c r="H5918" s="206" t="s">
        <v>121</v>
      </c>
      <c r="I5918" s="206" t="s">
        <v>121</v>
      </c>
      <c r="J5918" s="206" t="s">
        <v>121</v>
      </c>
      <c r="K5918" s="206" t="s">
        <v>121</v>
      </c>
      <c r="L5918" s="206" t="str">
        <v/>
      </c>
      <c r="M5918" s="206" t="str">
        <v/>
      </c>
    </row>
    <row r="5919" spans="1:13" ht="14.4">
      <c r="A5919" s="201"/>
      <c r="B5919" s="209"/>
      <c r="C5919" s="201"/>
      <c r="D5919" s="201"/>
      <c r="E5919" s="202"/>
      <c r="F5919" s="210"/>
      <c r="G5919" s="210"/>
      <c r="H5919" s="206" t="s">
        <v>121</v>
      </c>
      <c r="I5919" s="206" t="s">
        <v>121</v>
      </c>
      <c r="J5919" s="206" t="s">
        <v>121</v>
      </c>
      <c r="K5919" s="206" t="s">
        <v>121</v>
      </c>
      <c r="L5919" s="206" t="str">
        <v/>
      </c>
      <c r="M5919" s="206" t="str">
        <v/>
      </c>
    </row>
    <row r="5920" spans="1:13" ht="14.4">
      <c r="A5920" s="201"/>
      <c r="B5920" s="209"/>
      <c r="C5920" s="201"/>
      <c r="D5920" s="201"/>
      <c r="E5920" s="202"/>
      <c r="F5920" s="210"/>
      <c r="G5920" s="210"/>
      <c r="H5920" s="206" t="s">
        <v>121</v>
      </c>
      <c r="I5920" s="206" t="s">
        <v>121</v>
      </c>
      <c r="J5920" s="206" t="s">
        <v>121</v>
      </c>
      <c r="K5920" s="206" t="s">
        <v>121</v>
      </c>
      <c r="L5920" s="206" t="str">
        <v/>
      </c>
      <c r="M5920" s="206" t="str">
        <v/>
      </c>
    </row>
    <row r="5921" spans="1:13" ht="14.4">
      <c r="A5921" s="201"/>
      <c r="B5921" s="209"/>
      <c r="C5921" s="201"/>
      <c r="D5921" s="201"/>
      <c r="E5921" s="202"/>
      <c r="F5921" s="210"/>
      <c r="G5921" s="210"/>
      <c r="H5921" s="206" t="s">
        <v>121</v>
      </c>
      <c r="I5921" s="206" t="s">
        <v>121</v>
      </c>
      <c r="J5921" s="206" t="s">
        <v>121</v>
      </c>
      <c r="K5921" s="206" t="s">
        <v>121</v>
      </c>
      <c r="L5921" s="206" t="str">
        <v/>
      </c>
      <c r="M5921" s="206" t="str">
        <v/>
      </c>
    </row>
    <row r="5922" spans="1:13" ht="14.4">
      <c r="A5922" s="201"/>
      <c r="B5922" s="209"/>
      <c r="C5922" s="201"/>
      <c r="D5922" s="201"/>
      <c r="E5922" s="202"/>
      <c r="F5922" s="210"/>
      <c r="G5922" s="210"/>
      <c r="H5922" s="206" t="s">
        <v>121</v>
      </c>
      <c r="I5922" s="206" t="s">
        <v>121</v>
      </c>
      <c r="J5922" s="206" t="s">
        <v>121</v>
      </c>
      <c r="K5922" s="206" t="s">
        <v>121</v>
      </c>
      <c r="L5922" s="206" t="str">
        <v/>
      </c>
      <c r="M5922" s="206" t="str">
        <v/>
      </c>
    </row>
    <row r="5923" spans="1:13" ht="14.4">
      <c r="A5923" s="201"/>
      <c r="B5923" s="209"/>
      <c r="C5923" s="201"/>
      <c r="D5923" s="201"/>
      <c r="E5923" s="202"/>
      <c r="F5923" s="210"/>
      <c r="G5923" s="210"/>
      <c r="H5923" s="206" t="s">
        <v>121</v>
      </c>
      <c r="I5923" s="206" t="s">
        <v>121</v>
      </c>
      <c r="J5923" s="206" t="s">
        <v>121</v>
      </c>
      <c r="K5923" s="206" t="s">
        <v>121</v>
      </c>
      <c r="L5923" s="206" t="str">
        <v/>
      </c>
      <c r="M5923" s="206" t="str">
        <v/>
      </c>
    </row>
    <row r="5924" spans="1:13" ht="14.4">
      <c r="A5924" s="201"/>
      <c r="B5924" s="209"/>
      <c r="C5924" s="201"/>
      <c r="D5924" s="201"/>
      <c r="E5924" s="202"/>
      <c r="F5924" s="210"/>
      <c r="G5924" s="210"/>
      <c r="H5924" s="206" t="s">
        <v>121</v>
      </c>
      <c r="I5924" s="206" t="s">
        <v>121</v>
      </c>
      <c r="J5924" s="206" t="s">
        <v>121</v>
      </c>
      <c r="K5924" s="206" t="s">
        <v>121</v>
      </c>
      <c r="L5924" s="206" t="str">
        <v/>
      </c>
      <c r="M5924" s="206" t="str">
        <v/>
      </c>
    </row>
    <row r="5925" spans="1:13" ht="14.4">
      <c r="A5925" s="201"/>
      <c r="B5925" s="209"/>
      <c r="C5925" s="201"/>
      <c r="D5925" s="201"/>
      <c r="E5925" s="202"/>
      <c r="F5925" s="210"/>
      <c r="G5925" s="210"/>
      <c r="H5925" s="206" t="s">
        <v>121</v>
      </c>
      <c r="I5925" s="206" t="s">
        <v>121</v>
      </c>
      <c r="J5925" s="206" t="s">
        <v>121</v>
      </c>
      <c r="K5925" s="206" t="s">
        <v>121</v>
      </c>
      <c r="L5925" s="206" t="str">
        <v/>
      </c>
      <c r="M5925" s="206" t="str">
        <v/>
      </c>
    </row>
    <row r="5926" spans="1:13" ht="14.4">
      <c r="A5926" s="201"/>
      <c r="B5926" s="209"/>
      <c r="C5926" s="201"/>
      <c r="D5926" s="201"/>
      <c r="E5926" s="202"/>
      <c r="F5926" s="210"/>
      <c r="G5926" s="210"/>
      <c r="H5926" s="206" t="s">
        <v>121</v>
      </c>
      <c r="I5926" s="206" t="s">
        <v>121</v>
      </c>
      <c r="J5926" s="206" t="s">
        <v>121</v>
      </c>
      <c r="K5926" s="206" t="s">
        <v>121</v>
      </c>
      <c r="L5926" s="206" t="str">
        <v/>
      </c>
      <c r="M5926" s="206" t="str">
        <v/>
      </c>
    </row>
    <row r="5927" spans="1:13" ht="14.4">
      <c r="A5927" s="201"/>
      <c r="B5927" s="209"/>
      <c r="C5927" s="201"/>
      <c r="D5927" s="201"/>
      <c r="E5927" s="202"/>
      <c r="F5927" s="210"/>
      <c r="G5927" s="210"/>
      <c r="H5927" s="206" t="s">
        <v>121</v>
      </c>
      <c r="I5927" s="206" t="s">
        <v>121</v>
      </c>
      <c r="J5927" s="206" t="s">
        <v>121</v>
      </c>
      <c r="K5927" s="206" t="s">
        <v>121</v>
      </c>
      <c r="L5927" s="206" t="str">
        <v/>
      </c>
      <c r="M5927" s="206" t="str">
        <v/>
      </c>
    </row>
    <row r="5928" spans="1:13" ht="14.4">
      <c r="A5928" s="201"/>
      <c r="B5928" s="209"/>
      <c r="C5928" s="201"/>
      <c r="D5928" s="201"/>
      <c r="E5928" s="202"/>
      <c r="F5928" s="210"/>
      <c r="G5928" s="210"/>
      <c r="H5928" s="206" t="s">
        <v>121</v>
      </c>
      <c r="I5928" s="206" t="s">
        <v>121</v>
      </c>
      <c r="J5928" s="206" t="s">
        <v>121</v>
      </c>
      <c r="K5928" s="206" t="s">
        <v>121</v>
      </c>
      <c r="L5928" s="206" t="str">
        <v/>
      </c>
      <c r="M5928" s="206" t="str">
        <v/>
      </c>
    </row>
    <row r="5929" spans="1:13" ht="14.4">
      <c r="A5929" s="201"/>
      <c r="B5929" s="209"/>
      <c r="C5929" s="201"/>
      <c r="D5929" s="201"/>
      <c r="E5929" s="202"/>
      <c r="F5929" s="210"/>
      <c r="G5929" s="210"/>
      <c r="H5929" s="206" t="s">
        <v>121</v>
      </c>
      <c r="I5929" s="206" t="s">
        <v>121</v>
      </c>
      <c r="J5929" s="206" t="s">
        <v>121</v>
      </c>
      <c r="K5929" s="206" t="s">
        <v>121</v>
      </c>
      <c r="L5929" s="206" t="str">
        <v/>
      </c>
      <c r="M5929" s="206" t="str">
        <v/>
      </c>
    </row>
    <row r="5930" spans="1:13" ht="14.4">
      <c r="A5930" s="201"/>
      <c r="B5930" s="209"/>
      <c r="C5930" s="201"/>
      <c r="D5930" s="201"/>
      <c r="E5930" s="202"/>
      <c r="F5930" s="210"/>
      <c r="G5930" s="210"/>
      <c r="H5930" s="206" t="s">
        <v>121</v>
      </c>
      <c r="I5930" s="206" t="s">
        <v>121</v>
      </c>
      <c r="J5930" s="206" t="s">
        <v>121</v>
      </c>
      <c r="K5930" s="206" t="s">
        <v>121</v>
      </c>
      <c r="L5930" s="206" t="str">
        <v/>
      </c>
      <c r="M5930" s="206" t="str">
        <v/>
      </c>
    </row>
    <row r="5931" spans="1:13" ht="14.4">
      <c r="A5931" s="201"/>
      <c r="B5931" s="209"/>
      <c r="C5931" s="201"/>
      <c r="D5931" s="201"/>
      <c r="E5931" s="202"/>
      <c r="F5931" s="210"/>
      <c r="G5931" s="210"/>
      <c r="H5931" s="206" t="s">
        <v>121</v>
      </c>
      <c r="I5931" s="206" t="s">
        <v>121</v>
      </c>
      <c r="J5931" s="206" t="s">
        <v>121</v>
      </c>
      <c r="K5931" s="206" t="s">
        <v>121</v>
      </c>
      <c r="L5931" s="206" t="str">
        <v/>
      </c>
      <c r="M5931" s="206" t="str">
        <v/>
      </c>
    </row>
    <row r="5932" spans="1:13" ht="14.4">
      <c r="A5932" s="201"/>
      <c r="B5932" s="209"/>
      <c r="C5932" s="201"/>
      <c r="D5932" s="201"/>
      <c r="E5932" s="202"/>
      <c r="F5932" s="210"/>
      <c r="G5932" s="210"/>
      <c r="H5932" s="206" t="s">
        <v>121</v>
      </c>
      <c r="I5932" s="206" t="s">
        <v>121</v>
      </c>
      <c r="J5932" s="206" t="s">
        <v>121</v>
      </c>
      <c r="K5932" s="206" t="s">
        <v>121</v>
      </c>
      <c r="L5932" s="206" t="str">
        <v/>
      </c>
      <c r="M5932" s="206" t="str">
        <v/>
      </c>
    </row>
    <row r="5933" spans="1:13" ht="14.4">
      <c r="A5933" s="201"/>
      <c r="B5933" s="209"/>
      <c r="C5933" s="201"/>
      <c r="D5933" s="201"/>
      <c r="E5933" s="202"/>
      <c r="F5933" s="210"/>
      <c r="G5933" s="210"/>
      <c r="H5933" s="206" t="s">
        <v>121</v>
      </c>
      <c r="I5933" s="206" t="s">
        <v>121</v>
      </c>
      <c r="J5933" s="206" t="s">
        <v>121</v>
      </c>
      <c r="K5933" s="206" t="s">
        <v>121</v>
      </c>
      <c r="L5933" s="206" t="str">
        <v/>
      </c>
      <c r="M5933" s="206" t="str">
        <v/>
      </c>
    </row>
    <row r="5934" spans="1:13" ht="14.4">
      <c r="A5934" s="201"/>
      <c r="B5934" s="209"/>
      <c r="C5934" s="201"/>
      <c r="D5934" s="201"/>
      <c r="E5934" s="202"/>
      <c r="F5934" s="210"/>
      <c r="G5934" s="210"/>
      <c r="H5934" s="206" t="s">
        <v>121</v>
      </c>
      <c r="I5934" s="206" t="s">
        <v>121</v>
      </c>
      <c r="J5934" s="206" t="s">
        <v>121</v>
      </c>
      <c r="K5934" s="206" t="s">
        <v>121</v>
      </c>
      <c r="L5934" s="206" t="str">
        <v/>
      </c>
      <c r="M5934" s="206" t="str">
        <v/>
      </c>
    </row>
    <row r="5935" spans="1:13" ht="14.4">
      <c r="A5935" s="201"/>
      <c r="B5935" s="209"/>
      <c r="C5935" s="201"/>
      <c r="D5935" s="201"/>
      <c r="E5935" s="202"/>
      <c r="F5935" s="210"/>
      <c r="G5935" s="210"/>
      <c r="H5935" s="206" t="s">
        <v>121</v>
      </c>
      <c r="I5935" s="206" t="s">
        <v>121</v>
      </c>
      <c r="J5935" s="206" t="s">
        <v>121</v>
      </c>
      <c r="K5935" s="206" t="s">
        <v>121</v>
      </c>
      <c r="L5935" s="206" t="str">
        <v/>
      </c>
      <c r="M5935" s="206" t="str">
        <v/>
      </c>
    </row>
    <row r="5936" spans="1:13" ht="14.4">
      <c r="A5936" s="201"/>
      <c r="B5936" s="209"/>
      <c r="C5936" s="201"/>
      <c r="D5936" s="201"/>
      <c r="E5936" s="202"/>
      <c r="F5936" s="210"/>
      <c r="G5936" s="210"/>
      <c r="H5936" s="206" t="s">
        <v>121</v>
      </c>
      <c r="I5936" s="206" t="s">
        <v>121</v>
      </c>
      <c r="J5936" s="206" t="s">
        <v>121</v>
      </c>
      <c r="K5936" s="206" t="s">
        <v>121</v>
      </c>
      <c r="L5936" s="206" t="str">
        <v/>
      </c>
      <c r="M5936" s="206" t="str">
        <v/>
      </c>
    </row>
    <row r="5937" spans="1:13" ht="14.4">
      <c r="A5937" s="201"/>
      <c r="B5937" s="209"/>
      <c r="C5937" s="201"/>
      <c r="D5937" s="201"/>
      <c r="E5937" s="202"/>
      <c r="F5937" s="210"/>
      <c r="G5937" s="210"/>
      <c r="H5937" s="206" t="s">
        <v>121</v>
      </c>
      <c r="I5937" s="206" t="s">
        <v>121</v>
      </c>
      <c r="J5937" s="206" t="s">
        <v>121</v>
      </c>
      <c r="K5937" s="206" t="s">
        <v>121</v>
      </c>
      <c r="L5937" s="206" t="str">
        <v/>
      </c>
      <c r="M5937" s="206" t="str">
        <v/>
      </c>
    </row>
    <row r="5938" spans="1:13" ht="14.4">
      <c r="A5938" s="201"/>
      <c r="B5938" s="209"/>
      <c r="C5938" s="201"/>
      <c r="D5938" s="201"/>
      <c r="E5938" s="202"/>
      <c r="F5938" s="210"/>
      <c r="G5938" s="210"/>
      <c r="H5938" s="206" t="s">
        <v>121</v>
      </c>
      <c r="I5938" s="206" t="s">
        <v>121</v>
      </c>
      <c r="J5938" s="206" t="s">
        <v>121</v>
      </c>
      <c r="K5938" s="206" t="s">
        <v>121</v>
      </c>
      <c r="L5938" s="206" t="str">
        <v/>
      </c>
      <c r="M5938" s="206" t="str">
        <v/>
      </c>
    </row>
    <row r="5939" spans="1:13" ht="14.4">
      <c r="A5939" s="201"/>
      <c r="B5939" s="209"/>
      <c r="C5939" s="201"/>
      <c r="D5939" s="201"/>
      <c r="E5939" s="202"/>
      <c r="F5939" s="210"/>
      <c r="G5939" s="210"/>
      <c r="H5939" s="206" t="s">
        <v>121</v>
      </c>
      <c r="I5939" s="206" t="s">
        <v>121</v>
      </c>
      <c r="J5939" s="206" t="s">
        <v>121</v>
      </c>
      <c r="K5939" s="206" t="s">
        <v>121</v>
      </c>
      <c r="L5939" s="206" t="str">
        <v/>
      </c>
      <c r="M5939" s="206" t="str">
        <v/>
      </c>
    </row>
    <row r="5940" spans="1:13" ht="14.4">
      <c r="A5940" s="201"/>
      <c r="B5940" s="209"/>
      <c r="C5940" s="201"/>
      <c r="D5940" s="201"/>
      <c r="E5940" s="202"/>
      <c r="F5940" s="210"/>
      <c r="G5940" s="210"/>
      <c r="H5940" s="206" t="s">
        <v>121</v>
      </c>
      <c r="I5940" s="206" t="s">
        <v>121</v>
      </c>
      <c r="J5940" s="206" t="s">
        <v>121</v>
      </c>
      <c r="K5940" s="206" t="s">
        <v>121</v>
      </c>
      <c r="L5940" s="206" t="str">
        <v/>
      </c>
      <c r="M5940" s="206" t="str">
        <v/>
      </c>
    </row>
    <row r="5941" spans="1:13" ht="14.4">
      <c r="A5941" s="201"/>
      <c r="B5941" s="209"/>
      <c r="C5941" s="201"/>
      <c r="D5941" s="201"/>
      <c r="E5941" s="202"/>
      <c r="F5941" s="210"/>
      <c r="G5941" s="210"/>
      <c r="H5941" s="206" t="s">
        <v>121</v>
      </c>
      <c r="I5941" s="206" t="s">
        <v>121</v>
      </c>
      <c r="J5941" s="206" t="s">
        <v>121</v>
      </c>
      <c r="K5941" s="206" t="s">
        <v>121</v>
      </c>
      <c r="L5941" s="206" t="str">
        <v/>
      </c>
      <c r="M5941" s="206" t="str">
        <v/>
      </c>
    </row>
    <row r="5942" spans="1:13" ht="14.4">
      <c r="A5942" s="201"/>
      <c r="B5942" s="209"/>
      <c r="C5942" s="201"/>
      <c r="D5942" s="201"/>
      <c r="E5942" s="202"/>
      <c r="F5942" s="210"/>
      <c r="G5942" s="210"/>
      <c r="H5942" s="206" t="s">
        <v>121</v>
      </c>
      <c r="I5942" s="206" t="s">
        <v>121</v>
      </c>
      <c r="J5942" s="206" t="s">
        <v>121</v>
      </c>
      <c r="K5942" s="206" t="s">
        <v>121</v>
      </c>
      <c r="L5942" s="206" t="str">
        <v/>
      </c>
      <c r="M5942" s="206" t="str">
        <v/>
      </c>
    </row>
    <row r="5943" spans="1:13" ht="14.4">
      <c r="A5943" s="201"/>
      <c r="B5943" s="209"/>
      <c r="C5943" s="201"/>
      <c r="D5943" s="201"/>
      <c r="E5943" s="202"/>
      <c r="F5943" s="210"/>
      <c r="G5943" s="210"/>
      <c r="H5943" s="206" t="s">
        <v>121</v>
      </c>
      <c r="I5943" s="206" t="s">
        <v>121</v>
      </c>
      <c r="J5943" s="206" t="s">
        <v>121</v>
      </c>
      <c r="K5943" s="206" t="s">
        <v>121</v>
      </c>
      <c r="L5943" s="206" t="str">
        <v/>
      </c>
      <c r="M5943" s="206" t="str">
        <v/>
      </c>
    </row>
    <row r="5944" spans="1:13" ht="14.4">
      <c r="A5944" s="201"/>
      <c r="B5944" s="209"/>
      <c r="C5944" s="201"/>
      <c r="D5944" s="201"/>
      <c r="E5944" s="202"/>
      <c r="F5944" s="210"/>
      <c r="G5944" s="210"/>
      <c r="H5944" s="206" t="s">
        <v>121</v>
      </c>
      <c r="I5944" s="206" t="s">
        <v>121</v>
      </c>
      <c r="J5944" s="206" t="s">
        <v>121</v>
      </c>
      <c r="K5944" s="206" t="s">
        <v>121</v>
      </c>
      <c r="L5944" s="206" t="str">
        <v/>
      </c>
      <c r="M5944" s="206" t="str">
        <v/>
      </c>
    </row>
    <row r="5945" spans="1:13" ht="14.4">
      <c r="A5945" s="201"/>
      <c r="B5945" s="209"/>
      <c r="C5945" s="201"/>
      <c r="D5945" s="201"/>
      <c r="E5945" s="202"/>
      <c r="F5945" s="210"/>
      <c r="G5945" s="210"/>
      <c r="H5945" s="206" t="s">
        <v>121</v>
      </c>
      <c r="I5945" s="206" t="s">
        <v>121</v>
      </c>
      <c r="J5945" s="206" t="s">
        <v>121</v>
      </c>
      <c r="K5945" s="206" t="s">
        <v>121</v>
      </c>
      <c r="L5945" s="206" t="str">
        <v/>
      </c>
      <c r="M5945" s="206" t="str">
        <v/>
      </c>
    </row>
    <row r="5946" spans="1:13" ht="14.4">
      <c r="A5946" s="201"/>
      <c r="B5946" s="209"/>
      <c r="C5946" s="201"/>
      <c r="D5946" s="201"/>
      <c r="E5946" s="202"/>
      <c r="F5946" s="210"/>
      <c r="G5946" s="210"/>
      <c r="H5946" s="206" t="s">
        <v>121</v>
      </c>
      <c r="I5946" s="206" t="s">
        <v>121</v>
      </c>
      <c r="J5946" s="206" t="s">
        <v>121</v>
      </c>
      <c r="K5946" s="206" t="s">
        <v>121</v>
      </c>
      <c r="L5946" s="206" t="str">
        <v/>
      </c>
      <c r="M5946" s="206" t="str">
        <v/>
      </c>
    </row>
    <row r="5947" spans="1:13" ht="14.4">
      <c r="A5947" s="201"/>
      <c r="B5947" s="209"/>
      <c r="C5947" s="201"/>
      <c r="D5947" s="201"/>
      <c r="E5947" s="202"/>
      <c r="F5947" s="210"/>
      <c r="G5947" s="210"/>
      <c r="H5947" s="206" t="s">
        <v>121</v>
      </c>
      <c r="I5947" s="206" t="s">
        <v>121</v>
      </c>
      <c r="J5947" s="206" t="s">
        <v>121</v>
      </c>
      <c r="K5947" s="206" t="s">
        <v>121</v>
      </c>
      <c r="L5947" s="206" t="str">
        <v/>
      </c>
      <c r="M5947" s="206" t="str">
        <v/>
      </c>
    </row>
    <row r="5948" spans="1:13" ht="14.4">
      <c r="A5948" s="201"/>
      <c r="B5948" s="209"/>
      <c r="C5948" s="201"/>
      <c r="D5948" s="201"/>
      <c r="E5948" s="202"/>
      <c r="F5948" s="210"/>
      <c r="G5948" s="210"/>
      <c r="H5948" s="206" t="s">
        <v>121</v>
      </c>
      <c r="I5948" s="206" t="s">
        <v>121</v>
      </c>
      <c r="J5948" s="206" t="s">
        <v>121</v>
      </c>
      <c r="K5948" s="206" t="s">
        <v>121</v>
      </c>
      <c r="L5948" s="206" t="str">
        <v/>
      </c>
      <c r="M5948" s="206" t="str">
        <v/>
      </c>
    </row>
    <row r="5949" spans="1:13" ht="14.4">
      <c r="A5949" s="201"/>
      <c r="B5949" s="209"/>
      <c r="C5949" s="201"/>
      <c r="D5949" s="201"/>
      <c r="E5949" s="202"/>
      <c r="F5949" s="210"/>
      <c r="G5949" s="210"/>
      <c r="H5949" s="206" t="s">
        <v>121</v>
      </c>
      <c r="I5949" s="206" t="s">
        <v>121</v>
      </c>
      <c r="J5949" s="206" t="s">
        <v>121</v>
      </c>
      <c r="K5949" s="206" t="s">
        <v>121</v>
      </c>
      <c r="L5949" s="206" t="str">
        <v/>
      </c>
      <c r="M5949" s="206" t="str">
        <v/>
      </c>
    </row>
    <row r="5950" spans="1:13" ht="14.4">
      <c r="A5950" s="201"/>
      <c r="B5950" s="209"/>
      <c r="C5950" s="201"/>
      <c r="D5950" s="201"/>
      <c r="E5950" s="202"/>
      <c r="F5950" s="210"/>
      <c r="G5950" s="210"/>
      <c r="H5950" s="206" t="s">
        <v>121</v>
      </c>
      <c r="I5950" s="206" t="s">
        <v>121</v>
      </c>
      <c r="J5950" s="206" t="s">
        <v>121</v>
      </c>
      <c r="K5950" s="206" t="s">
        <v>121</v>
      </c>
      <c r="L5950" s="206" t="str">
        <v/>
      </c>
      <c r="M5950" s="206" t="str">
        <v/>
      </c>
    </row>
    <row r="5951" spans="1:13" ht="14.4">
      <c r="A5951" s="201"/>
      <c r="B5951" s="209"/>
      <c r="C5951" s="201"/>
      <c r="D5951" s="201"/>
      <c r="E5951" s="202"/>
      <c r="F5951" s="210"/>
      <c r="G5951" s="210"/>
      <c r="H5951" s="206" t="s">
        <v>121</v>
      </c>
      <c r="I5951" s="206" t="s">
        <v>121</v>
      </c>
      <c r="J5951" s="206" t="s">
        <v>121</v>
      </c>
      <c r="K5951" s="206" t="s">
        <v>121</v>
      </c>
      <c r="L5951" s="206" t="str">
        <v/>
      </c>
      <c r="M5951" s="206" t="str">
        <v/>
      </c>
    </row>
    <row r="5952" spans="1:13" ht="14.4">
      <c r="A5952" s="201"/>
      <c r="B5952" s="209"/>
      <c r="C5952" s="201"/>
      <c r="D5952" s="201"/>
      <c r="E5952" s="202"/>
      <c r="F5952" s="210"/>
      <c r="G5952" s="210"/>
      <c r="H5952" s="206" t="s">
        <v>121</v>
      </c>
      <c r="I5952" s="206" t="s">
        <v>121</v>
      </c>
      <c r="J5952" s="206" t="s">
        <v>121</v>
      </c>
      <c r="K5952" s="206" t="s">
        <v>121</v>
      </c>
      <c r="L5952" s="206" t="str">
        <v/>
      </c>
      <c r="M5952" s="206" t="str">
        <v/>
      </c>
    </row>
    <row r="5953" spans="1:13" ht="14.4">
      <c r="A5953" s="201"/>
      <c r="B5953" s="209"/>
      <c r="C5953" s="201"/>
      <c r="D5953" s="201"/>
      <c r="E5953" s="202"/>
      <c r="F5953" s="210"/>
      <c r="G5953" s="210"/>
      <c r="H5953" s="206" t="s">
        <v>121</v>
      </c>
      <c r="I5953" s="206" t="s">
        <v>121</v>
      </c>
      <c r="J5953" s="206" t="s">
        <v>121</v>
      </c>
      <c r="K5953" s="206" t="s">
        <v>121</v>
      </c>
      <c r="L5953" s="206" t="str">
        <v/>
      </c>
      <c r="M5953" s="206" t="str">
        <v/>
      </c>
    </row>
    <row r="5954" spans="1:13" ht="14.4">
      <c r="A5954" s="201"/>
      <c r="B5954" s="209"/>
      <c r="C5954" s="201"/>
      <c r="D5954" s="201"/>
      <c r="E5954" s="202"/>
      <c r="F5954" s="210"/>
      <c r="G5954" s="210"/>
      <c r="H5954" s="206" t="s">
        <v>121</v>
      </c>
      <c r="I5954" s="206" t="s">
        <v>121</v>
      </c>
      <c r="J5954" s="206" t="s">
        <v>121</v>
      </c>
      <c r="K5954" s="206" t="s">
        <v>121</v>
      </c>
      <c r="L5954" s="206" t="str">
        <v/>
      </c>
      <c r="M5954" s="206" t="str">
        <v/>
      </c>
    </row>
    <row r="5955" spans="1:13" ht="14.4">
      <c r="A5955" s="201"/>
      <c r="B5955" s="209"/>
      <c r="C5955" s="201"/>
      <c r="D5955" s="201"/>
      <c r="E5955" s="202"/>
      <c r="F5955" s="210"/>
      <c r="G5955" s="210"/>
      <c r="H5955" s="206" t="s">
        <v>121</v>
      </c>
      <c r="I5955" s="206" t="s">
        <v>121</v>
      </c>
      <c r="J5955" s="206" t="s">
        <v>121</v>
      </c>
      <c r="K5955" s="206" t="s">
        <v>121</v>
      </c>
      <c r="L5955" s="206" t="str">
        <v/>
      </c>
      <c r="M5955" s="206" t="str">
        <v/>
      </c>
    </row>
    <row r="5956" spans="1:13" ht="14.4">
      <c r="A5956" s="201"/>
      <c r="B5956" s="209"/>
      <c r="C5956" s="201"/>
      <c r="D5956" s="201"/>
      <c r="E5956" s="202"/>
      <c r="F5956" s="210"/>
      <c r="G5956" s="210"/>
      <c r="H5956" s="206" t="s">
        <v>121</v>
      </c>
      <c r="I5956" s="206" t="s">
        <v>121</v>
      </c>
      <c r="J5956" s="206" t="s">
        <v>121</v>
      </c>
      <c r="K5956" s="206" t="s">
        <v>121</v>
      </c>
      <c r="L5956" s="206" t="str">
        <v/>
      </c>
      <c r="M5956" s="206" t="str">
        <v/>
      </c>
    </row>
    <row r="5957" spans="1:13" ht="14.4">
      <c r="A5957" s="201"/>
      <c r="B5957" s="209"/>
      <c r="C5957" s="201"/>
      <c r="D5957" s="201"/>
      <c r="E5957" s="202"/>
      <c r="F5957" s="210"/>
      <c r="G5957" s="210"/>
      <c r="H5957" s="206" t="s">
        <v>121</v>
      </c>
      <c r="I5957" s="206" t="s">
        <v>121</v>
      </c>
      <c r="J5957" s="206" t="s">
        <v>121</v>
      </c>
      <c r="K5957" s="206" t="s">
        <v>121</v>
      </c>
      <c r="L5957" s="206" t="str">
        <v/>
      </c>
      <c r="M5957" s="206" t="str">
        <v/>
      </c>
    </row>
    <row r="5958" spans="1:13" ht="14.4">
      <c r="A5958" s="201"/>
      <c r="B5958" s="209"/>
      <c r="C5958" s="201"/>
      <c r="D5958" s="201"/>
      <c r="E5958" s="202"/>
      <c r="F5958" s="210"/>
      <c r="G5958" s="210"/>
      <c r="H5958" s="206" t="s">
        <v>121</v>
      </c>
      <c r="I5958" s="206" t="s">
        <v>121</v>
      </c>
      <c r="J5958" s="206" t="s">
        <v>121</v>
      </c>
      <c r="K5958" s="206" t="s">
        <v>121</v>
      </c>
      <c r="L5958" s="206" t="str">
        <v/>
      </c>
      <c r="M5958" s="206" t="str">
        <v/>
      </c>
    </row>
    <row r="5959" spans="1:13" ht="14.4">
      <c r="A5959" s="201"/>
      <c r="B5959" s="209"/>
      <c r="C5959" s="201"/>
      <c r="D5959" s="201"/>
      <c r="E5959" s="202"/>
      <c r="F5959" s="210"/>
      <c r="G5959" s="210"/>
      <c r="H5959" s="206" t="s">
        <v>121</v>
      </c>
      <c r="I5959" s="206" t="s">
        <v>121</v>
      </c>
      <c r="J5959" s="206" t="s">
        <v>121</v>
      </c>
      <c r="K5959" s="206" t="s">
        <v>121</v>
      </c>
      <c r="L5959" s="206" t="str">
        <v/>
      </c>
      <c r="M5959" s="206" t="str">
        <v/>
      </c>
    </row>
    <row r="5960" spans="1:13" ht="14.4">
      <c r="A5960" s="201"/>
      <c r="B5960" s="209"/>
      <c r="C5960" s="201"/>
      <c r="D5960" s="201"/>
      <c r="E5960" s="202"/>
      <c r="F5960" s="210"/>
      <c r="G5960" s="210"/>
      <c r="H5960" s="206" t="s">
        <v>121</v>
      </c>
      <c r="I5960" s="206" t="s">
        <v>121</v>
      </c>
      <c r="J5960" s="206" t="s">
        <v>121</v>
      </c>
      <c r="K5960" s="206" t="s">
        <v>121</v>
      </c>
      <c r="L5960" s="206" t="str">
        <v/>
      </c>
      <c r="M5960" s="206" t="str">
        <v/>
      </c>
    </row>
    <row r="5961" spans="1:13" ht="14.4">
      <c r="A5961" s="201"/>
      <c r="B5961" s="209"/>
      <c r="C5961" s="201"/>
      <c r="D5961" s="201"/>
      <c r="E5961" s="202"/>
      <c r="F5961" s="210"/>
      <c r="G5961" s="210"/>
      <c r="H5961" s="206" t="s">
        <v>121</v>
      </c>
      <c r="I5961" s="206" t="s">
        <v>121</v>
      </c>
      <c r="J5961" s="206" t="s">
        <v>121</v>
      </c>
      <c r="K5961" s="206" t="s">
        <v>121</v>
      </c>
      <c r="L5961" s="206" t="str">
        <v/>
      </c>
      <c r="M5961" s="206" t="str">
        <v/>
      </c>
    </row>
    <row r="5962" spans="1:13" ht="14.4">
      <c r="A5962" s="201"/>
      <c r="B5962" s="209"/>
      <c r="C5962" s="201"/>
      <c r="D5962" s="201"/>
      <c r="E5962" s="202"/>
      <c r="F5962" s="210"/>
      <c r="G5962" s="210"/>
      <c r="H5962" s="206" t="s">
        <v>121</v>
      </c>
      <c r="I5962" s="206" t="s">
        <v>121</v>
      </c>
      <c r="J5962" s="206" t="s">
        <v>121</v>
      </c>
      <c r="K5962" s="206" t="s">
        <v>121</v>
      </c>
      <c r="L5962" s="206" t="str">
        <v/>
      </c>
      <c r="M5962" s="206" t="str">
        <v/>
      </c>
    </row>
    <row r="5963" spans="1:13" ht="14.4">
      <c r="A5963" s="201"/>
      <c r="B5963" s="209"/>
      <c r="C5963" s="201"/>
      <c r="D5963" s="201"/>
      <c r="E5963" s="202"/>
      <c r="F5963" s="210"/>
      <c r="G5963" s="210"/>
      <c r="H5963" s="206" t="s">
        <v>121</v>
      </c>
      <c r="I5963" s="206" t="s">
        <v>121</v>
      </c>
      <c r="J5963" s="206" t="s">
        <v>121</v>
      </c>
      <c r="K5963" s="206" t="s">
        <v>121</v>
      </c>
      <c r="L5963" s="206" t="str">
        <v/>
      </c>
      <c r="M5963" s="206" t="str">
        <v/>
      </c>
    </row>
    <row r="5964" spans="1:13" ht="14.4">
      <c r="A5964" s="201"/>
      <c r="B5964" s="209"/>
      <c r="C5964" s="201"/>
      <c r="D5964" s="201"/>
      <c r="E5964" s="202"/>
      <c r="F5964" s="210"/>
      <c r="G5964" s="210"/>
      <c r="H5964" s="206" t="s">
        <v>121</v>
      </c>
      <c r="I5964" s="206" t="s">
        <v>121</v>
      </c>
      <c r="J5964" s="206" t="s">
        <v>121</v>
      </c>
      <c r="K5964" s="206" t="s">
        <v>121</v>
      </c>
      <c r="L5964" s="206" t="str">
        <v/>
      </c>
      <c r="M5964" s="206" t="str">
        <v/>
      </c>
    </row>
    <row r="5965" spans="1:13" ht="14.4">
      <c r="A5965" s="201"/>
      <c r="B5965" s="209"/>
      <c r="C5965" s="201"/>
      <c r="D5965" s="201"/>
      <c r="E5965" s="202"/>
      <c r="F5965" s="210"/>
      <c r="G5965" s="210"/>
      <c r="H5965" s="206" t="s">
        <v>121</v>
      </c>
      <c r="I5965" s="206" t="s">
        <v>121</v>
      </c>
      <c r="J5965" s="206" t="s">
        <v>121</v>
      </c>
      <c r="K5965" s="206" t="s">
        <v>121</v>
      </c>
      <c r="L5965" s="206" t="str">
        <v/>
      </c>
      <c r="M5965" s="206" t="str">
        <v/>
      </c>
    </row>
    <row r="5966" spans="1:13" ht="14.4">
      <c r="A5966" s="201"/>
      <c r="B5966" s="209"/>
      <c r="C5966" s="201"/>
      <c r="D5966" s="201"/>
      <c r="E5966" s="202"/>
      <c r="F5966" s="210"/>
      <c r="G5966" s="210"/>
      <c r="H5966" s="206" t="s">
        <v>121</v>
      </c>
      <c r="I5966" s="206" t="s">
        <v>121</v>
      </c>
      <c r="J5966" s="206" t="s">
        <v>121</v>
      </c>
      <c r="K5966" s="206" t="s">
        <v>121</v>
      </c>
      <c r="L5966" s="206" t="str">
        <v/>
      </c>
      <c r="M5966" s="206" t="str">
        <v/>
      </c>
    </row>
    <row r="5967" spans="1:13" ht="14.4">
      <c r="A5967" s="201"/>
      <c r="B5967" s="209"/>
      <c r="C5967" s="201"/>
      <c r="D5967" s="201"/>
      <c r="E5967" s="202"/>
      <c r="F5967" s="210"/>
      <c r="G5967" s="210"/>
      <c r="H5967" s="206" t="s">
        <v>121</v>
      </c>
      <c r="I5967" s="206" t="s">
        <v>121</v>
      </c>
      <c r="J5967" s="206" t="s">
        <v>121</v>
      </c>
      <c r="K5967" s="206" t="s">
        <v>121</v>
      </c>
      <c r="L5967" s="206" t="str">
        <v/>
      </c>
      <c r="M5967" s="206" t="str">
        <v/>
      </c>
    </row>
    <row r="5968" spans="1:13" ht="14.4">
      <c r="A5968" s="201"/>
      <c r="B5968" s="209"/>
      <c r="C5968" s="201"/>
      <c r="D5968" s="201"/>
      <c r="E5968" s="202"/>
      <c r="F5968" s="210"/>
      <c r="G5968" s="210"/>
      <c r="H5968" s="206" t="s">
        <v>121</v>
      </c>
      <c r="I5968" s="206" t="s">
        <v>121</v>
      </c>
      <c r="J5968" s="206" t="s">
        <v>121</v>
      </c>
      <c r="K5968" s="206" t="s">
        <v>121</v>
      </c>
      <c r="L5968" s="206" t="str">
        <v/>
      </c>
      <c r="M5968" s="206" t="str">
        <v/>
      </c>
    </row>
    <row r="5969" spans="1:13" ht="14.4">
      <c r="A5969" s="201"/>
      <c r="B5969" s="209"/>
      <c r="C5969" s="201"/>
      <c r="D5969" s="201"/>
      <c r="E5969" s="202"/>
      <c r="F5969" s="210"/>
      <c r="G5969" s="210"/>
      <c r="H5969" s="206" t="s">
        <v>121</v>
      </c>
      <c r="I5969" s="206" t="s">
        <v>121</v>
      </c>
      <c r="J5969" s="206" t="s">
        <v>121</v>
      </c>
      <c r="K5969" s="206" t="s">
        <v>121</v>
      </c>
      <c r="L5969" s="206" t="str">
        <v/>
      </c>
      <c r="M5969" s="206" t="str">
        <v/>
      </c>
    </row>
    <row r="5970" spans="1:13" ht="14.4">
      <c r="A5970" s="201"/>
      <c r="B5970" s="209"/>
      <c r="C5970" s="201"/>
      <c r="D5970" s="201"/>
      <c r="E5970" s="202"/>
      <c r="F5970" s="210"/>
      <c r="G5970" s="210"/>
      <c r="H5970" s="206" t="s">
        <v>121</v>
      </c>
      <c r="I5970" s="206" t="s">
        <v>121</v>
      </c>
      <c r="J5970" s="206" t="s">
        <v>121</v>
      </c>
      <c r="K5970" s="206" t="s">
        <v>121</v>
      </c>
      <c r="L5970" s="206" t="str">
        <v/>
      </c>
      <c r="M5970" s="206" t="str">
        <v/>
      </c>
    </row>
    <row r="5971" spans="1:13" ht="14.4">
      <c r="A5971" s="201"/>
      <c r="B5971" s="209"/>
      <c r="C5971" s="201"/>
      <c r="D5971" s="201"/>
      <c r="E5971" s="202"/>
      <c r="F5971" s="210"/>
      <c r="G5971" s="210"/>
      <c r="H5971" s="206" t="s">
        <v>121</v>
      </c>
      <c r="I5971" s="206" t="s">
        <v>121</v>
      </c>
      <c r="J5971" s="206" t="s">
        <v>121</v>
      </c>
      <c r="K5971" s="206" t="s">
        <v>121</v>
      </c>
      <c r="L5971" s="206" t="str">
        <v/>
      </c>
      <c r="M5971" s="206" t="str">
        <v/>
      </c>
    </row>
    <row r="5972" spans="1:13" ht="14.4">
      <c r="A5972" s="201"/>
      <c r="B5972" s="209"/>
      <c r="C5972" s="201"/>
      <c r="D5972" s="201"/>
      <c r="E5972" s="202"/>
      <c r="F5972" s="210"/>
      <c r="G5972" s="210"/>
      <c r="H5972" s="206" t="s">
        <v>121</v>
      </c>
      <c r="I5972" s="206" t="s">
        <v>121</v>
      </c>
      <c r="J5972" s="206" t="s">
        <v>121</v>
      </c>
      <c r="K5972" s="206" t="s">
        <v>121</v>
      </c>
      <c r="L5972" s="206" t="str">
        <v/>
      </c>
      <c r="M5972" s="206" t="str">
        <v/>
      </c>
    </row>
    <row r="5973" spans="1:13" ht="14.4">
      <c r="A5973" s="201"/>
      <c r="B5973" s="209"/>
      <c r="C5973" s="201"/>
      <c r="D5973" s="201"/>
      <c r="E5973" s="202"/>
      <c r="F5973" s="210"/>
      <c r="G5973" s="210"/>
      <c r="H5973" s="206" t="s">
        <v>121</v>
      </c>
      <c r="I5973" s="206" t="s">
        <v>121</v>
      </c>
      <c r="J5973" s="206" t="s">
        <v>121</v>
      </c>
      <c r="K5973" s="206" t="s">
        <v>121</v>
      </c>
      <c r="L5973" s="206" t="str">
        <v/>
      </c>
      <c r="M5973" s="206" t="str">
        <v/>
      </c>
    </row>
    <row r="5974" spans="1:13" ht="14.4">
      <c r="A5974" s="201"/>
      <c r="B5974" s="209"/>
      <c r="C5974" s="201"/>
      <c r="D5974" s="201"/>
      <c r="E5974" s="202"/>
      <c r="F5974" s="210"/>
      <c r="G5974" s="210"/>
      <c r="H5974" s="206" t="s">
        <v>121</v>
      </c>
      <c r="I5974" s="206" t="s">
        <v>121</v>
      </c>
      <c r="J5974" s="206" t="s">
        <v>121</v>
      </c>
      <c r="K5974" s="206" t="s">
        <v>121</v>
      </c>
      <c r="L5974" s="206" t="str">
        <v/>
      </c>
      <c r="M5974" s="206" t="str">
        <v/>
      </c>
    </row>
    <row r="5975" spans="1:13" ht="14.4">
      <c r="A5975" s="201"/>
      <c r="B5975" s="209"/>
      <c r="C5975" s="201"/>
      <c r="D5975" s="201"/>
      <c r="E5975" s="202"/>
      <c r="F5975" s="210"/>
      <c r="G5975" s="210"/>
      <c r="H5975" s="206" t="s">
        <v>121</v>
      </c>
      <c r="I5975" s="206" t="s">
        <v>121</v>
      </c>
      <c r="J5975" s="206" t="s">
        <v>121</v>
      </c>
      <c r="K5975" s="206" t="s">
        <v>121</v>
      </c>
      <c r="L5975" s="206" t="str">
        <v/>
      </c>
      <c r="M5975" s="206" t="str">
        <v/>
      </c>
    </row>
    <row r="5976" spans="1:13" ht="14.4">
      <c r="A5976" s="201"/>
      <c r="B5976" s="209"/>
      <c r="C5976" s="201"/>
      <c r="D5976" s="201"/>
      <c r="E5976" s="202"/>
      <c r="F5976" s="210"/>
      <c r="G5976" s="210"/>
      <c r="H5976" s="206" t="s">
        <v>121</v>
      </c>
      <c r="I5976" s="206" t="s">
        <v>121</v>
      </c>
      <c r="J5976" s="206" t="s">
        <v>121</v>
      </c>
      <c r="K5976" s="206" t="s">
        <v>121</v>
      </c>
      <c r="L5976" s="206" t="str">
        <v/>
      </c>
      <c r="M5976" s="206" t="str">
        <v/>
      </c>
    </row>
    <row r="5977" spans="1:13" ht="14.4">
      <c r="A5977" s="201"/>
      <c r="B5977" s="209"/>
      <c r="C5977" s="201"/>
      <c r="D5977" s="201"/>
      <c r="E5977" s="202"/>
      <c r="F5977" s="210"/>
      <c r="G5977" s="210"/>
      <c r="H5977" s="206" t="s">
        <v>121</v>
      </c>
      <c r="I5977" s="206" t="s">
        <v>121</v>
      </c>
      <c r="J5977" s="206" t="s">
        <v>121</v>
      </c>
      <c r="K5977" s="206" t="s">
        <v>121</v>
      </c>
      <c r="L5977" s="206" t="str">
        <v/>
      </c>
      <c r="M5977" s="206" t="str">
        <v/>
      </c>
    </row>
    <row r="5978" spans="1:13" ht="14.4">
      <c r="A5978" s="201"/>
      <c r="B5978" s="209"/>
      <c r="C5978" s="201"/>
      <c r="D5978" s="201"/>
      <c r="E5978" s="202"/>
      <c r="F5978" s="210"/>
      <c r="G5978" s="210"/>
      <c r="H5978" s="206" t="s">
        <v>121</v>
      </c>
      <c r="I5978" s="206" t="s">
        <v>121</v>
      </c>
      <c r="J5978" s="206" t="s">
        <v>121</v>
      </c>
      <c r="K5978" s="206" t="s">
        <v>121</v>
      </c>
      <c r="L5978" s="206" t="str">
        <v/>
      </c>
      <c r="M5978" s="206" t="str">
        <v/>
      </c>
    </row>
    <row r="5979" spans="1:13" ht="14.4">
      <c r="A5979" s="201"/>
      <c r="B5979" s="209"/>
      <c r="C5979" s="201"/>
      <c r="D5979" s="201"/>
      <c r="E5979" s="202"/>
      <c r="F5979" s="210"/>
      <c r="G5979" s="210"/>
      <c r="H5979" s="206" t="s">
        <v>121</v>
      </c>
      <c r="I5979" s="206" t="s">
        <v>121</v>
      </c>
      <c r="J5979" s="206" t="s">
        <v>121</v>
      </c>
      <c r="K5979" s="206" t="s">
        <v>121</v>
      </c>
      <c r="L5979" s="206" t="str">
        <v/>
      </c>
      <c r="M5979" s="206" t="str">
        <v/>
      </c>
    </row>
    <row r="5980" spans="1:13" ht="14.4">
      <c r="A5980" s="201"/>
      <c r="B5980" s="209"/>
      <c r="C5980" s="201"/>
      <c r="D5980" s="201"/>
      <c r="E5980" s="202"/>
      <c r="F5980" s="210"/>
      <c r="G5980" s="210"/>
      <c r="H5980" s="206" t="s">
        <v>121</v>
      </c>
      <c r="I5980" s="206" t="s">
        <v>121</v>
      </c>
      <c r="J5980" s="206" t="s">
        <v>121</v>
      </c>
      <c r="K5980" s="206" t="s">
        <v>121</v>
      </c>
      <c r="L5980" s="206" t="str">
        <v/>
      </c>
      <c r="M5980" s="206" t="str">
        <v/>
      </c>
    </row>
    <row r="5981" spans="1:13" ht="14.4">
      <c r="A5981" s="201"/>
      <c r="B5981" s="209"/>
      <c r="C5981" s="201"/>
      <c r="D5981" s="201"/>
      <c r="E5981" s="202"/>
      <c r="F5981" s="210"/>
      <c r="G5981" s="210"/>
      <c r="H5981" s="206" t="s">
        <v>121</v>
      </c>
      <c r="I5981" s="206" t="s">
        <v>121</v>
      </c>
      <c r="J5981" s="206" t="s">
        <v>121</v>
      </c>
      <c r="K5981" s="206" t="s">
        <v>121</v>
      </c>
      <c r="L5981" s="206" t="str">
        <v/>
      </c>
      <c r="M5981" s="206" t="str">
        <v/>
      </c>
    </row>
    <row r="5982" spans="1:13" ht="14.4">
      <c r="A5982" s="201"/>
      <c r="B5982" s="209"/>
      <c r="C5982" s="201"/>
      <c r="D5982" s="201"/>
      <c r="E5982" s="202"/>
      <c r="F5982" s="210"/>
      <c r="G5982" s="210"/>
      <c r="H5982" s="206" t="s">
        <v>121</v>
      </c>
      <c r="I5982" s="206" t="s">
        <v>121</v>
      </c>
      <c r="J5982" s="206" t="s">
        <v>121</v>
      </c>
      <c r="K5982" s="206" t="s">
        <v>121</v>
      </c>
      <c r="L5982" s="206" t="str">
        <v/>
      </c>
      <c r="M5982" s="206" t="str">
        <v/>
      </c>
    </row>
    <row r="5983" spans="1:13" ht="14.4">
      <c r="A5983" s="201"/>
      <c r="B5983" s="209"/>
      <c r="C5983" s="201"/>
      <c r="D5983" s="201"/>
      <c r="E5983" s="202"/>
      <c r="F5983" s="210"/>
      <c r="G5983" s="210"/>
      <c r="H5983" s="206" t="s">
        <v>121</v>
      </c>
      <c r="I5983" s="206" t="s">
        <v>121</v>
      </c>
      <c r="J5983" s="206" t="s">
        <v>121</v>
      </c>
      <c r="K5983" s="206" t="s">
        <v>121</v>
      </c>
      <c r="L5983" s="206" t="str">
        <v/>
      </c>
      <c r="M5983" s="206" t="str">
        <v/>
      </c>
    </row>
    <row r="5984" spans="1:13" ht="14.4">
      <c r="A5984" s="201"/>
      <c r="B5984" s="209"/>
      <c r="C5984" s="201"/>
      <c r="D5984" s="201"/>
      <c r="E5984" s="202"/>
      <c r="F5984" s="210"/>
      <c r="G5984" s="210"/>
      <c r="H5984" s="206" t="s">
        <v>121</v>
      </c>
      <c r="I5984" s="206" t="s">
        <v>121</v>
      </c>
      <c r="J5984" s="206" t="s">
        <v>121</v>
      </c>
      <c r="K5984" s="206" t="s">
        <v>121</v>
      </c>
      <c r="L5984" s="206" t="str">
        <v/>
      </c>
      <c r="M5984" s="206" t="str">
        <v/>
      </c>
    </row>
    <row r="5985" spans="1:13" ht="14.4">
      <c r="A5985" s="201"/>
      <c r="B5985" s="209"/>
      <c r="C5985" s="201"/>
      <c r="D5985" s="201"/>
      <c r="E5985" s="202"/>
      <c r="F5985" s="210"/>
      <c r="G5985" s="210"/>
      <c r="H5985" s="206" t="s">
        <v>121</v>
      </c>
      <c r="I5985" s="206" t="s">
        <v>121</v>
      </c>
      <c r="J5985" s="206" t="s">
        <v>121</v>
      </c>
      <c r="K5985" s="206" t="s">
        <v>121</v>
      </c>
      <c r="L5985" s="206" t="str">
        <v/>
      </c>
      <c r="M5985" s="206" t="str">
        <v/>
      </c>
    </row>
    <row r="5986" spans="1:13" ht="14.4">
      <c r="A5986" s="201"/>
      <c r="B5986" s="209"/>
      <c r="C5986" s="201"/>
      <c r="D5986" s="201"/>
      <c r="E5986" s="202"/>
      <c r="F5986" s="210"/>
      <c r="G5986" s="210"/>
      <c r="H5986" s="206" t="s">
        <v>121</v>
      </c>
      <c r="I5986" s="206" t="s">
        <v>121</v>
      </c>
      <c r="J5986" s="206" t="s">
        <v>121</v>
      </c>
      <c r="K5986" s="206" t="s">
        <v>121</v>
      </c>
      <c r="L5986" s="206" t="str">
        <v/>
      </c>
      <c r="M5986" s="206" t="str">
        <v/>
      </c>
    </row>
    <row r="5987" spans="1:13" ht="14.4">
      <c r="A5987" s="201"/>
      <c r="B5987" s="209"/>
      <c r="C5987" s="201"/>
      <c r="D5987" s="201"/>
      <c r="E5987" s="202"/>
      <c r="F5987" s="210"/>
      <c r="G5987" s="210"/>
      <c r="H5987" s="206" t="s">
        <v>121</v>
      </c>
      <c r="I5987" s="206" t="s">
        <v>121</v>
      </c>
      <c r="J5987" s="206" t="s">
        <v>121</v>
      </c>
      <c r="K5987" s="206" t="s">
        <v>121</v>
      </c>
      <c r="L5987" s="206" t="str">
        <v/>
      </c>
      <c r="M5987" s="206" t="str">
        <v/>
      </c>
    </row>
    <row r="5988" spans="1:13" ht="14.4">
      <c r="A5988" s="201"/>
      <c r="B5988" s="209"/>
      <c r="C5988" s="201"/>
      <c r="D5988" s="201"/>
      <c r="E5988" s="202"/>
      <c r="F5988" s="210"/>
      <c r="G5988" s="210"/>
      <c r="H5988" s="206" t="s">
        <v>121</v>
      </c>
      <c r="I5988" s="206" t="s">
        <v>121</v>
      </c>
      <c r="J5988" s="206" t="s">
        <v>121</v>
      </c>
      <c r="K5988" s="206" t="s">
        <v>121</v>
      </c>
      <c r="L5988" s="206" t="str">
        <v/>
      </c>
      <c r="M5988" s="206" t="str">
        <v/>
      </c>
    </row>
    <row r="5989" spans="1:13" ht="14.4">
      <c r="A5989" s="201"/>
      <c r="B5989" s="209"/>
      <c r="C5989" s="201"/>
      <c r="D5989" s="201"/>
      <c r="E5989" s="202"/>
      <c r="F5989" s="210"/>
      <c r="G5989" s="210"/>
      <c r="H5989" s="206" t="s">
        <v>121</v>
      </c>
      <c r="I5989" s="206" t="s">
        <v>121</v>
      </c>
      <c r="J5989" s="206" t="s">
        <v>121</v>
      </c>
      <c r="K5989" s="206" t="s">
        <v>121</v>
      </c>
      <c r="L5989" s="206" t="str">
        <v/>
      </c>
      <c r="M5989" s="206" t="str">
        <v/>
      </c>
    </row>
    <row r="5990" spans="1:13" ht="14.4">
      <c r="A5990" s="201"/>
      <c r="B5990" s="209"/>
      <c r="C5990" s="201"/>
      <c r="D5990" s="201"/>
      <c r="E5990" s="202"/>
      <c r="F5990" s="210"/>
      <c r="G5990" s="210"/>
      <c r="H5990" s="206" t="s">
        <v>121</v>
      </c>
      <c r="I5990" s="206" t="s">
        <v>121</v>
      </c>
      <c r="J5990" s="206" t="s">
        <v>121</v>
      </c>
      <c r="K5990" s="206" t="s">
        <v>121</v>
      </c>
      <c r="L5990" s="206" t="str">
        <v/>
      </c>
      <c r="M5990" s="206" t="str">
        <v/>
      </c>
    </row>
    <row r="5991" spans="1:13" ht="14.4">
      <c r="A5991" s="201"/>
      <c r="B5991" s="209"/>
      <c r="C5991" s="201"/>
      <c r="D5991" s="201"/>
      <c r="E5991" s="202"/>
      <c r="F5991" s="210"/>
      <c r="G5991" s="210"/>
      <c r="H5991" s="206" t="s">
        <v>121</v>
      </c>
      <c r="I5991" s="206" t="s">
        <v>121</v>
      </c>
      <c r="J5991" s="206" t="s">
        <v>121</v>
      </c>
      <c r="K5991" s="206" t="s">
        <v>121</v>
      </c>
      <c r="L5991" s="206" t="str">
        <v/>
      </c>
      <c r="M5991" s="206" t="str">
        <v/>
      </c>
    </row>
    <row r="5992" spans="1:13" ht="14.4">
      <c r="A5992" s="201"/>
      <c r="B5992" s="209"/>
      <c r="C5992" s="201"/>
      <c r="D5992" s="201"/>
      <c r="E5992" s="202"/>
      <c r="F5992" s="210"/>
      <c r="G5992" s="210"/>
      <c r="H5992" s="206" t="s">
        <v>121</v>
      </c>
      <c r="I5992" s="206" t="s">
        <v>121</v>
      </c>
      <c r="J5992" s="206" t="s">
        <v>121</v>
      </c>
      <c r="K5992" s="206" t="s">
        <v>121</v>
      </c>
      <c r="L5992" s="206" t="str">
        <v/>
      </c>
      <c r="M5992" s="206" t="str">
        <v/>
      </c>
    </row>
    <row r="5993" spans="1:13" ht="14.4">
      <c r="A5993" s="201"/>
      <c r="B5993" s="209"/>
      <c r="C5993" s="201"/>
      <c r="D5993" s="201"/>
      <c r="E5993" s="202"/>
      <c r="F5993" s="210"/>
      <c r="G5993" s="210"/>
      <c r="H5993" s="206" t="s">
        <v>121</v>
      </c>
      <c r="I5993" s="206" t="s">
        <v>121</v>
      </c>
      <c r="J5993" s="206" t="s">
        <v>121</v>
      </c>
      <c r="K5993" s="206" t="s">
        <v>121</v>
      </c>
      <c r="L5993" s="206" t="str">
        <v/>
      </c>
      <c r="M5993" s="206" t="str">
        <v/>
      </c>
    </row>
    <row r="5994" spans="1:13" ht="14.4">
      <c r="A5994" s="201"/>
      <c r="B5994" s="209"/>
      <c r="C5994" s="201"/>
      <c r="D5994" s="201"/>
      <c r="E5994" s="202"/>
      <c r="F5994" s="210"/>
      <c r="G5994" s="210"/>
      <c r="H5994" s="206" t="s">
        <v>121</v>
      </c>
      <c r="I5994" s="206" t="s">
        <v>121</v>
      </c>
      <c r="J5994" s="206" t="s">
        <v>121</v>
      </c>
      <c r="K5994" s="206" t="s">
        <v>121</v>
      </c>
      <c r="L5994" s="206" t="str">
        <v/>
      </c>
      <c r="M5994" s="206" t="str">
        <v/>
      </c>
    </row>
    <row r="5995" spans="1:13" ht="14.4">
      <c r="A5995" s="201"/>
      <c r="B5995" s="209"/>
      <c r="C5995" s="201"/>
      <c r="D5995" s="201"/>
      <c r="E5995" s="202"/>
      <c r="F5995" s="210"/>
      <c r="G5995" s="210"/>
      <c r="H5995" s="206" t="s">
        <v>121</v>
      </c>
      <c r="I5995" s="206" t="s">
        <v>121</v>
      </c>
      <c r="J5995" s="206" t="s">
        <v>121</v>
      </c>
      <c r="K5995" s="206" t="s">
        <v>121</v>
      </c>
      <c r="L5995" s="206" t="str">
        <v/>
      </c>
      <c r="M5995" s="206" t="str">
        <v/>
      </c>
    </row>
    <row r="5996" spans="1:13" ht="14.4">
      <c r="A5996" s="201"/>
      <c r="B5996" s="209"/>
      <c r="C5996" s="201"/>
      <c r="D5996" s="201"/>
      <c r="E5996" s="202"/>
      <c r="F5996" s="210"/>
      <c r="G5996" s="210"/>
      <c r="H5996" s="206" t="s">
        <v>121</v>
      </c>
      <c r="I5996" s="206" t="s">
        <v>121</v>
      </c>
      <c r="J5996" s="206" t="s">
        <v>121</v>
      </c>
      <c r="K5996" s="206" t="s">
        <v>121</v>
      </c>
      <c r="L5996" s="206" t="str">
        <v/>
      </c>
      <c r="M5996" s="206" t="str">
        <v/>
      </c>
    </row>
    <row r="5997" spans="1:13" ht="14.4">
      <c r="A5997" s="201"/>
      <c r="B5997" s="209"/>
      <c r="C5997" s="201"/>
      <c r="D5997" s="201"/>
      <c r="E5997" s="202"/>
      <c r="F5997" s="210"/>
      <c r="G5997" s="210"/>
      <c r="H5997" s="206" t="s">
        <v>121</v>
      </c>
      <c r="I5997" s="206" t="s">
        <v>121</v>
      </c>
      <c r="J5997" s="206" t="s">
        <v>121</v>
      </c>
      <c r="K5997" s="206" t="s">
        <v>121</v>
      </c>
      <c r="L5997" s="206" t="str">
        <v/>
      </c>
      <c r="M5997" s="206" t="str">
        <v/>
      </c>
    </row>
    <row r="5998" spans="1:13" ht="14.4">
      <c r="A5998" s="201"/>
      <c r="B5998" s="209"/>
      <c r="C5998" s="201"/>
      <c r="D5998" s="201"/>
      <c r="E5998" s="202"/>
      <c r="F5998" s="210"/>
      <c r="G5998" s="210"/>
      <c r="H5998" s="206" t="s">
        <v>121</v>
      </c>
      <c r="I5998" s="206" t="s">
        <v>121</v>
      </c>
      <c r="J5998" s="206" t="s">
        <v>121</v>
      </c>
      <c r="K5998" s="206" t="s">
        <v>121</v>
      </c>
      <c r="L5998" s="206" t="str">
        <v/>
      </c>
      <c r="M5998" s="206" t="str">
        <v/>
      </c>
    </row>
    <row r="5999" spans="1:13" ht="14.4">
      <c r="A5999" s="201"/>
      <c r="B5999" s="209"/>
      <c r="C5999" s="201"/>
      <c r="D5999" s="201"/>
      <c r="E5999" s="202"/>
      <c r="F5999" s="210"/>
      <c r="G5999" s="210"/>
      <c r="H5999" s="206" t="s">
        <v>121</v>
      </c>
      <c r="I5999" s="206" t="s">
        <v>121</v>
      </c>
      <c r="J5999" s="206" t="s">
        <v>121</v>
      </c>
      <c r="K5999" s="206" t="s">
        <v>121</v>
      </c>
      <c r="L5999" s="206" t="str">
        <v/>
      </c>
      <c r="M5999" s="206" t="str">
        <v/>
      </c>
    </row>
    <row r="6000" spans="1:13" ht="14.4">
      <c r="A6000" s="201"/>
      <c r="B6000" s="209"/>
      <c r="C6000" s="201"/>
      <c r="D6000" s="201"/>
      <c r="E6000" s="202"/>
      <c r="F6000" s="210"/>
      <c r="G6000" s="210"/>
      <c r="H6000" s="206" t="s">
        <v>121</v>
      </c>
      <c r="I6000" s="206" t="s">
        <v>121</v>
      </c>
      <c r="J6000" s="206" t="s">
        <v>121</v>
      </c>
      <c r="K6000" s="206" t="s">
        <v>121</v>
      </c>
      <c r="L6000" s="206" t="str">
        <v/>
      </c>
      <c r="M6000" s="206" t="str">
        <v/>
      </c>
    </row>
    <row r="6001" spans="1:13" ht="14.4">
      <c r="A6001" s="201"/>
      <c r="B6001" s="209"/>
      <c r="C6001" s="201"/>
      <c r="D6001" s="201"/>
      <c r="E6001" s="202"/>
      <c r="F6001" s="210"/>
      <c r="G6001" s="210"/>
      <c r="H6001" s="206" t="s">
        <v>121</v>
      </c>
      <c r="I6001" s="206" t="s">
        <v>121</v>
      </c>
      <c r="J6001" s="206" t="s">
        <v>121</v>
      </c>
      <c r="K6001" s="206" t="s">
        <v>121</v>
      </c>
      <c r="L6001" s="206" t="str">
        <v/>
      </c>
      <c r="M6001" s="206" t="str">
        <v/>
      </c>
    </row>
    <row r="6002" spans="1:13" ht="14.4">
      <c r="A6002" s="201"/>
      <c r="B6002" s="209"/>
      <c r="C6002" s="201"/>
      <c r="D6002" s="201"/>
      <c r="E6002" s="202"/>
      <c r="F6002" s="210"/>
      <c r="G6002" s="210"/>
      <c r="H6002" s="206" t="s">
        <v>121</v>
      </c>
      <c r="I6002" s="206" t="s">
        <v>121</v>
      </c>
      <c r="J6002" s="206" t="s">
        <v>121</v>
      </c>
      <c r="K6002" s="206" t="s">
        <v>121</v>
      </c>
      <c r="L6002" s="206" t="str">
        <v/>
      </c>
      <c r="M6002" s="206" t="str">
        <v/>
      </c>
    </row>
    <row r="6003" spans="1:13" ht="14.4">
      <c r="A6003" s="201"/>
      <c r="B6003" s="209"/>
      <c r="C6003" s="201"/>
      <c r="D6003" s="201"/>
      <c r="E6003" s="202"/>
      <c r="F6003" s="210"/>
      <c r="G6003" s="210"/>
      <c r="H6003" s="206" t="s">
        <v>121</v>
      </c>
      <c r="I6003" s="206" t="s">
        <v>121</v>
      </c>
      <c r="J6003" s="206" t="s">
        <v>121</v>
      </c>
      <c r="K6003" s="206" t="s">
        <v>121</v>
      </c>
      <c r="L6003" s="206" t="str">
        <v/>
      </c>
      <c r="M6003" s="206" t="str">
        <v/>
      </c>
    </row>
    <row r="6004" spans="1:13" ht="14.4">
      <c r="A6004" s="201"/>
      <c r="B6004" s="209"/>
      <c r="C6004" s="201"/>
      <c r="D6004" s="201"/>
      <c r="E6004" s="202"/>
      <c r="F6004" s="210"/>
      <c r="G6004" s="210"/>
      <c r="H6004" s="206" t="s">
        <v>121</v>
      </c>
      <c r="I6004" s="206" t="s">
        <v>121</v>
      </c>
      <c r="J6004" s="206" t="s">
        <v>121</v>
      </c>
      <c r="K6004" s="206" t="s">
        <v>121</v>
      </c>
      <c r="L6004" s="206" t="str">
        <v/>
      </c>
      <c r="M6004" s="206" t="str">
        <v/>
      </c>
    </row>
    <row r="6005" spans="1:13" ht="14.4">
      <c r="A6005" s="201"/>
      <c r="B6005" s="209"/>
      <c r="C6005" s="201"/>
      <c r="D6005" s="201"/>
      <c r="E6005" s="202"/>
      <c r="F6005" s="210"/>
      <c r="G6005" s="210"/>
      <c r="H6005" s="206" t="s">
        <v>121</v>
      </c>
      <c r="I6005" s="206" t="s">
        <v>121</v>
      </c>
      <c r="J6005" s="206" t="s">
        <v>121</v>
      </c>
      <c r="K6005" s="206" t="s">
        <v>121</v>
      </c>
      <c r="L6005" s="206" t="str">
        <v/>
      </c>
      <c r="M6005" s="206" t="str">
        <v/>
      </c>
    </row>
    <row r="6006" spans="1:13" ht="14.4">
      <c r="A6006" s="201"/>
      <c r="B6006" s="209"/>
      <c r="C6006" s="201"/>
      <c r="D6006" s="201"/>
      <c r="E6006" s="202"/>
      <c r="F6006" s="210"/>
      <c r="G6006" s="210"/>
      <c r="H6006" s="206" t="s">
        <v>121</v>
      </c>
      <c r="I6006" s="206" t="s">
        <v>121</v>
      </c>
      <c r="J6006" s="206" t="s">
        <v>121</v>
      </c>
      <c r="K6006" s="206" t="s">
        <v>121</v>
      </c>
      <c r="L6006" s="206" t="str">
        <v/>
      </c>
      <c r="M6006" s="206" t="str">
        <v/>
      </c>
    </row>
    <row r="6007" spans="1:13" ht="14.4">
      <c r="A6007" s="201"/>
      <c r="B6007" s="209"/>
      <c r="C6007" s="201"/>
      <c r="D6007" s="201"/>
      <c r="E6007" s="202"/>
      <c r="F6007" s="210"/>
      <c r="G6007" s="210"/>
      <c r="H6007" s="206" t="s">
        <v>121</v>
      </c>
      <c r="I6007" s="206" t="s">
        <v>121</v>
      </c>
      <c r="J6007" s="206" t="s">
        <v>121</v>
      </c>
      <c r="K6007" s="206" t="s">
        <v>121</v>
      </c>
      <c r="L6007" s="206" t="str">
        <v/>
      </c>
      <c r="M6007" s="206" t="str">
        <v/>
      </c>
    </row>
    <row r="6008" spans="1:13" ht="14.4">
      <c r="A6008" s="201"/>
      <c r="B6008" s="209"/>
      <c r="C6008" s="201"/>
      <c r="D6008" s="201"/>
      <c r="E6008" s="202"/>
      <c r="F6008" s="210"/>
      <c r="G6008" s="210"/>
      <c r="H6008" s="206" t="s">
        <v>121</v>
      </c>
      <c r="I6008" s="206" t="s">
        <v>121</v>
      </c>
      <c r="J6008" s="206" t="s">
        <v>121</v>
      </c>
      <c r="K6008" s="206" t="s">
        <v>121</v>
      </c>
      <c r="L6008" s="206" t="str">
        <v/>
      </c>
      <c r="M6008" s="206" t="str">
        <v/>
      </c>
    </row>
    <row r="6009" spans="1:13" ht="14.4">
      <c r="A6009" s="201"/>
      <c r="B6009" s="209"/>
      <c r="C6009" s="201"/>
      <c r="D6009" s="201"/>
      <c r="E6009" s="202"/>
      <c r="F6009" s="210"/>
      <c r="G6009" s="210"/>
      <c r="H6009" s="206" t="s">
        <v>121</v>
      </c>
      <c r="I6009" s="206" t="s">
        <v>121</v>
      </c>
      <c r="J6009" s="206" t="s">
        <v>121</v>
      </c>
      <c r="K6009" s="206" t="s">
        <v>121</v>
      </c>
      <c r="L6009" s="206" t="str">
        <v/>
      </c>
      <c r="M6009" s="206" t="str">
        <v/>
      </c>
    </row>
    <row r="6010" spans="1:13" ht="14.4">
      <c r="A6010" s="201"/>
      <c r="B6010" s="209"/>
      <c r="C6010" s="201"/>
      <c r="D6010" s="201"/>
      <c r="E6010" s="202"/>
      <c r="F6010" s="210"/>
      <c r="G6010" s="210"/>
      <c r="H6010" s="206" t="s">
        <v>121</v>
      </c>
      <c r="I6010" s="206" t="s">
        <v>121</v>
      </c>
      <c r="J6010" s="206" t="s">
        <v>121</v>
      </c>
      <c r="K6010" s="206" t="s">
        <v>121</v>
      </c>
      <c r="L6010" s="206" t="str">
        <v/>
      </c>
      <c r="M6010" s="206" t="str">
        <v/>
      </c>
    </row>
    <row r="6011" spans="1:13" ht="14.4">
      <c r="A6011" s="201"/>
      <c r="B6011" s="209"/>
      <c r="C6011" s="201"/>
      <c r="D6011" s="201"/>
      <c r="E6011" s="202"/>
      <c r="F6011" s="210"/>
      <c r="G6011" s="210"/>
      <c r="H6011" s="206" t="s">
        <v>121</v>
      </c>
      <c r="I6011" s="206" t="s">
        <v>121</v>
      </c>
      <c r="J6011" s="206" t="s">
        <v>121</v>
      </c>
      <c r="K6011" s="206" t="s">
        <v>121</v>
      </c>
      <c r="L6011" s="206" t="str">
        <v/>
      </c>
      <c r="M6011" s="206" t="str">
        <v/>
      </c>
    </row>
    <row r="6012" spans="1:13" ht="14.4">
      <c r="A6012" s="201"/>
      <c r="B6012" s="209"/>
      <c r="C6012" s="201"/>
      <c r="D6012" s="201"/>
      <c r="E6012" s="202"/>
      <c r="F6012" s="210"/>
      <c r="G6012" s="210"/>
      <c r="H6012" s="206" t="s">
        <v>121</v>
      </c>
      <c r="I6012" s="206" t="s">
        <v>121</v>
      </c>
      <c r="J6012" s="206" t="s">
        <v>121</v>
      </c>
      <c r="K6012" s="206" t="s">
        <v>121</v>
      </c>
      <c r="L6012" s="206" t="str">
        <v/>
      </c>
      <c r="M6012" s="206" t="str">
        <v/>
      </c>
    </row>
    <row r="6013" spans="1:13" ht="14.4">
      <c r="A6013" s="201"/>
      <c r="B6013" s="209"/>
      <c r="C6013" s="201"/>
      <c r="D6013" s="201"/>
      <c r="E6013" s="202"/>
      <c r="F6013" s="210"/>
      <c r="G6013" s="210"/>
      <c r="H6013" s="206" t="s">
        <v>121</v>
      </c>
      <c r="I6013" s="206" t="s">
        <v>121</v>
      </c>
      <c r="J6013" s="206" t="s">
        <v>121</v>
      </c>
      <c r="K6013" s="206" t="s">
        <v>121</v>
      </c>
      <c r="L6013" s="206" t="str">
        <v/>
      </c>
      <c r="M6013" s="206" t="str">
        <v/>
      </c>
    </row>
    <row r="6014" spans="1:13" ht="14.4">
      <c r="A6014" s="201"/>
      <c r="B6014" s="209"/>
      <c r="C6014" s="201"/>
      <c r="D6014" s="201"/>
      <c r="E6014" s="202"/>
      <c r="F6014" s="210"/>
      <c r="G6014" s="210"/>
      <c r="H6014" s="206" t="s">
        <v>121</v>
      </c>
      <c r="I6014" s="206" t="s">
        <v>121</v>
      </c>
      <c r="J6014" s="206" t="s">
        <v>121</v>
      </c>
      <c r="K6014" s="206" t="s">
        <v>121</v>
      </c>
      <c r="L6014" s="206" t="str">
        <v/>
      </c>
      <c r="M6014" s="206" t="str">
        <v/>
      </c>
    </row>
    <row r="6015" spans="1:13" ht="14.4">
      <c r="A6015" s="201"/>
      <c r="B6015" s="209"/>
      <c r="C6015" s="201"/>
      <c r="D6015" s="201"/>
      <c r="E6015" s="202"/>
      <c r="F6015" s="210"/>
      <c r="G6015" s="210"/>
      <c r="H6015" s="206" t="s">
        <v>121</v>
      </c>
      <c r="I6015" s="206" t="s">
        <v>121</v>
      </c>
      <c r="J6015" s="206" t="s">
        <v>121</v>
      </c>
      <c r="K6015" s="206" t="s">
        <v>121</v>
      </c>
      <c r="L6015" s="206" t="str">
        <v/>
      </c>
      <c r="M6015" s="206" t="str">
        <v/>
      </c>
    </row>
    <row r="6016" spans="1:13" ht="14.4">
      <c r="A6016" s="201"/>
      <c r="B6016" s="209"/>
      <c r="C6016" s="201"/>
      <c r="D6016" s="201"/>
      <c r="E6016" s="202"/>
      <c r="F6016" s="210"/>
      <c r="G6016" s="210"/>
      <c r="H6016" s="206" t="s">
        <v>121</v>
      </c>
      <c r="I6016" s="206" t="s">
        <v>121</v>
      </c>
      <c r="J6016" s="206" t="s">
        <v>121</v>
      </c>
      <c r="K6016" s="206" t="s">
        <v>121</v>
      </c>
      <c r="L6016" s="206" t="str">
        <v/>
      </c>
      <c r="M6016" s="206" t="str">
        <v/>
      </c>
    </row>
    <row r="6017" spans="1:13" ht="14.4">
      <c r="A6017" s="201"/>
      <c r="B6017" s="209"/>
      <c r="C6017" s="201"/>
      <c r="D6017" s="201"/>
      <c r="E6017" s="202"/>
      <c r="F6017" s="210"/>
      <c r="G6017" s="210"/>
      <c r="H6017" s="206" t="s">
        <v>121</v>
      </c>
      <c r="I6017" s="206" t="s">
        <v>121</v>
      </c>
      <c r="J6017" s="206" t="s">
        <v>121</v>
      </c>
      <c r="K6017" s="206" t="s">
        <v>121</v>
      </c>
      <c r="L6017" s="206" t="str">
        <v/>
      </c>
      <c r="M6017" s="206" t="str">
        <v/>
      </c>
    </row>
    <row r="6018" spans="1:13" ht="14.4">
      <c r="A6018" s="201"/>
      <c r="B6018" s="209"/>
      <c r="C6018" s="201"/>
      <c r="D6018" s="201"/>
      <c r="E6018" s="202"/>
      <c r="F6018" s="210"/>
      <c r="G6018" s="210"/>
      <c r="H6018" s="206" t="s">
        <v>121</v>
      </c>
      <c r="I6018" s="206" t="s">
        <v>121</v>
      </c>
      <c r="J6018" s="206" t="s">
        <v>121</v>
      </c>
      <c r="K6018" s="206" t="s">
        <v>121</v>
      </c>
      <c r="L6018" s="206" t="str">
        <v/>
      </c>
      <c r="M6018" s="206" t="str">
        <v/>
      </c>
    </row>
    <row r="6019" spans="1:13" ht="14.4">
      <c r="A6019" s="201"/>
      <c r="B6019" s="209"/>
      <c r="C6019" s="201"/>
      <c r="D6019" s="201"/>
      <c r="E6019" s="202"/>
      <c r="F6019" s="210"/>
      <c r="G6019" s="210"/>
      <c r="H6019" s="206" t="s">
        <v>121</v>
      </c>
      <c r="I6019" s="206" t="s">
        <v>121</v>
      </c>
      <c r="J6019" s="206" t="s">
        <v>121</v>
      </c>
      <c r="K6019" s="206" t="s">
        <v>121</v>
      </c>
      <c r="L6019" s="206" t="str">
        <v/>
      </c>
      <c r="M6019" s="206" t="str">
        <v/>
      </c>
    </row>
    <row r="6020" spans="1:13" ht="14.4">
      <c r="A6020" s="201"/>
      <c r="B6020" s="209"/>
      <c r="C6020" s="201"/>
      <c r="D6020" s="201"/>
      <c r="E6020" s="202"/>
      <c r="F6020" s="210"/>
      <c r="G6020" s="210"/>
      <c r="H6020" s="206" t="s">
        <v>121</v>
      </c>
      <c r="I6020" s="206" t="s">
        <v>121</v>
      </c>
      <c r="J6020" s="206" t="s">
        <v>121</v>
      </c>
      <c r="K6020" s="206" t="s">
        <v>121</v>
      </c>
      <c r="L6020" s="206" t="str">
        <v/>
      </c>
      <c r="M6020" s="206" t="str">
        <v/>
      </c>
    </row>
    <row r="6021" spans="1:13" ht="14.4">
      <c r="A6021" s="201"/>
      <c r="B6021" s="209"/>
      <c r="C6021" s="201"/>
      <c r="D6021" s="201"/>
      <c r="E6021" s="202"/>
      <c r="F6021" s="210"/>
      <c r="G6021" s="210"/>
      <c r="H6021" s="206" t="s">
        <v>121</v>
      </c>
      <c r="I6021" s="206" t="s">
        <v>121</v>
      </c>
      <c r="J6021" s="206" t="s">
        <v>121</v>
      </c>
      <c r="K6021" s="206" t="s">
        <v>121</v>
      </c>
      <c r="L6021" s="206" t="str">
        <v/>
      </c>
      <c r="M6021" s="206" t="str">
        <v/>
      </c>
    </row>
    <row r="6022" spans="1:13" ht="14.4">
      <c r="A6022" s="201"/>
      <c r="B6022" s="209"/>
      <c r="C6022" s="201"/>
      <c r="D6022" s="201"/>
      <c r="E6022" s="202"/>
      <c r="F6022" s="210"/>
      <c r="G6022" s="210"/>
      <c r="H6022" s="206" t="s">
        <v>121</v>
      </c>
      <c r="I6022" s="206" t="s">
        <v>121</v>
      </c>
      <c r="J6022" s="206" t="s">
        <v>121</v>
      </c>
      <c r="K6022" s="206" t="s">
        <v>121</v>
      </c>
      <c r="L6022" s="206" t="str">
        <v/>
      </c>
      <c r="M6022" s="206" t="str">
        <v/>
      </c>
    </row>
    <row r="6023" spans="1:13" ht="14.4">
      <c r="A6023" s="201"/>
      <c r="B6023" s="209"/>
      <c r="C6023" s="201"/>
      <c r="D6023" s="201"/>
      <c r="E6023" s="202"/>
      <c r="F6023" s="210"/>
      <c r="G6023" s="210"/>
      <c r="H6023" s="206" t="s">
        <v>121</v>
      </c>
      <c r="I6023" s="206" t="s">
        <v>121</v>
      </c>
      <c r="J6023" s="206" t="s">
        <v>121</v>
      </c>
      <c r="K6023" s="206" t="s">
        <v>121</v>
      </c>
      <c r="L6023" s="206" t="str">
        <v/>
      </c>
      <c r="M6023" s="206" t="str">
        <v/>
      </c>
    </row>
    <row r="6024" spans="1:13" ht="14.4">
      <c r="A6024" s="201"/>
      <c r="B6024" s="209"/>
      <c r="C6024" s="201"/>
      <c r="D6024" s="201"/>
      <c r="E6024" s="202"/>
      <c r="F6024" s="210"/>
      <c r="G6024" s="210"/>
      <c r="H6024" s="206" t="s">
        <v>121</v>
      </c>
      <c r="I6024" s="206" t="s">
        <v>121</v>
      </c>
      <c r="J6024" s="206" t="s">
        <v>121</v>
      </c>
      <c r="K6024" s="206" t="s">
        <v>121</v>
      </c>
      <c r="L6024" s="206" t="str">
        <v/>
      </c>
      <c r="M6024" s="206" t="str">
        <v/>
      </c>
    </row>
    <row r="6025" spans="1:13" ht="14.4">
      <c r="A6025" s="201"/>
      <c r="B6025" s="209"/>
      <c r="C6025" s="201"/>
      <c r="D6025" s="201"/>
      <c r="E6025" s="202"/>
      <c r="F6025" s="210"/>
      <c r="G6025" s="210"/>
      <c r="H6025" s="206" t="s">
        <v>121</v>
      </c>
      <c r="I6025" s="206" t="s">
        <v>121</v>
      </c>
      <c r="J6025" s="206" t="s">
        <v>121</v>
      </c>
      <c r="K6025" s="206" t="s">
        <v>121</v>
      </c>
      <c r="L6025" s="206" t="str">
        <v/>
      </c>
      <c r="M6025" s="206" t="str">
        <v/>
      </c>
    </row>
    <row r="6026" spans="1:13" ht="14.4">
      <c r="A6026" s="201"/>
      <c r="B6026" s="209"/>
      <c r="C6026" s="201"/>
      <c r="D6026" s="201"/>
      <c r="E6026" s="202"/>
      <c r="F6026" s="210"/>
      <c r="G6026" s="210"/>
      <c r="H6026" s="206" t="s">
        <v>121</v>
      </c>
      <c r="I6026" s="206" t="s">
        <v>121</v>
      </c>
      <c r="J6026" s="206" t="s">
        <v>121</v>
      </c>
      <c r="K6026" s="206" t="s">
        <v>121</v>
      </c>
      <c r="L6026" s="206" t="str">
        <v/>
      </c>
      <c r="M6026" s="206" t="str">
        <v/>
      </c>
    </row>
    <row r="6027" spans="1:13" ht="14.4">
      <c r="A6027" s="201"/>
      <c r="B6027" s="209"/>
      <c r="C6027" s="201"/>
      <c r="D6027" s="201"/>
      <c r="E6027" s="202"/>
      <c r="F6027" s="210"/>
      <c r="G6027" s="210"/>
      <c r="H6027" s="206" t="s">
        <v>121</v>
      </c>
      <c r="I6027" s="206" t="s">
        <v>121</v>
      </c>
      <c r="J6027" s="206" t="s">
        <v>121</v>
      </c>
      <c r="K6027" s="206" t="s">
        <v>121</v>
      </c>
      <c r="L6027" s="206" t="str">
        <v/>
      </c>
      <c r="M6027" s="206" t="str">
        <v/>
      </c>
    </row>
    <row r="6028" spans="1:13" ht="14.4">
      <c r="A6028" s="201"/>
      <c r="B6028" s="209"/>
      <c r="C6028" s="201"/>
      <c r="D6028" s="201"/>
      <c r="E6028" s="202"/>
      <c r="F6028" s="210"/>
      <c r="G6028" s="210"/>
      <c r="H6028" s="206" t="s">
        <v>121</v>
      </c>
      <c r="I6028" s="206" t="s">
        <v>121</v>
      </c>
      <c r="J6028" s="206" t="s">
        <v>121</v>
      </c>
      <c r="K6028" s="206" t="s">
        <v>121</v>
      </c>
      <c r="L6028" s="206" t="str">
        <v/>
      </c>
      <c r="M6028" s="206" t="str">
        <v/>
      </c>
    </row>
    <row r="6029" spans="1:13" ht="14.4">
      <c r="A6029" s="201"/>
      <c r="B6029" s="209"/>
      <c r="C6029" s="201"/>
      <c r="D6029" s="201"/>
      <c r="E6029" s="202"/>
      <c r="F6029" s="210"/>
      <c r="G6029" s="210"/>
      <c r="H6029" s="206" t="s">
        <v>121</v>
      </c>
      <c r="I6029" s="206" t="s">
        <v>121</v>
      </c>
      <c r="J6029" s="206" t="s">
        <v>121</v>
      </c>
      <c r="K6029" s="206" t="s">
        <v>121</v>
      </c>
      <c r="L6029" s="206" t="str">
        <v/>
      </c>
      <c r="M6029" s="206" t="str">
        <v/>
      </c>
    </row>
    <row r="6030" spans="1:13" ht="14.4">
      <c r="A6030" s="201"/>
      <c r="B6030" s="209"/>
      <c r="C6030" s="201"/>
      <c r="D6030" s="201"/>
      <c r="E6030" s="202"/>
      <c r="F6030" s="210"/>
      <c r="G6030" s="210"/>
      <c r="H6030" s="206" t="s">
        <v>121</v>
      </c>
      <c r="I6030" s="206" t="s">
        <v>121</v>
      </c>
      <c r="J6030" s="206" t="s">
        <v>121</v>
      </c>
      <c r="K6030" s="206" t="s">
        <v>121</v>
      </c>
      <c r="L6030" s="206" t="str">
        <v/>
      </c>
      <c r="M6030" s="206" t="str">
        <v/>
      </c>
    </row>
    <row r="6031" spans="1:13" ht="14.4">
      <c r="A6031" s="201"/>
      <c r="B6031" s="209"/>
      <c r="C6031" s="201"/>
      <c r="D6031" s="201"/>
      <c r="E6031" s="202"/>
      <c r="F6031" s="210"/>
      <c r="G6031" s="210"/>
      <c r="H6031" s="206" t="s">
        <v>121</v>
      </c>
      <c r="I6031" s="206" t="s">
        <v>121</v>
      </c>
      <c r="J6031" s="206" t="s">
        <v>121</v>
      </c>
      <c r="K6031" s="206" t="s">
        <v>121</v>
      </c>
      <c r="L6031" s="206" t="str">
        <v/>
      </c>
      <c r="M6031" s="206" t="str">
        <v/>
      </c>
    </row>
    <row r="6032" spans="1:13" ht="14.4">
      <c r="A6032" s="201"/>
      <c r="B6032" s="209"/>
      <c r="C6032" s="201"/>
      <c r="D6032" s="201"/>
      <c r="E6032" s="202"/>
      <c r="F6032" s="210"/>
      <c r="G6032" s="210"/>
      <c r="H6032" s="206" t="s">
        <v>121</v>
      </c>
      <c r="I6032" s="206" t="s">
        <v>121</v>
      </c>
      <c r="J6032" s="206" t="s">
        <v>121</v>
      </c>
      <c r="K6032" s="206" t="s">
        <v>121</v>
      </c>
      <c r="L6032" s="206" t="str">
        <v/>
      </c>
      <c r="M6032" s="206" t="str">
        <v/>
      </c>
    </row>
    <row r="6033" spans="1:13" ht="14.4">
      <c r="A6033" s="201"/>
      <c r="B6033" s="209"/>
      <c r="C6033" s="201"/>
      <c r="D6033" s="201"/>
      <c r="E6033" s="202"/>
      <c r="F6033" s="210"/>
      <c r="G6033" s="210"/>
      <c r="H6033" s="206" t="s">
        <v>121</v>
      </c>
      <c r="I6033" s="206" t="s">
        <v>121</v>
      </c>
      <c r="J6033" s="206" t="s">
        <v>121</v>
      </c>
      <c r="K6033" s="206" t="s">
        <v>121</v>
      </c>
      <c r="L6033" s="206" t="str">
        <v/>
      </c>
      <c r="M6033" s="206" t="str">
        <v/>
      </c>
    </row>
    <row r="6034" spans="1:13" ht="14.4">
      <c r="A6034" s="201"/>
      <c r="B6034" s="209"/>
      <c r="C6034" s="201"/>
      <c r="D6034" s="201"/>
      <c r="E6034" s="202"/>
      <c r="F6034" s="210"/>
      <c r="G6034" s="210"/>
      <c r="H6034" s="206" t="s">
        <v>121</v>
      </c>
      <c r="I6034" s="206" t="s">
        <v>121</v>
      </c>
      <c r="J6034" s="206" t="s">
        <v>121</v>
      </c>
      <c r="K6034" s="206" t="s">
        <v>121</v>
      </c>
      <c r="L6034" s="206" t="str">
        <v/>
      </c>
      <c r="M6034" s="206" t="str">
        <v/>
      </c>
    </row>
    <row r="6035" spans="1:13" ht="14.4">
      <c r="A6035" s="201"/>
      <c r="B6035" s="209"/>
      <c r="C6035" s="201"/>
      <c r="D6035" s="201"/>
      <c r="E6035" s="202"/>
      <c r="F6035" s="210"/>
      <c r="G6035" s="210"/>
      <c r="H6035" s="206" t="s">
        <v>121</v>
      </c>
      <c r="I6035" s="206" t="s">
        <v>121</v>
      </c>
      <c r="J6035" s="206" t="s">
        <v>121</v>
      </c>
      <c r="K6035" s="206" t="s">
        <v>121</v>
      </c>
      <c r="L6035" s="206" t="str">
        <v/>
      </c>
      <c r="M6035" s="206" t="str">
        <v/>
      </c>
    </row>
    <row r="6036" spans="1:13" ht="14.4">
      <c r="A6036" s="201"/>
      <c r="B6036" s="209"/>
      <c r="C6036" s="201"/>
      <c r="D6036" s="201"/>
      <c r="E6036" s="202"/>
      <c r="F6036" s="210"/>
      <c r="G6036" s="210"/>
      <c r="H6036" s="206" t="s">
        <v>121</v>
      </c>
      <c r="I6036" s="206" t="s">
        <v>121</v>
      </c>
      <c r="J6036" s="206" t="s">
        <v>121</v>
      </c>
      <c r="K6036" s="206" t="s">
        <v>121</v>
      </c>
      <c r="L6036" s="206" t="str">
        <v/>
      </c>
      <c r="M6036" s="206" t="str">
        <v/>
      </c>
    </row>
    <row r="6037" spans="1:13" ht="14.4">
      <c r="A6037" s="201"/>
      <c r="B6037" s="209"/>
      <c r="C6037" s="201"/>
      <c r="D6037" s="201"/>
      <c r="E6037" s="202"/>
      <c r="F6037" s="210"/>
      <c r="G6037" s="210"/>
      <c r="H6037" s="206" t="s">
        <v>121</v>
      </c>
      <c r="I6037" s="206" t="s">
        <v>121</v>
      </c>
      <c r="J6037" s="206" t="s">
        <v>121</v>
      </c>
      <c r="K6037" s="206" t="s">
        <v>121</v>
      </c>
      <c r="L6037" s="206" t="str">
        <v/>
      </c>
      <c r="M6037" s="206" t="str">
        <v/>
      </c>
    </row>
    <row r="6038" spans="1:13" ht="14.4">
      <c r="A6038" s="201"/>
      <c r="B6038" s="209"/>
      <c r="C6038" s="201"/>
      <c r="D6038" s="201"/>
      <c r="E6038" s="202"/>
      <c r="F6038" s="210"/>
      <c r="G6038" s="210"/>
      <c r="H6038" s="206" t="s">
        <v>121</v>
      </c>
      <c r="I6038" s="206" t="s">
        <v>121</v>
      </c>
      <c r="J6038" s="206" t="s">
        <v>121</v>
      </c>
      <c r="K6038" s="206" t="s">
        <v>121</v>
      </c>
      <c r="L6038" s="206" t="str">
        <v/>
      </c>
      <c r="M6038" s="206" t="str">
        <v/>
      </c>
    </row>
    <row r="6039" spans="1:13" ht="14.4">
      <c r="A6039" s="201"/>
      <c r="B6039" s="209"/>
      <c r="C6039" s="201"/>
      <c r="D6039" s="201"/>
      <c r="E6039" s="202"/>
      <c r="F6039" s="210"/>
      <c r="G6039" s="210"/>
      <c r="H6039" s="206" t="s">
        <v>121</v>
      </c>
      <c r="I6039" s="206" t="s">
        <v>121</v>
      </c>
      <c r="J6039" s="206" t="s">
        <v>121</v>
      </c>
      <c r="K6039" s="206" t="s">
        <v>121</v>
      </c>
      <c r="L6039" s="206" t="str">
        <v/>
      </c>
      <c r="M6039" s="206" t="str">
        <v/>
      </c>
    </row>
    <row r="6040" spans="1:13" ht="14.4">
      <c r="A6040" s="201"/>
      <c r="B6040" s="209"/>
      <c r="C6040" s="201"/>
      <c r="D6040" s="201"/>
      <c r="E6040" s="202"/>
      <c r="F6040" s="210"/>
      <c r="G6040" s="210"/>
      <c r="H6040" s="206" t="s">
        <v>121</v>
      </c>
      <c r="I6040" s="206" t="s">
        <v>121</v>
      </c>
      <c r="J6040" s="206" t="s">
        <v>121</v>
      </c>
      <c r="K6040" s="206" t="s">
        <v>121</v>
      </c>
      <c r="L6040" s="206" t="str">
        <v/>
      </c>
      <c r="M6040" s="206" t="str">
        <v/>
      </c>
    </row>
    <row r="6041" spans="1:13" ht="14.4">
      <c r="A6041" s="201"/>
      <c r="B6041" s="209"/>
      <c r="C6041" s="201"/>
      <c r="D6041" s="201"/>
      <c r="E6041" s="202"/>
      <c r="F6041" s="210"/>
      <c r="G6041" s="210"/>
      <c r="H6041" s="206" t="s">
        <v>121</v>
      </c>
      <c r="I6041" s="206" t="s">
        <v>121</v>
      </c>
      <c r="J6041" s="206" t="s">
        <v>121</v>
      </c>
      <c r="K6041" s="206" t="s">
        <v>121</v>
      </c>
      <c r="L6041" s="206" t="str">
        <v/>
      </c>
      <c r="M6041" s="206" t="str">
        <v/>
      </c>
    </row>
    <row r="6042" spans="1:13" ht="14.4">
      <c r="A6042" s="201"/>
      <c r="B6042" s="209"/>
      <c r="C6042" s="201"/>
      <c r="D6042" s="201"/>
      <c r="E6042" s="202"/>
      <c r="F6042" s="210"/>
      <c r="G6042" s="210"/>
      <c r="H6042" s="206" t="s">
        <v>121</v>
      </c>
      <c r="I6042" s="206" t="s">
        <v>121</v>
      </c>
      <c r="J6042" s="206" t="s">
        <v>121</v>
      </c>
      <c r="K6042" s="206" t="s">
        <v>121</v>
      </c>
      <c r="L6042" s="206" t="str">
        <v/>
      </c>
      <c r="M6042" s="206" t="str">
        <v/>
      </c>
    </row>
    <row r="6043" spans="1:13" ht="14.4">
      <c r="A6043" s="201"/>
      <c r="B6043" s="209"/>
      <c r="C6043" s="201"/>
      <c r="D6043" s="201"/>
      <c r="E6043" s="202"/>
      <c r="F6043" s="210"/>
      <c r="G6043" s="210"/>
      <c r="H6043" s="206" t="s">
        <v>121</v>
      </c>
      <c r="I6043" s="206" t="s">
        <v>121</v>
      </c>
      <c r="J6043" s="206" t="s">
        <v>121</v>
      </c>
      <c r="K6043" s="206" t="s">
        <v>121</v>
      </c>
      <c r="L6043" s="206" t="str">
        <v/>
      </c>
      <c r="M6043" s="206" t="str">
        <v/>
      </c>
    </row>
    <row r="6044" spans="1:13" ht="14.4">
      <c r="A6044" s="201"/>
      <c r="B6044" s="209"/>
      <c r="C6044" s="201"/>
      <c r="D6044" s="201"/>
      <c r="E6044" s="202"/>
      <c r="F6044" s="210"/>
      <c r="G6044" s="210"/>
      <c r="H6044" s="206" t="s">
        <v>121</v>
      </c>
      <c r="I6044" s="206" t="s">
        <v>121</v>
      </c>
      <c r="J6044" s="206" t="s">
        <v>121</v>
      </c>
      <c r="K6044" s="206" t="s">
        <v>121</v>
      </c>
      <c r="L6044" s="206" t="str">
        <v/>
      </c>
      <c r="M6044" s="206" t="str">
        <v/>
      </c>
    </row>
    <row r="6045" spans="1:13" ht="14.4">
      <c r="A6045" s="201"/>
      <c r="B6045" s="209"/>
      <c r="C6045" s="201"/>
      <c r="D6045" s="201"/>
      <c r="E6045" s="202"/>
      <c r="F6045" s="210"/>
      <c r="G6045" s="210"/>
      <c r="H6045" s="206" t="s">
        <v>121</v>
      </c>
      <c r="I6045" s="206" t="s">
        <v>121</v>
      </c>
      <c r="J6045" s="206" t="s">
        <v>121</v>
      </c>
      <c r="K6045" s="206" t="s">
        <v>121</v>
      </c>
      <c r="L6045" s="206" t="str">
        <v/>
      </c>
      <c r="M6045" s="206" t="str">
        <v/>
      </c>
    </row>
    <row r="6046" spans="1:13" ht="14.4">
      <c r="A6046" s="201"/>
      <c r="B6046" s="209"/>
      <c r="C6046" s="201"/>
      <c r="D6046" s="201"/>
      <c r="E6046" s="202"/>
      <c r="F6046" s="210"/>
      <c r="G6046" s="210"/>
      <c r="H6046" s="206" t="s">
        <v>121</v>
      </c>
      <c r="I6046" s="206" t="s">
        <v>121</v>
      </c>
      <c r="J6046" s="206" t="s">
        <v>121</v>
      </c>
      <c r="K6046" s="206" t="s">
        <v>121</v>
      </c>
      <c r="L6046" s="206" t="str">
        <v/>
      </c>
      <c r="M6046" s="206" t="str">
        <v/>
      </c>
    </row>
    <row r="6047" spans="1:13" ht="14.4">
      <c r="A6047" s="201"/>
      <c r="B6047" s="209"/>
      <c r="C6047" s="201"/>
      <c r="D6047" s="201"/>
      <c r="E6047" s="202"/>
      <c r="F6047" s="210"/>
      <c r="G6047" s="210"/>
      <c r="H6047" s="206" t="s">
        <v>121</v>
      </c>
      <c r="I6047" s="206" t="s">
        <v>121</v>
      </c>
      <c r="J6047" s="206" t="s">
        <v>121</v>
      </c>
      <c r="K6047" s="206" t="s">
        <v>121</v>
      </c>
      <c r="L6047" s="206" t="str">
        <v/>
      </c>
      <c r="M6047" s="206" t="str">
        <v/>
      </c>
    </row>
    <row r="6048" spans="1:13" ht="14.4">
      <c r="A6048" s="201"/>
      <c r="B6048" s="209"/>
      <c r="C6048" s="201"/>
      <c r="D6048" s="201"/>
      <c r="E6048" s="202"/>
      <c r="F6048" s="210"/>
      <c r="G6048" s="210"/>
      <c r="H6048" s="206" t="s">
        <v>121</v>
      </c>
      <c r="I6048" s="206" t="s">
        <v>121</v>
      </c>
      <c r="J6048" s="206" t="s">
        <v>121</v>
      </c>
      <c r="K6048" s="206" t="s">
        <v>121</v>
      </c>
      <c r="L6048" s="206" t="str">
        <v/>
      </c>
      <c r="M6048" s="206" t="str">
        <v/>
      </c>
    </row>
    <row r="6049" spans="1:13" ht="14.4">
      <c r="A6049" s="201"/>
      <c r="B6049" s="209"/>
      <c r="C6049" s="201"/>
      <c r="D6049" s="201"/>
      <c r="E6049" s="202"/>
      <c r="F6049" s="210"/>
      <c r="G6049" s="210"/>
      <c r="H6049" s="206" t="s">
        <v>121</v>
      </c>
      <c r="I6049" s="206" t="s">
        <v>121</v>
      </c>
      <c r="J6049" s="206" t="s">
        <v>121</v>
      </c>
      <c r="K6049" s="206" t="s">
        <v>121</v>
      </c>
      <c r="L6049" s="206" t="str">
        <v/>
      </c>
      <c r="M6049" s="206" t="str">
        <v/>
      </c>
    </row>
    <row r="6050" spans="1:13" ht="14.4">
      <c r="A6050" s="201"/>
      <c r="B6050" s="209"/>
      <c r="C6050" s="201"/>
      <c r="D6050" s="201"/>
      <c r="E6050" s="202"/>
      <c r="F6050" s="210"/>
      <c r="G6050" s="210"/>
      <c r="H6050" s="206" t="s">
        <v>121</v>
      </c>
      <c r="I6050" s="206" t="s">
        <v>121</v>
      </c>
      <c r="J6050" s="206" t="s">
        <v>121</v>
      </c>
      <c r="K6050" s="206" t="s">
        <v>121</v>
      </c>
      <c r="L6050" s="206" t="str">
        <v/>
      </c>
      <c r="M6050" s="206" t="str">
        <v/>
      </c>
    </row>
    <row r="6051" spans="1:13" ht="14.4">
      <c r="A6051" s="201"/>
      <c r="B6051" s="209"/>
      <c r="C6051" s="201"/>
      <c r="D6051" s="201"/>
      <c r="E6051" s="202"/>
      <c r="F6051" s="210"/>
      <c r="G6051" s="210"/>
      <c r="H6051" s="206" t="s">
        <v>121</v>
      </c>
      <c r="I6051" s="206" t="s">
        <v>121</v>
      </c>
      <c r="J6051" s="206" t="s">
        <v>121</v>
      </c>
      <c r="K6051" s="206" t="s">
        <v>121</v>
      </c>
      <c r="L6051" s="206" t="str">
        <v/>
      </c>
      <c r="M6051" s="206" t="str">
        <v/>
      </c>
    </row>
    <row r="6052" spans="1:13" ht="14.4">
      <c r="A6052" s="201"/>
      <c r="B6052" s="209"/>
      <c r="C6052" s="201"/>
      <c r="D6052" s="201"/>
      <c r="E6052" s="202"/>
      <c r="F6052" s="210"/>
      <c r="G6052" s="210"/>
      <c r="H6052" s="206" t="s">
        <v>121</v>
      </c>
      <c r="I6052" s="206" t="s">
        <v>121</v>
      </c>
      <c r="J6052" s="206" t="s">
        <v>121</v>
      </c>
      <c r="K6052" s="206" t="s">
        <v>121</v>
      </c>
      <c r="L6052" s="206" t="str">
        <v/>
      </c>
      <c r="M6052" s="206" t="str">
        <v/>
      </c>
    </row>
    <row r="6053" spans="1:13" ht="14.4">
      <c r="A6053" s="201"/>
      <c r="B6053" s="209"/>
      <c r="C6053" s="201"/>
      <c r="D6053" s="201"/>
      <c r="E6053" s="202"/>
      <c r="F6053" s="210"/>
      <c r="G6053" s="210"/>
      <c r="H6053" s="206" t="s">
        <v>121</v>
      </c>
      <c r="I6053" s="206" t="s">
        <v>121</v>
      </c>
      <c r="J6053" s="206" t="s">
        <v>121</v>
      </c>
      <c r="K6053" s="206" t="s">
        <v>121</v>
      </c>
      <c r="L6053" s="206" t="str">
        <v/>
      </c>
      <c r="M6053" s="206" t="str">
        <v/>
      </c>
    </row>
    <row r="6054" spans="1:13" ht="14.4">
      <c r="A6054" s="201"/>
      <c r="B6054" s="209"/>
      <c r="C6054" s="201"/>
      <c r="D6054" s="201"/>
      <c r="E6054" s="202"/>
      <c r="F6054" s="210"/>
      <c r="G6054" s="210"/>
      <c r="H6054" s="206" t="s">
        <v>121</v>
      </c>
      <c r="I6054" s="206" t="s">
        <v>121</v>
      </c>
      <c r="J6054" s="206" t="s">
        <v>121</v>
      </c>
      <c r="K6054" s="206" t="s">
        <v>121</v>
      </c>
      <c r="L6054" s="206" t="str">
        <v/>
      </c>
      <c r="M6054" s="206" t="str">
        <v/>
      </c>
    </row>
    <row r="6055" spans="1:13" ht="14.4">
      <c r="A6055" s="201"/>
      <c r="B6055" s="209"/>
      <c r="C6055" s="201"/>
      <c r="D6055" s="201"/>
      <c r="E6055" s="202"/>
      <c r="F6055" s="210"/>
      <c r="G6055" s="210"/>
      <c r="H6055" s="206" t="s">
        <v>121</v>
      </c>
      <c r="I6055" s="206" t="s">
        <v>121</v>
      </c>
      <c r="J6055" s="206" t="s">
        <v>121</v>
      </c>
      <c r="K6055" s="206" t="s">
        <v>121</v>
      </c>
      <c r="L6055" s="206" t="str">
        <v/>
      </c>
      <c r="M6055" s="206" t="str">
        <v/>
      </c>
    </row>
    <row r="6056" spans="1:13" ht="14.4">
      <c r="A6056" s="201"/>
      <c r="B6056" s="209"/>
      <c r="C6056" s="201"/>
      <c r="D6056" s="201"/>
      <c r="E6056" s="202"/>
      <c r="F6056" s="210"/>
      <c r="G6056" s="210"/>
      <c r="H6056" s="206" t="s">
        <v>121</v>
      </c>
      <c r="I6056" s="206" t="s">
        <v>121</v>
      </c>
      <c r="J6056" s="206" t="s">
        <v>121</v>
      </c>
      <c r="K6056" s="206" t="s">
        <v>121</v>
      </c>
      <c r="L6056" s="206" t="str">
        <v/>
      </c>
      <c r="M6056" s="206" t="str">
        <v/>
      </c>
    </row>
    <row r="6057" spans="1:13" ht="14.4">
      <c r="A6057" s="201"/>
      <c r="B6057" s="209"/>
      <c r="C6057" s="201"/>
      <c r="D6057" s="201"/>
      <c r="E6057" s="202"/>
      <c r="F6057" s="210"/>
      <c r="G6057" s="210"/>
      <c r="H6057" s="206" t="s">
        <v>121</v>
      </c>
      <c r="I6057" s="206" t="s">
        <v>121</v>
      </c>
      <c r="J6057" s="206" t="s">
        <v>121</v>
      </c>
      <c r="K6057" s="206" t="s">
        <v>121</v>
      </c>
      <c r="L6057" s="206" t="str">
        <v/>
      </c>
      <c r="M6057" s="206" t="str">
        <v/>
      </c>
    </row>
    <row r="6058" spans="1:13" ht="14.4">
      <c r="A6058" s="201"/>
      <c r="B6058" s="209"/>
      <c r="C6058" s="201"/>
      <c r="D6058" s="201"/>
      <c r="E6058" s="202"/>
      <c r="F6058" s="210"/>
      <c r="G6058" s="210"/>
      <c r="H6058" s="206" t="s">
        <v>121</v>
      </c>
      <c r="I6058" s="206" t="s">
        <v>121</v>
      </c>
      <c r="J6058" s="206" t="s">
        <v>121</v>
      </c>
      <c r="K6058" s="206" t="s">
        <v>121</v>
      </c>
      <c r="L6058" s="206" t="str">
        <v/>
      </c>
      <c r="M6058" s="206" t="str">
        <v/>
      </c>
    </row>
    <row r="6059" spans="1:13" ht="14.4">
      <c r="A6059" s="201"/>
      <c r="B6059" s="209"/>
      <c r="C6059" s="201"/>
      <c r="D6059" s="201"/>
      <c r="E6059" s="202"/>
      <c r="F6059" s="210"/>
      <c r="G6059" s="210"/>
      <c r="H6059" s="206" t="s">
        <v>121</v>
      </c>
      <c r="I6059" s="206" t="s">
        <v>121</v>
      </c>
      <c r="J6059" s="206" t="s">
        <v>121</v>
      </c>
      <c r="K6059" s="206" t="s">
        <v>121</v>
      </c>
      <c r="L6059" s="206" t="str">
        <v/>
      </c>
      <c r="M6059" s="206" t="str">
        <v/>
      </c>
    </row>
    <row r="6060" spans="1:13" ht="14.4">
      <c r="A6060" s="201"/>
      <c r="B6060" s="209"/>
      <c r="C6060" s="201"/>
      <c r="D6060" s="201"/>
      <c r="E6060" s="202"/>
      <c r="F6060" s="210"/>
      <c r="G6060" s="210"/>
      <c r="H6060" s="206" t="s">
        <v>121</v>
      </c>
      <c r="I6060" s="206" t="s">
        <v>121</v>
      </c>
      <c r="J6060" s="206" t="s">
        <v>121</v>
      </c>
      <c r="K6060" s="206" t="s">
        <v>121</v>
      </c>
      <c r="L6060" s="206" t="str">
        <v/>
      </c>
      <c r="M6060" s="206" t="str">
        <v/>
      </c>
    </row>
    <row r="6061" spans="1:13" ht="14.4">
      <c r="A6061" s="201"/>
      <c r="B6061" s="209"/>
      <c r="C6061" s="201"/>
      <c r="D6061" s="201"/>
      <c r="E6061" s="202"/>
      <c r="F6061" s="210"/>
      <c r="G6061" s="210"/>
      <c r="H6061" s="206" t="s">
        <v>121</v>
      </c>
      <c r="I6061" s="206" t="s">
        <v>121</v>
      </c>
      <c r="J6061" s="206" t="s">
        <v>121</v>
      </c>
      <c r="K6061" s="206" t="s">
        <v>121</v>
      </c>
      <c r="L6061" s="206" t="str">
        <v/>
      </c>
      <c r="M6061" s="206" t="str">
        <v/>
      </c>
    </row>
    <row r="6062" spans="1:13" ht="14.4">
      <c r="A6062" s="201"/>
      <c r="B6062" s="209"/>
      <c r="C6062" s="201"/>
      <c r="D6062" s="201"/>
      <c r="E6062" s="202"/>
      <c r="F6062" s="210"/>
      <c r="G6062" s="210"/>
      <c r="H6062" s="206" t="s">
        <v>121</v>
      </c>
      <c r="I6062" s="206" t="s">
        <v>121</v>
      </c>
      <c r="J6062" s="206" t="s">
        <v>121</v>
      </c>
      <c r="K6062" s="206" t="s">
        <v>121</v>
      </c>
      <c r="L6062" s="206" t="str">
        <v/>
      </c>
      <c r="M6062" s="206" t="str">
        <v/>
      </c>
    </row>
    <row r="6063" spans="1:13" ht="14.4">
      <c r="A6063" s="201"/>
      <c r="B6063" s="209"/>
      <c r="C6063" s="201"/>
      <c r="D6063" s="201"/>
      <c r="E6063" s="202"/>
      <c r="F6063" s="210"/>
      <c r="G6063" s="210"/>
      <c r="H6063" s="206" t="s">
        <v>121</v>
      </c>
      <c r="I6063" s="206" t="s">
        <v>121</v>
      </c>
      <c r="J6063" s="206" t="s">
        <v>121</v>
      </c>
      <c r="K6063" s="206" t="s">
        <v>121</v>
      </c>
      <c r="L6063" s="206" t="str">
        <v/>
      </c>
      <c r="M6063" s="206" t="str">
        <v/>
      </c>
    </row>
    <row r="6064" spans="1:13" ht="14.4">
      <c r="A6064" s="201"/>
      <c r="B6064" s="209"/>
      <c r="C6064" s="201"/>
      <c r="D6064" s="201"/>
      <c r="E6064" s="202"/>
      <c r="F6064" s="210"/>
      <c r="G6064" s="210"/>
      <c r="H6064" s="206" t="s">
        <v>121</v>
      </c>
      <c r="I6064" s="206" t="s">
        <v>121</v>
      </c>
      <c r="J6064" s="206" t="s">
        <v>121</v>
      </c>
      <c r="K6064" s="206" t="s">
        <v>121</v>
      </c>
      <c r="L6064" s="206" t="str">
        <v/>
      </c>
      <c r="M6064" s="206" t="str">
        <v/>
      </c>
    </row>
    <row r="6065" spans="1:13" ht="14.4">
      <c r="A6065" s="201"/>
      <c r="B6065" s="209"/>
      <c r="C6065" s="201"/>
      <c r="D6065" s="201"/>
      <c r="E6065" s="202"/>
      <c r="F6065" s="210"/>
      <c r="G6065" s="210"/>
      <c r="H6065" s="206" t="s">
        <v>121</v>
      </c>
      <c r="I6065" s="206" t="s">
        <v>121</v>
      </c>
      <c r="J6065" s="206" t="s">
        <v>121</v>
      </c>
      <c r="K6065" s="206" t="s">
        <v>121</v>
      </c>
      <c r="L6065" s="206" t="str">
        <v/>
      </c>
      <c r="M6065" s="206" t="str">
        <v/>
      </c>
    </row>
    <row r="6066" spans="1:13" ht="14.4">
      <c r="A6066" s="201"/>
      <c r="B6066" s="209"/>
      <c r="C6066" s="201"/>
      <c r="D6066" s="201"/>
      <c r="E6066" s="202"/>
      <c r="F6066" s="210"/>
      <c r="G6066" s="210"/>
      <c r="H6066" s="206" t="s">
        <v>121</v>
      </c>
      <c r="I6066" s="206" t="s">
        <v>121</v>
      </c>
      <c r="J6066" s="206" t="s">
        <v>121</v>
      </c>
      <c r="K6066" s="206" t="s">
        <v>121</v>
      </c>
      <c r="L6066" s="206" t="str">
        <v/>
      </c>
      <c r="M6066" s="206" t="str">
        <v/>
      </c>
    </row>
    <row r="6067" spans="1:13" ht="14.4">
      <c r="A6067" s="201"/>
      <c r="B6067" s="209"/>
      <c r="C6067" s="201"/>
      <c r="D6067" s="201"/>
      <c r="E6067" s="202"/>
      <c r="F6067" s="210"/>
      <c r="G6067" s="210"/>
      <c r="H6067" s="206" t="s">
        <v>121</v>
      </c>
      <c r="I6067" s="206" t="s">
        <v>121</v>
      </c>
      <c r="J6067" s="206" t="s">
        <v>121</v>
      </c>
      <c r="K6067" s="206" t="s">
        <v>121</v>
      </c>
      <c r="L6067" s="206" t="str">
        <v/>
      </c>
      <c r="M6067" s="206" t="str">
        <v/>
      </c>
    </row>
    <row r="6068" spans="1:13" ht="14.4">
      <c r="A6068" s="201"/>
      <c r="B6068" s="209"/>
      <c r="C6068" s="201"/>
      <c r="D6068" s="201"/>
      <c r="E6068" s="202"/>
      <c r="F6068" s="210"/>
      <c r="G6068" s="210"/>
      <c r="H6068" s="206" t="s">
        <v>121</v>
      </c>
      <c r="I6068" s="206" t="s">
        <v>121</v>
      </c>
      <c r="J6068" s="206" t="s">
        <v>121</v>
      </c>
      <c r="K6068" s="206" t="s">
        <v>121</v>
      </c>
      <c r="L6068" s="206" t="str">
        <v/>
      </c>
      <c r="M6068" s="206" t="str">
        <v/>
      </c>
    </row>
    <row r="6069" spans="1:13" ht="14.4">
      <c r="A6069" s="201"/>
      <c r="B6069" s="209"/>
      <c r="C6069" s="201"/>
      <c r="D6069" s="201"/>
      <c r="E6069" s="202"/>
      <c r="F6069" s="210"/>
      <c r="G6069" s="210"/>
      <c r="H6069" s="206" t="s">
        <v>121</v>
      </c>
      <c r="I6069" s="206" t="s">
        <v>121</v>
      </c>
      <c r="J6069" s="206" t="s">
        <v>121</v>
      </c>
      <c r="K6069" s="206" t="s">
        <v>121</v>
      </c>
      <c r="L6069" s="206" t="str">
        <v/>
      </c>
      <c r="M6069" s="206" t="str">
        <v/>
      </c>
    </row>
    <row r="6070" spans="1:13" ht="14.4">
      <c r="A6070" s="201"/>
      <c r="B6070" s="209"/>
      <c r="C6070" s="201"/>
      <c r="D6070" s="201"/>
      <c r="E6070" s="202"/>
      <c r="F6070" s="210"/>
      <c r="G6070" s="210"/>
      <c r="H6070" s="206" t="s">
        <v>121</v>
      </c>
      <c r="I6070" s="206" t="s">
        <v>121</v>
      </c>
      <c r="J6070" s="206" t="s">
        <v>121</v>
      </c>
      <c r="K6070" s="206" t="s">
        <v>121</v>
      </c>
      <c r="L6070" s="206" t="str">
        <v/>
      </c>
      <c r="M6070" s="206" t="str">
        <v/>
      </c>
    </row>
    <row r="6071" spans="1:13" ht="14.4">
      <c r="A6071" s="201"/>
      <c r="B6071" s="209"/>
      <c r="C6071" s="201"/>
      <c r="D6071" s="201"/>
      <c r="E6071" s="202"/>
      <c r="F6071" s="210"/>
      <c r="G6071" s="210"/>
      <c r="H6071" s="206" t="s">
        <v>121</v>
      </c>
      <c r="I6071" s="206" t="s">
        <v>121</v>
      </c>
      <c r="J6071" s="206" t="s">
        <v>121</v>
      </c>
      <c r="K6071" s="206" t="s">
        <v>121</v>
      </c>
      <c r="L6071" s="206" t="str">
        <v/>
      </c>
      <c r="M6071" s="206" t="str">
        <v/>
      </c>
    </row>
    <row r="6072" spans="1:13" ht="14.4">
      <c r="A6072" s="201"/>
      <c r="B6072" s="209"/>
      <c r="C6072" s="201"/>
      <c r="D6072" s="201"/>
      <c r="E6072" s="202"/>
      <c r="F6072" s="210"/>
      <c r="G6072" s="210"/>
      <c r="H6072" s="206" t="s">
        <v>121</v>
      </c>
      <c r="I6072" s="206" t="s">
        <v>121</v>
      </c>
      <c r="J6072" s="206" t="s">
        <v>121</v>
      </c>
      <c r="K6072" s="206" t="s">
        <v>121</v>
      </c>
      <c r="L6072" s="206" t="str">
        <v/>
      </c>
      <c r="M6072" s="206" t="str">
        <v/>
      </c>
    </row>
    <row r="6073" spans="1:13" ht="14.4">
      <c r="A6073" s="201"/>
      <c r="B6073" s="209"/>
      <c r="C6073" s="201"/>
      <c r="D6073" s="201"/>
      <c r="E6073" s="202"/>
      <c r="F6073" s="210"/>
      <c r="G6073" s="210"/>
      <c r="H6073" s="206" t="s">
        <v>121</v>
      </c>
      <c r="I6073" s="206" t="s">
        <v>121</v>
      </c>
      <c r="J6073" s="206" t="s">
        <v>121</v>
      </c>
      <c r="K6073" s="206" t="s">
        <v>121</v>
      </c>
      <c r="L6073" s="206" t="str">
        <v/>
      </c>
      <c r="M6073" s="206" t="str">
        <v/>
      </c>
    </row>
    <row r="6074" spans="1:13" ht="14.4">
      <c r="A6074" s="201"/>
      <c r="B6074" s="209"/>
      <c r="C6074" s="201"/>
      <c r="D6074" s="201"/>
      <c r="E6074" s="202"/>
      <c r="F6074" s="210"/>
      <c r="G6074" s="210"/>
      <c r="H6074" s="206" t="s">
        <v>121</v>
      </c>
      <c r="I6074" s="206" t="s">
        <v>121</v>
      </c>
      <c r="J6074" s="206" t="s">
        <v>121</v>
      </c>
      <c r="K6074" s="206" t="s">
        <v>121</v>
      </c>
      <c r="L6074" s="206" t="str">
        <v/>
      </c>
      <c r="M6074" s="206" t="str">
        <v/>
      </c>
    </row>
    <row r="6075" spans="1:13" ht="14.4">
      <c r="A6075" s="201"/>
      <c r="B6075" s="209"/>
      <c r="C6075" s="201"/>
      <c r="D6075" s="201"/>
      <c r="E6075" s="202"/>
      <c r="F6075" s="210"/>
      <c r="G6075" s="210"/>
      <c r="H6075" s="206" t="s">
        <v>121</v>
      </c>
      <c r="I6075" s="206" t="s">
        <v>121</v>
      </c>
      <c r="J6075" s="206" t="s">
        <v>121</v>
      </c>
      <c r="K6075" s="206" t="s">
        <v>121</v>
      </c>
      <c r="L6075" s="206" t="str">
        <v/>
      </c>
      <c r="M6075" s="206" t="str">
        <v/>
      </c>
    </row>
    <row r="6076" spans="1:13" ht="14.4">
      <c r="A6076" s="201"/>
      <c r="B6076" s="209"/>
      <c r="C6076" s="201"/>
      <c r="D6076" s="201"/>
      <c r="E6076" s="202"/>
      <c r="F6076" s="210"/>
      <c r="G6076" s="210"/>
      <c r="H6076" s="206" t="s">
        <v>121</v>
      </c>
      <c r="I6076" s="206" t="s">
        <v>121</v>
      </c>
      <c r="J6076" s="206" t="s">
        <v>121</v>
      </c>
      <c r="K6076" s="206" t="s">
        <v>121</v>
      </c>
      <c r="L6076" s="206" t="str">
        <v/>
      </c>
      <c r="M6076" s="206" t="str">
        <v/>
      </c>
    </row>
    <row r="6077" spans="1:13" ht="14.4">
      <c r="A6077" s="201"/>
      <c r="B6077" s="209"/>
      <c r="C6077" s="201"/>
      <c r="D6077" s="201"/>
      <c r="E6077" s="202"/>
      <c r="F6077" s="210"/>
      <c r="G6077" s="210"/>
      <c r="H6077" s="206" t="s">
        <v>121</v>
      </c>
      <c r="I6077" s="206" t="s">
        <v>121</v>
      </c>
      <c r="J6077" s="206" t="s">
        <v>121</v>
      </c>
      <c r="K6077" s="206" t="s">
        <v>121</v>
      </c>
      <c r="L6077" s="206" t="str">
        <v/>
      </c>
      <c r="M6077" s="206" t="str">
        <v/>
      </c>
    </row>
    <row r="6078" spans="1:13" ht="14.4">
      <c r="A6078" s="201"/>
      <c r="B6078" s="209"/>
      <c r="C6078" s="201"/>
      <c r="D6078" s="201"/>
      <c r="E6078" s="202"/>
      <c r="F6078" s="210"/>
      <c r="G6078" s="210"/>
      <c r="H6078" s="206" t="s">
        <v>121</v>
      </c>
      <c r="I6078" s="206" t="s">
        <v>121</v>
      </c>
      <c r="J6078" s="206" t="s">
        <v>121</v>
      </c>
      <c r="K6078" s="206" t="s">
        <v>121</v>
      </c>
      <c r="L6078" s="206" t="str">
        <v/>
      </c>
      <c r="M6078" s="206" t="str">
        <v/>
      </c>
    </row>
    <row r="6079" spans="1:13" ht="14.4">
      <c r="A6079" s="201"/>
      <c r="B6079" s="209"/>
      <c r="C6079" s="201"/>
      <c r="D6079" s="201"/>
      <c r="E6079" s="202"/>
      <c r="F6079" s="210"/>
      <c r="G6079" s="210"/>
      <c r="H6079" s="206" t="s">
        <v>121</v>
      </c>
      <c r="I6079" s="206" t="s">
        <v>121</v>
      </c>
      <c r="J6079" s="206" t="s">
        <v>121</v>
      </c>
      <c r="K6079" s="206" t="s">
        <v>121</v>
      </c>
      <c r="L6079" s="206" t="str">
        <v/>
      </c>
      <c r="M6079" s="206" t="str">
        <v/>
      </c>
    </row>
    <row r="6080" spans="1:13" ht="14.4">
      <c r="A6080" s="201"/>
      <c r="B6080" s="209"/>
      <c r="C6080" s="201"/>
      <c r="D6080" s="201"/>
      <c r="E6080" s="202"/>
      <c r="F6080" s="210"/>
      <c r="G6080" s="210"/>
      <c r="H6080" s="206" t="s">
        <v>121</v>
      </c>
      <c r="I6080" s="206" t="s">
        <v>121</v>
      </c>
      <c r="J6080" s="206" t="s">
        <v>121</v>
      </c>
      <c r="K6080" s="206" t="s">
        <v>121</v>
      </c>
      <c r="L6080" s="206" t="str">
        <v/>
      </c>
      <c r="M6080" s="206" t="str">
        <v/>
      </c>
    </row>
    <row r="6081" spans="1:13" ht="14.4">
      <c r="A6081" s="201"/>
      <c r="B6081" s="209"/>
      <c r="C6081" s="201"/>
      <c r="D6081" s="201"/>
      <c r="E6081" s="202"/>
      <c r="F6081" s="210"/>
      <c r="G6081" s="210"/>
      <c r="H6081" s="206" t="s">
        <v>121</v>
      </c>
      <c r="I6081" s="206" t="s">
        <v>121</v>
      </c>
      <c r="J6081" s="206" t="s">
        <v>121</v>
      </c>
      <c r="K6081" s="206" t="s">
        <v>121</v>
      </c>
      <c r="L6081" s="206" t="str">
        <v/>
      </c>
      <c r="M6081" s="206" t="str">
        <v/>
      </c>
    </row>
    <row r="6082" spans="1:13" ht="14.4">
      <c r="A6082" s="201"/>
      <c r="B6082" s="209"/>
      <c r="C6082" s="201"/>
      <c r="D6082" s="201"/>
      <c r="E6082" s="202"/>
      <c r="F6082" s="210"/>
      <c r="G6082" s="210"/>
      <c r="H6082" s="206" t="s">
        <v>121</v>
      </c>
      <c r="I6082" s="206" t="s">
        <v>121</v>
      </c>
      <c r="J6082" s="206" t="s">
        <v>121</v>
      </c>
      <c r="K6082" s="206" t="s">
        <v>121</v>
      </c>
      <c r="L6082" s="206" t="str">
        <v/>
      </c>
      <c r="M6082" s="206" t="str">
        <v/>
      </c>
    </row>
    <row r="6083" spans="1:13" ht="14.4">
      <c r="A6083" s="201"/>
      <c r="B6083" s="209"/>
      <c r="C6083" s="201"/>
      <c r="D6083" s="201"/>
      <c r="E6083" s="202"/>
      <c r="F6083" s="210"/>
      <c r="G6083" s="210"/>
      <c r="H6083" s="206" t="s">
        <v>121</v>
      </c>
      <c r="I6083" s="206" t="s">
        <v>121</v>
      </c>
      <c r="J6083" s="206" t="s">
        <v>121</v>
      </c>
      <c r="K6083" s="206" t="s">
        <v>121</v>
      </c>
      <c r="L6083" s="206" t="str">
        <v/>
      </c>
      <c r="M6083" s="206" t="str">
        <v/>
      </c>
    </row>
    <row r="6084" spans="1:13" ht="14.4">
      <c r="A6084" s="201"/>
      <c r="B6084" s="209"/>
      <c r="C6084" s="201"/>
      <c r="D6084" s="201"/>
      <c r="E6084" s="202"/>
      <c r="F6084" s="210"/>
      <c r="G6084" s="210"/>
      <c r="H6084" s="206" t="s">
        <v>121</v>
      </c>
      <c r="I6084" s="206" t="s">
        <v>121</v>
      </c>
      <c r="J6084" s="206" t="s">
        <v>121</v>
      </c>
      <c r="K6084" s="206" t="s">
        <v>121</v>
      </c>
      <c r="L6084" s="206" t="str">
        <v/>
      </c>
      <c r="M6084" s="206" t="str">
        <v/>
      </c>
    </row>
    <row r="6085" spans="1:13" ht="14.4">
      <c r="A6085" s="201"/>
      <c r="B6085" s="209"/>
      <c r="C6085" s="201"/>
      <c r="D6085" s="201"/>
      <c r="E6085" s="202"/>
      <c r="F6085" s="210"/>
      <c r="G6085" s="210"/>
      <c r="H6085" s="206" t="s">
        <v>121</v>
      </c>
      <c r="I6085" s="206" t="s">
        <v>121</v>
      </c>
      <c r="J6085" s="206" t="s">
        <v>121</v>
      </c>
      <c r="K6085" s="206" t="s">
        <v>121</v>
      </c>
      <c r="L6085" s="206" t="str">
        <v/>
      </c>
      <c r="M6085" s="206" t="str">
        <v/>
      </c>
    </row>
    <row r="6086" spans="1:13" ht="14.4">
      <c r="A6086" s="201"/>
      <c r="B6086" s="209"/>
      <c r="C6086" s="201"/>
      <c r="D6086" s="201"/>
      <c r="E6086" s="202"/>
      <c r="F6086" s="210"/>
      <c r="G6086" s="210"/>
      <c r="H6086" s="206" t="s">
        <v>121</v>
      </c>
      <c r="I6086" s="206" t="s">
        <v>121</v>
      </c>
      <c r="J6086" s="206" t="s">
        <v>121</v>
      </c>
      <c r="K6086" s="206" t="s">
        <v>121</v>
      </c>
      <c r="L6086" s="206" t="str">
        <v/>
      </c>
      <c r="M6086" s="206" t="str">
        <v/>
      </c>
    </row>
    <row r="6087" spans="1:13" ht="14.4">
      <c r="A6087" s="201"/>
      <c r="B6087" s="209"/>
      <c r="C6087" s="201"/>
      <c r="D6087" s="201"/>
      <c r="E6087" s="202"/>
      <c r="F6087" s="210"/>
      <c r="G6087" s="210"/>
      <c r="H6087" s="206" t="s">
        <v>121</v>
      </c>
      <c r="I6087" s="206" t="s">
        <v>121</v>
      </c>
      <c r="J6087" s="206" t="s">
        <v>121</v>
      </c>
      <c r="K6087" s="206" t="s">
        <v>121</v>
      </c>
      <c r="L6087" s="206" t="str">
        <v/>
      </c>
      <c r="M6087" s="206" t="str">
        <v/>
      </c>
    </row>
    <row r="6088" spans="1:13" ht="14.4">
      <c r="A6088" s="201"/>
      <c r="B6088" s="209"/>
      <c r="C6088" s="201"/>
      <c r="D6088" s="201"/>
      <c r="E6088" s="202"/>
      <c r="F6088" s="210"/>
      <c r="G6088" s="210"/>
      <c r="H6088" s="206" t="s">
        <v>121</v>
      </c>
      <c r="I6088" s="206" t="s">
        <v>121</v>
      </c>
      <c r="J6088" s="206" t="s">
        <v>121</v>
      </c>
      <c r="K6088" s="206" t="s">
        <v>121</v>
      </c>
      <c r="L6088" s="206" t="str">
        <v/>
      </c>
      <c r="M6088" s="206" t="str">
        <v/>
      </c>
    </row>
    <row r="6089" spans="1:13" ht="14.4">
      <c r="A6089" s="201"/>
      <c r="B6089" s="209"/>
      <c r="C6089" s="201"/>
      <c r="D6089" s="201"/>
      <c r="E6089" s="202"/>
      <c r="F6089" s="210"/>
      <c r="G6089" s="210"/>
      <c r="H6089" s="206" t="s">
        <v>121</v>
      </c>
      <c r="I6089" s="206" t="s">
        <v>121</v>
      </c>
      <c r="J6089" s="206" t="s">
        <v>121</v>
      </c>
      <c r="K6089" s="206" t="s">
        <v>121</v>
      </c>
      <c r="L6089" s="206" t="str">
        <v/>
      </c>
      <c r="M6089" s="206" t="str">
        <v/>
      </c>
    </row>
    <row r="6090" spans="1:13" ht="14.4">
      <c r="A6090" s="201"/>
      <c r="B6090" s="209"/>
      <c r="C6090" s="201"/>
      <c r="D6090" s="201"/>
      <c r="E6090" s="202"/>
      <c r="F6090" s="210"/>
      <c r="G6090" s="210"/>
      <c r="H6090" s="206" t="s">
        <v>121</v>
      </c>
      <c r="I6090" s="206" t="s">
        <v>121</v>
      </c>
      <c r="J6090" s="206" t="s">
        <v>121</v>
      </c>
      <c r="K6090" s="206" t="s">
        <v>121</v>
      </c>
      <c r="L6090" s="206" t="str">
        <v/>
      </c>
      <c r="M6090" s="206" t="str">
        <v/>
      </c>
    </row>
    <row r="6091" spans="1:13" ht="14.4">
      <c r="A6091" s="201"/>
      <c r="B6091" s="209"/>
      <c r="C6091" s="201"/>
      <c r="D6091" s="201"/>
      <c r="E6091" s="202"/>
      <c r="F6091" s="210"/>
      <c r="G6091" s="210"/>
      <c r="H6091" s="206" t="s">
        <v>121</v>
      </c>
      <c r="I6091" s="206" t="s">
        <v>121</v>
      </c>
      <c r="J6091" s="206" t="s">
        <v>121</v>
      </c>
      <c r="K6091" s="206" t="s">
        <v>121</v>
      </c>
      <c r="L6091" s="206" t="str">
        <v/>
      </c>
      <c r="M6091" s="206" t="str">
        <v/>
      </c>
    </row>
    <row r="6092" spans="1:13" ht="14.4">
      <c r="A6092" s="201"/>
      <c r="B6092" s="209"/>
      <c r="C6092" s="201"/>
      <c r="D6092" s="201"/>
      <c r="E6092" s="202"/>
      <c r="F6092" s="210"/>
      <c r="G6092" s="210"/>
      <c r="H6092" s="206" t="s">
        <v>121</v>
      </c>
      <c r="I6092" s="206" t="s">
        <v>121</v>
      </c>
      <c r="J6092" s="206" t="s">
        <v>121</v>
      </c>
      <c r="K6092" s="206" t="s">
        <v>121</v>
      </c>
      <c r="L6092" s="206" t="str">
        <v/>
      </c>
      <c r="M6092" s="206" t="str">
        <v/>
      </c>
    </row>
    <row r="6093" spans="1:13" ht="14.4">
      <c r="A6093" s="201"/>
      <c r="B6093" s="209"/>
      <c r="C6093" s="201"/>
      <c r="D6093" s="201"/>
      <c r="E6093" s="202"/>
      <c r="F6093" s="210"/>
      <c r="G6093" s="210"/>
      <c r="H6093" s="206" t="s">
        <v>121</v>
      </c>
      <c r="I6093" s="206" t="s">
        <v>121</v>
      </c>
      <c r="J6093" s="206" t="s">
        <v>121</v>
      </c>
      <c r="K6093" s="206" t="s">
        <v>121</v>
      </c>
      <c r="L6093" s="206" t="str">
        <v/>
      </c>
      <c r="M6093" s="206" t="str">
        <v/>
      </c>
    </row>
    <row r="6094" spans="1:13" ht="14.4">
      <c r="A6094" s="201"/>
      <c r="B6094" s="209"/>
      <c r="C6094" s="201"/>
      <c r="D6094" s="201"/>
      <c r="E6094" s="202"/>
      <c r="F6094" s="210"/>
      <c r="G6094" s="210"/>
      <c r="H6094" s="206" t="s">
        <v>121</v>
      </c>
      <c r="I6094" s="206" t="s">
        <v>121</v>
      </c>
      <c r="J6094" s="206" t="s">
        <v>121</v>
      </c>
      <c r="K6094" s="206" t="s">
        <v>121</v>
      </c>
      <c r="L6094" s="206" t="str">
        <v/>
      </c>
      <c r="M6094" s="206" t="str">
        <v/>
      </c>
    </row>
    <row r="6095" spans="1:13" ht="14.4">
      <c r="A6095" s="201"/>
      <c r="B6095" s="209"/>
      <c r="C6095" s="201"/>
      <c r="D6095" s="201"/>
      <c r="E6095" s="202"/>
      <c r="F6095" s="210"/>
      <c r="G6095" s="210"/>
      <c r="H6095" s="206" t="s">
        <v>121</v>
      </c>
      <c r="I6095" s="206" t="s">
        <v>121</v>
      </c>
      <c r="J6095" s="206" t="s">
        <v>121</v>
      </c>
      <c r="K6095" s="206" t="s">
        <v>121</v>
      </c>
      <c r="L6095" s="206" t="str">
        <v/>
      </c>
      <c r="M6095" s="206" t="str">
        <v/>
      </c>
    </row>
    <row r="6096" spans="1:13" ht="14.4">
      <c r="A6096" s="201"/>
      <c r="B6096" s="209"/>
      <c r="C6096" s="201"/>
      <c r="D6096" s="201"/>
      <c r="E6096" s="202"/>
      <c r="F6096" s="210"/>
      <c r="G6096" s="210"/>
      <c r="H6096" s="206" t="s">
        <v>121</v>
      </c>
      <c r="I6096" s="206" t="s">
        <v>121</v>
      </c>
      <c r="J6096" s="206" t="s">
        <v>121</v>
      </c>
      <c r="K6096" s="206" t="s">
        <v>121</v>
      </c>
      <c r="L6096" s="206" t="str">
        <v/>
      </c>
      <c r="M6096" s="206" t="str">
        <v/>
      </c>
    </row>
    <row r="6097" spans="1:13" ht="14.4">
      <c r="A6097" s="201"/>
      <c r="B6097" s="209"/>
      <c r="C6097" s="201"/>
      <c r="D6097" s="201"/>
      <c r="E6097" s="202"/>
      <c r="F6097" s="210"/>
      <c r="G6097" s="210"/>
      <c r="H6097" s="206" t="s">
        <v>121</v>
      </c>
      <c r="I6097" s="206" t="s">
        <v>121</v>
      </c>
      <c r="J6097" s="206" t="s">
        <v>121</v>
      </c>
      <c r="K6097" s="206" t="s">
        <v>121</v>
      </c>
      <c r="L6097" s="206" t="str">
        <v/>
      </c>
      <c r="M6097" s="206" t="str">
        <v/>
      </c>
    </row>
    <row r="6098" spans="1:13" ht="14.4">
      <c r="A6098" s="201"/>
      <c r="B6098" s="209"/>
      <c r="C6098" s="201"/>
      <c r="D6098" s="201"/>
      <c r="E6098" s="202"/>
      <c r="F6098" s="210"/>
      <c r="G6098" s="210"/>
      <c r="H6098" s="206" t="s">
        <v>121</v>
      </c>
      <c r="I6098" s="206" t="s">
        <v>121</v>
      </c>
      <c r="J6098" s="206" t="s">
        <v>121</v>
      </c>
      <c r="K6098" s="206" t="s">
        <v>121</v>
      </c>
      <c r="L6098" s="206" t="str">
        <v/>
      </c>
      <c r="M6098" s="206" t="str">
        <v/>
      </c>
    </row>
    <row r="6099" spans="1:13" ht="14.4">
      <c r="A6099" s="201"/>
      <c r="B6099" s="209"/>
      <c r="C6099" s="201"/>
      <c r="D6099" s="201"/>
      <c r="E6099" s="202"/>
      <c r="F6099" s="210"/>
      <c r="G6099" s="210"/>
      <c r="H6099" s="206" t="s">
        <v>121</v>
      </c>
      <c r="I6099" s="206" t="s">
        <v>121</v>
      </c>
      <c r="J6099" s="206" t="s">
        <v>121</v>
      </c>
      <c r="K6099" s="206" t="s">
        <v>121</v>
      </c>
      <c r="L6099" s="206" t="str">
        <v/>
      </c>
      <c r="M6099" s="206" t="str">
        <v/>
      </c>
    </row>
    <row r="6100" spans="1:13" ht="14.4">
      <c r="A6100" s="201"/>
      <c r="B6100" s="209"/>
      <c r="C6100" s="201"/>
      <c r="D6100" s="201"/>
      <c r="E6100" s="202"/>
      <c r="F6100" s="210"/>
      <c r="G6100" s="210"/>
      <c r="H6100" s="206" t="s">
        <v>121</v>
      </c>
      <c r="I6100" s="206" t="s">
        <v>121</v>
      </c>
      <c r="J6100" s="206" t="s">
        <v>121</v>
      </c>
      <c r="K6100" s="206" t="s">
        <v>121</v>
      </c>
      <c r="L6100" s="206" t="str">
        <v/>
      </c>
      <c r="M6100" s="206" t="str">
        <v/>
      </c>
    </row>
    <row r="6101" spans="1:13" ht="14.4">
      <c r="A6101" s="201"/>
      <c r="B6101" s="209"/>
      <c r="C6101" s="201"/>
      <c r="D6101" s="201"/>
      <c r="E6101" s="202"/>
      <c r="F6101" s="210"/>
      <c r="G6101" s="210"/>
      <c r="H6101" s="206" t="s">
        <v>121</v>
      </c>
      <c r="I6101" s="206" t="s">
        <v>121</v>
      </c>
      <c r="J6101" s="206" t="s">
        <v>121</v>
      </c>
      <c r="K6101" s="206" t="s">
        <v>121</v>
      </c>
      <c r="L6101" s="206" t="str">
        <v/>
      </c>
      <c r="M6101" s="206" t="str">
        <v/>
      </c>
    </row>
    <row r="6102" spans="1:13" ht="14.4">
      <c r="A6102" s="201"/>
      <c r="B6102" s="209"/>
      <c r="C6102" s="201"/>
      <c r="D6102" s="201"/>
      <c r="E6102" s="202"/>
      <c r="F6102" s="210"/>
      <c r="G6102" s="210"/>
      <c r="H6102" s="206" t="s">
        <v>121</v>
      </c>
      <c r="I6102" s="206" t="s">
        <v>121</v>
      </c>
      <c r="J6102" s="206" t="s">
        <v>121</v>
      </c>
      <c r="K6102" s="206" t="s">
        <v>121</v>
      </c>
      <c r="L6102" s="206" t="str">
        <v/>
      </c>
      <c r="M6102" s="206" t="str">
        <v/>
      </c>
    </row>
    <row r="6103" spans="1:13" ht="14.4">
      <c r="A6103" s="201"/>
      <c r="B6103" s="209"/>
      <c r="C6103" s="201"/>
      <c r="D6103" s="201"/>
      <c r="E6103" s="202"/>
      <c r="F6103" s="210"/>
      <c r="G6103" s="210"/>
      <c r="H6103" s="206" t="s">
        <v>121</v>
      </c>
      <c r="I6103" s="206" t="s">
        <v>121</v>
      </c>
      <c r="J6103" s="206" t="s">
        <v>121</v>
      </c>
      <c r="K6103" s="206" t="s">
        <v>121</v>
      </c>
      <c r="L6103" s="206" t="str">
        <v/>
      </c>
      <c r="M6103" s="206" t="str">
        <v/>
      </c>
    </row>
    <row r="6104" spans="1:13" ht="14.4">
      <c r="A6104" s="201"/>
      <c r="B6104" s="209"/>
      <c r="C6104" s="201"/>
      <c r="D6104" s="201"/>
      <c r="E6104" s="202"/>
      <c r="F6104" s="210"/>
      <c r="G6104" s="210"/>
      <c r="H6104" s="206" t="s">
        <v>121</v>
      </c>
      <c r="I6104" s="206" t="s">
        <v>121</v>
      </c>
      <c r="J6104" s="206" t="s">
        <v>121</v>
      </c>
      <c r="K6104" s="206" t="s">
        <v>121</v>
      </c>
      <c r="L6104" s="206" t="str">
        <v/>
      </c>
      <c r="M6104" s="206" t="str">
        <v/>
      </c>
    </row>
    <row r="6105" spans="1:13" ht="14.4">
      <c r="A6105" s="201"/>
      <c r="B6105" s="209"/>
      <c r="C6105" s="201"/>
      <c r="D6105" s="201"/>
      <c r="E6105" s="202"/>
      <c r="F6105" s="210"/>
      <c r="G6105" s="210"/>
      <c r="H6105" s="206" t="s">
        <v>121</v>
      </c>
      <c r="I6105" s="206" t="s">
        <v>121</v>
      </c>
      <c r="J6105" s="206" t="s">
        <v>121</v>
      </c>
      <c r="K6105" s="206" t="s">
        <v>121</v>
      </c>
      <c r="L6105" s="206" t="str">
        <v/>
      </c>
      <c r="M6105" s="206" t="str">
        <v/>
      </c>
    </row>
    <row r="6106" spans="1:13" ht="14.4">
      <c r="A6106" s="201"/>
      <c r="B6106" s="209"/>
      <c r="C6106" s="201"/>
      <c r="D6106" s="201"/>
      <c r="E6106" s="202"/>
      <c r="F6106" s="210"/>
      <c r="G6106" s="210"/>
      <c r="H6106" s="206" t="s">
        <v>121</v>
      </c>
      <c r="I6106" s="206" t="s">
        <v>121</v>
      </c>
      <c r="J6106" s="206" t="s">
        <v>121</v>
      </c>
      <c r="K6106" s="206" t="s">
        <v>121</v>
      </c>
      <c r="L6106" s="206" t="str">
        <v/>
      </c>
      <c r="M6106" s="206" t="str">
        <v/>
      </c>
    </row>
    <row r="6107" spans="1:13" ht="14.4">
      <c r="A6107" s="201"/>
      <c r="B6107" s="209"/>
      <c r="C6107" s="201"/>
      <c r="D6107" s="201"/>
      <c r="E6107" s="202"/>
      <c r="F6107" s="210"/>
      <c r="G6107" s="210"/>
      <c r="H6107" s="206" t="s">
        <v>121</v>
      </c>
      <c r="I6107" s="206" t="s">
        <v>121</v>
      </c>
      <c r="J6107" s="206" t="s">
        <v>121</v>
      </c>
      <c r="K6107" s="206" t="s">
        <v>121</v>
      </c>
      <c r="L6107" s="206" t="str">
        <v/>
      </c>
      <c r="M6107" s="206" t="str">
        <v/>
      </c>
    </row>
    <row r="6108" spans="1:13" ht="14.4">
      <c r="A6108" s="201"/>
      <c r="B6108" s="209"/>
      <c r="C6108" s="201"/>
      <c r="D6108" s="201"/>
      <c r="E6108" s="202"/>
      <c r="F6108" s="210"/>
      <c r="G6108" s="210"/>
      <c r="H6108" s="206" t="s">
        <v>121</v>
      </c>
      <c r="I6108" s="206" t="s">
        <v>121</v>
      </c>
      <c r="J6108" s="206" t="s">
        <v>121</v>
      </c>
      <c r="K6108" s="206" t="s">
        <v>121</v>
      </c>
      <c r="L6108" s="206" t="str">
        <v/>
      </c>
      <c r="M6108" s="206" t="str">
        <v/>
      </c>
    </row>
    <row r="6109" spans="1:13" ht="14.4">
      <c r="A6109" s="201"/>
      <c r="B6109" s="209"/>
      <c r="C6109" s="201"/>
      <c r="D6109" s="201"/>
      <c r="E6109" s="202"/>
      <c r="F6109" s="210"/>
      <c r="G6109" s="210"/>
      <c r="H6109" s="206" t="s">
        <v>121</v>
      </c>
      <c r="I6109" s="206" t="s">
        <v>121</v>
      </c>
      <c r="J6109" s="206" t="s">
        <v>121</v>
      </c>
      <c r="K6109" s="206" t="s">
        <v>121</v>
      </c>
      <c r="L6109" s="206" t="str">
        <v/>
      </c>
      <c r="M6109" s="206" t="str">
        <v/>
      </c>
    </row>
    <row r="6110" spans="1:13" ht="14.4">
      <c r="A6110" s="201"/>
      <c r="B6110" s="209"/>
      <c r="C6110" s="201"/>
      <c r="D6110" s="201"/>
      <c r="E6110" s="202"/>
      <c r="F6110" s="210"/>
      <c r="G6110" s="210"/>
      <c r="H6110" s="206" t="s">
        <v>121</v>
      </c>
      <c r="I6110" s="206" t="s">
        <v>121</v>
      </c>
      <c r="J6110" s="206" t="s">
        <v>121</v>
      </c>
      <c r="K6110" s="206" t="s">
        <v>121</v>
      </c>
      <c r="L6110" s="206" t="str">
        <v/>
      </c>
      <c r="M6110" s="206" t="str">
        <v/>
      </c>
    </row>
    <row r="6111" spans="1:13" ht="14.4">
      <c r="A6111" s="201"/>
      <c r="B6111" s="209"/>
      <c r="C6111" s="201"/>
      <c r="D6111" s="201"/>
      <c r="E6111" s="202"/>
      <c r="F6111" s="210"/>
      <c r="G6111" s="210"/>
      <c r="H6111" s="206" t="s">
        <v>121</v>
      </c>
      <c r="I6111" s="206" t="s">
        <v>121</v>
      </c>
      <c r="J6111" s="206" t="s">
        <v>121</v>
      </c>
      <c r="K6111" s="206" t="s">
        <v>121</v>
      </c>
      <c r="L6111" s="206" t="str">
        <v/>
      </c>
      <c r="M6111" s="206" t="str">
        <v/>
      </c>
    </row>
    <row r="6112" spans="1:13" ht="14.4">
      <c r="A6112" s="201"/>
      <c r="B6112" s="209"/>
      <c r="C6112" s="201"/>
      <c r="D6112" s="201"/>
      <c r="E6112" s="202"/>
      <c r="F6112" s="210"/>
      <c r="G6112" s="210"/>
      <c r="H6112" s="206" t="s">
        <v>121</v>
      </c>
      <c r="I6112" s="206" t="s">
        <v>121</v>
      </c>
      <c r="J6112" s="206" t="s">
        <v>121</v>
      </c>
      <c r="K6112" s="206" t="s">
        <v>121</v>
      </c>
      <c r="L6112" s="206" t="str">
        <v/>
      </c>
      <c r="M6112" s="206" t="str">
        <v/>
      </c>
    </row>
    <row r="6113" spans="1:13" ht="14.4">
      <c r="A6113" s="201"/>
      <c r="B6113" s="209"/>
      <c r="C6113" s="201"/>
      <c r="D6113" s="201"/>
      <c r="E6113" s="202"/>
      <c r="F6113" s="210"/>
      <c r="G6113" s="210"/>
      <c r="H6113" s="206" t="s">
        <v>121</v>
      </c>
      <c r="I6113" s="206" t="s">
        <v>121</v>
      </c>
      <c r="J6113" s="206" t="s">
        <v>121</v>
      </c>
      <c r="K6113" s="206" t="s">
        <v>121</v>
      </c>
      <c r="L6113" s="206" t="str">
        <v/>
      </c>
      <c r="M6113" s="206" t="str">
        <v/>
      </c>
    </row>
    <row r="6114" spans="1:13" ht="14.4">
      <c r="A6114" s="201"/>
      <c r="B6114" s="209"/>
      <c r="C6114" s="201"/>
      <c r="D6114" s="201"/>
      <c r="E6114" s="202"/>
      <c r="F6114" s="210"/>
      <c r="G6114" s="210"/>
      <c r="H6114" s="206" t="s">
        <v>121</v>
      </c>
      <c r="I6114" s="206" t="s">
        <v>121</v>
      </c>
      <c r="J6114" s="206" t="s">
        <v>121</v>
      </c>
      <c r="K6114" s="206" t="s">
        <v>121</v>
      </c>
      <c r="L6114" s="206" t="str">
        <v/>
      </c>
      <c r="M6114" s="206" t="str">
        <v/>
      </c>
    </row>
    <row r="6115" spans="1:13" ht="14.4">
      <c r="A6115" s="201"/>
      <c r="B6115" s="209"/>
      <c r="C6115" s="201"/>
      <c r="D6115" s="201"/>
      <c r="E6115" s="202"/>
      <c r="F6115" s="210"/>
      <c r="G6115" s="210"/>
      <c r="H6115" s="206" t="s">
        <v>121</v>
      </c>
      <c r="I6115" s="206" t="s">
        <v>121</v>
      </c>
      <c r="J6115" s="206" t="s">
        <v>121</v>
      </c>
      <c r="K6115" s="206" t="s">
        <v>121</v>
      </c>
      <c r="L6115" s="206" t="str">
        <v/>
      </c>
      <c r="M6115" s="206" t="str">
        <v/>
      </c>
    </row>
    <row r="6116" spans="1:13" ht="14.4">
      <c r="A6116" s="201"/>
      <c r="B6116" s="209"/>
      <c r="C6116" s="201"/>
      <c r="D6116" s="201"/>
      <c r="E6116" s="202"/>
      <c r="F6116" s="210"/>
      <c r="G6116" s="210"/>
      <c r="H6116" s="206" t="s">
        <v>121</v>
      </c>
      <c r="I6116" s="206" t="s">
        <v>121</v>
      </c>
      <c r="J6116" s="206" t="s">
        <v>121</v>
      </c>
      <c r="K6116" s="206" t="s">
        <v>121</v>
      </c>
      <c r="L6116" s="206" t="str">
        <v/>
      </c>
      <c r="M6116" s="206" t="str">
        <v/>
      </c>
    </row>
    <row r="6117" spans="1:13" ht="14.4">
      <c r="A6117" s="201"/>
      <c r="B6117" s="209"/>
      <c r="C6117" s="201"/>
      <c r="D6117" s="201"/>
      <c r="E6117" s="202"/>
      <c r="F6117" s="210"/>
      <c r="G6117" s="210"/>
      <c r="H6117" s="206" t="s">
        <v>121</v>
      </c>
      <c r="I6117" s="206" t="s">
        <v>121</v>
      </c>
      <c r="J6117" s="206" t="s">
        <v>121</v>
      </c>
      <c r="K6117" s="206" t="s">
        <v>121</v>
      </c>
      <c r="L6117" s="206" t="str">
        <v/>
      </c>
      <c r="M6117" s="206" t="str">
        <v/>
      </c>
    </row>
    <row r="6118" spans="1:13" ht="14.4">
      <c r="A6118" s="201"/>
      <c r="B6118" s="209"/>
      <c r="C6118" s="201"/>
      <c r="D6118" s="201"/>
      <c r="E6118" s="202"/>
      <c r="F6118" s="210"/>
      <c r="G6118" s="210"/>
      <c r="H6118" s="206" t="s">
        <v>121</v>
      </c>
      <c r="I6118" s="206" t="s">
        <v>121</v>
      </c>
      <c r="J6118" s="206" t="s">
        <v>121</v>
      </c>
      <c r="K6118" s="206" t="s">
        <v>121</v>
      </c>
      <c r="L6118" s="206" t="str">
        <v/>
      </c>
      <c r="M6118" s="206" t="str">
        <v/>
      </c>
    </row>
    <row r="6119" spans="1:13" ht="14.4">
      <c r="A6119" s="201"/>
      <c r="B6119" s="209"/>
      <c r="C6119" s="201"/>
      <c r="D6119" s="201"/>
      <c r="E6119" s="202"/>
      <c r="F6119" s="210"/>
      <c r="G6119" s="210"/>
      <c r="H6119" s="206" t="s">
        <v>121</v>
      </c>
      <c r="I6119" s="206" t="s">
        <v>121</v>
      </c>
      <c r="J6119" s="206" t="s">
        <v>121</v>
      </c>
      <c r="K6119" s="206" t="s">
        <v>121</v>
      </c>
      <c r="L6119" s="206" t="str">
        <v/>
      </c>
      <c r="M6119" s="206" t="str">
        <v/>
      </c>
    </row>
    <row r="6120" spans="1:13" ht="14.4">
      <c r="A6120" s="201"/>
      <c r="B6120" s="209"/>
      <c r="C6120" s="201"/>
      <c r="D6120" s="201"/>
      <c r="E6120" s="202"/>
      <c r="F6120" s="210"/>
      <c r="G6120" s="210"/>
      <c r="H6120" s="206" t="s">
        <v>121</v>
      </c>
      <c r="I6120" s="206" t="s">
        <v>121</v>
      </c>
      <c r="J6120" s="206" t="s">
        <v>121</v>
      </c>
      <c r="K6120" s="206" t="s">
        <v>121</v>
      </c>
      <c r="L6120" s="206" t="str">
        <v/>
      </c>
      <c r="M6120" s="206" t="str">
        <v/>
      </c>
    </row>
    <row r="6121" spans="1:13" ht="14.4">
      <c r="A6121" s="201"/>
      <c r="B6121" s="209"/>
      <c r="C6121" s="201"/>
      <c r="D6121" s="201"/>
      <c r="E6121" s="202"/>
      <c r="F6121" s="210"/>
      <c r="G6121" s="210"/>
      <c r="H6121" s="206" t="s">
        <v>121</v>
      </c>
      <c r="I6121" s="206" t="s">
        <v>121</v>
      </c>
      <c r="J6121" s="206" t="s">
        <v>121</v>
      </c>
      <c r="K6121" s="206" t="s">
        <v>121</v>
      </c>
      <c r="L6121" s="206" t="str">
        <v/>
      </c>
      <c r="M6121" s="206" t="str">
        <v/>
      </c>
    </row>
    <row r="6122" spans="1:13" ht="14.4">
      <c r="A6122" s="201"/>
      <c r="B6122" s="209"/>
      <c r="C6122" s="201"/>
      <c r="D6122" s="201"/>
      <c r="E6122" s="202"/>
      <c r="F6122" s="210"/>
      <c r="G6122" s="210"/>
      <c r="H6122" s="206" t="s">
        <v>121</v>
      </c>
      <c r="I6122" s="206" t="s">
        <v>121</v>
      </c>
      <c r="J6122" s="206" t="s">
        <v>121</v>
      </c>
      <c r="K6122" s="206" t="s">
        <v>121</v>
      </c>
      <c r="L6122" s="206" t="str">
        <v/>
      </c>
      <c r="M6122" s="206" t="str">
        <v/>
      </c>
    </row>
    <row r="6123" spans="1:13" ht="14.4">
      <c r="A6123" s="201"/>
      <c r="B6123" s="209"/>
      <c r="C6123" s="201"/>
      <c r="D6123" s="201"/>
      <c r="E6123" s="202"/>
      <c r="F6123" s="210"/>
      <c r="G6123" s="210"/>
      <c r="H6123" s="206" t="s">
        <v>121</v>
      </c>
      <c r="I6123" s="206" t="s">
        <v>121</v>
      </c>
      <c r="J6123" s="206" t="s">
        <v>121</v>
      </c>
      <c r="K6123" s="206" t="s">
        <v>121</v>
      </c>
      <c r="L6123" s="206" t="str">
        <v/>
      </c>
      <c r="M6123" s="206" t="str">
        <v/>
      </c>
    </row>
    <row r="6124" spans="1:13" ht="14.4">
      <c r="A6124" s="201"/>
      <c r="B6124" s="209"/>
      <c r="C6124" s="201"/>
      <c r="D6124" s="201"/>
      <c r="E6124" s="202"/>
      <c r="F6124" s="210"/>
      <c r="G6124" s="210"/>
      <c r="H6124" s="206" t="s">
        <v>121</v>
      </c>
      <c r="I6124" s="206" t="s">
        <v>121</v>
      </c>
      <c r="J6124" s="206" t="s">
        <v>121</v>
      </c>
      <c r="K6124" s="206" t="s">
        <v>121</v>
      </c>
      <c r="L6124" s="206" t="str">
        <v/>
      </c>
      <c r="M6124" s="206" t="str">
        <v/>
      </c>
    </row>
    <row r="6125" spans="1:13" ht="14.4">
      <c r="A6125" s="201"/>
      <c r="B6125" s="209"/>
      <c r="C6125" s="201"/>
      <c r="D6125" s="201"/>
      <c r="E6125" s="202"/>
      <c r="F6125" s="210"/>
      <c r="G6125" s="210"/>
      <c r="H6125" s="206" t="s">
        <v>121</v>
      </c>
      <c r="I6125" s="206" t="s">
        <v>121</v>
      </c>
      <c r="J6125" s="206" t="s">
        <v>121</v>
      </c>
      <c r="K6125" s="206" t="s">
        <v>121</v>
      </c>
      <c r="L6125" s="206" t="str">
        <v/>
      </c>
      <c r="M6125" s="206" t="str">
        <v/>
      </c>
    </row>
    <row r="6126" spans="1:13" ht="14.4">
      <c r="A6126" s="201"/>
      <c r="B6126" s="209"/>
      <c r="C6126" s="201"/>
      <c r="D6126" s="201"/>
      <c r="E6126" s="202"/>
      <c r="F6126" s="210"/>
      <c r="G6126" s="210"/>
      <c r="H6126" s="206" t="s">
        <v>121</v>
      </c>
      <c r="I6126" s="206" t="s">
        <v>121</v>
      </c>
      <c r="J6126" s="206" t="s">
        <v>121</v>
      </c>
      <c r="K6126" s="206" t="s">
        <v>121</v>
      </c>
      <c r="L6126" s="206" t="str">
        <v/>
      </c>
      <c r="M6126" s="206" t="str">
        <v/>
      </c>
    </row>
    <row r="6127" spans="1:13" ht="14.4">
      <c r="A6127" s="201"/>
      <c r="B6127" s="209"/>
      <c r="C6127" s="201"/>
      <c r="D6127" s="201"/>
      <c r="E6127" s="202"/>
      <c r="F6127" s="210"/>
      <c r="G6127" s="210"/>
      <c r="H6127" s="206" t="s">
        <v>121</v>
      </c>
      <c r="I6127" s="206" t="s">
        <v>121</v>
      </c>
      <c r="J6127" s="206" t="s">
        <v>121</v>
      </c>
      <c r="K6127" s="206" t="s">
        <v>121</v>
      </c>
      <c r="L6127" s="206" t="str">
        <v/>
      </c>
      <c r="M6127" s="206" t="str">
        <v/>
      </c>
    </row>
    <row r="6128" spans="1:13" ht="14.4">
      <c r="A6128" s="201"/>
      <c r="B6128" s="209"/>
      <c r="C6128" s="201"/>
      <c r="D6128" s="201"/>
      <c r="E6128" s="202"/>
      <c r="F6128" s="210"/>
      <c r="G6128" s="210"/>
      <c r="H6128" s="206" t="s">
        <v>121</v>
      </c>
      <c r="I6128" s="206" t="s">
        <v>121</v>
      </c>
      <c r="J6128" s="206" t="s">
        <v>121</v>
      </c>
      <c r="K6128" s="206" t="s">
        <v>121</v>
      </c>
      <c r="L6128" s="206" t="str">
        <v/>
      </c>
      <c r="M6128" s="206" t="str">
        <v/>
      </c>
    </row>
    <row r="6129" spans="1:13" ht="14.4">
      <c r="A6129" s="201"/>
      <c r="B6129" s="209"/>
      <c r="C6129" s="201"/>
      <c r="D6129" s="201"/>
      <c r="E6129" s="202"/>
      <c r="F6129" s="210"/>
      <c r="G6129" s="210"/>
      <c r="H6129" s="206" t="s">
        <v>121</v>
      </c>
      <c r="I6129" s="206" t="s">
        <v>121</v>
      </c>
      <c r="J6129" s="206" t="s">
        <v>121</v>
      </c>
      <c r="K6129" s="206" t="s">
        <v>121</v>
      </c>
      <c r="L6129" s="206" t="str">
        <v/>
      </c>
      <c r="M6129" s="206" t="str">
        <v/>
      </c>
    </row>
    <row r="6130" spans="1:13" ht="14.4">
      <c r="A6130" s="201"/>
      <c r="B6130" s="209"/>
      <c r="C6130" s="201"/>
      <c r="D6130" s="201"/>
      <c r="E6130" s="202"/>
      <c r="F6130" s="210"/>
      <c r="G6130" s="210"/>
      <c r="H6130" s="206" t="s">
        <v>121</v>
      </c>
      <c r="I6130" s="206" t="s">
        <v>121</v>
      </c>
      <c r="J6130" s="206" t="s">
        <v>121</v>
      </c>
      <c r="K6130" s="206" t="s">
        <v>121</v>
      </c>
      <c r="L6130" s="206" t="str">
        <v/>
      </c>
      <c r="M6130" s="206" t="str">
        <v/>
      </c>
    </row>
    <row r="6131" spans="1:13" ht="14.4">
      <c r="A6131" s="201"/>
      <c r="B6131" s="209"/>
      <c r="C6131" s="201"/>
      <c r="D6131" s="201"/>
      <c r="E6131" s="202"/>
      <c r="F6131" s="210"/>
      <c r="G6131" s="210"/>
      <c r="H6131" s="206" t="s">
        <v>121</v>
      </c>
      <c r="I6131" s="206" t="s">
        <v>121</v>
      </c>
      <c r="J6131" s="206" t="s">
        <v>121</v>
      </c>
      <c r="K6131" s="206" t="s">
        <v>121</v>
      </c>
      <c r="L6131" s="206" t="str">
        <v/>
      </c>
      <c r="M6131" s="206" t="str">
        <v/>
      </c>
    </row>
    <row r="6132" spans="1:13" ht="14.4">
      <c r="A6132" s="201"/>
      <c r="B6132" s="209"/>
      <c r="C6132" s="201"/>
      <c r="D6132" s="201"/>
      <c r="E6132" s="202"/>
      <c r="F6132" s="210"/>
      <c r="G6132" s="210"/>
      <c r="H6132" s="206" t="s">
        <v>121</v>
      </c>
      <c r="I6132" s="206" t="s">
        <v>121</v>
      </c>
      <c r="J6132" s="206" t="s">
        <v>121</v>
      </c>
      <c r="K6132" s="206" t="s">
        <v>121</v>
      </c>
      <c r="L6132" s="206" t="str">
        <v/>
      </c>
      <c r="M6132" s="206" t="str">
        <v/>
      </c>
    </row>
    <row r="6133" spans="1:13" ht="14.4">
      <c r="A6133" s="201"/>
      <c r="B6133" s="209"/>
      <c r="C6133" s="201"/>
      <c r="D6133" s="201"/>
      <c r="E6133" s="202"/>
      <c r="F6133" s="210"/>
      <c r="G6133" s="210"/>
      <c r="H6133" s="206" t="s">
        <v>121</v>
      </c>
      <c r="I6133" s="206" t="s">
        <v>121</v>
      </c>
      <c r="J6133" s="206" t="s">
        <v>121</v>
      </c>
      <c r="K6133" s="206" t="s">
        <v>121</v>
      </c>
      <c r="L6133" s="206" t="str">
        <v/>
      </c>
      <c r="M6133" s="206" t="str">
        <v/>
      </c>
    </row>
    <row r="6134" spans="1:13" ht="14.4">
      <c r="A6134" s="201"/>
      <c r="B6134" s="209"/>
      <c r="C6134" s="201"/>
      <c r="D6134" s="201"/>
      <c r="E6134" s="202"/>
      <c r="F6134" s="210"/>
      <c r="G6134" s="210"/>
      <c r="H6134" s="206" t="s">
        <v>121</v>
      </c>
      <c r="I6134" s="206" t="s">
        <v>121</v>
      </c>
      <c r="J6134" s="206" t="s">
        <v>121</v>
      </c>
      <c r="K6134" s="206" t="s">
        <v>121</v>
      </c>
      <c r="L6134" s="206" t="str">
        <v/>
      </c>
      <c r="M6134" s="206" t="str">
        <v/>
      </c>
    </row>
    <row r="6135" spans="1:13" ht="14.4">
      <c r="A6135" s="201"/>
      <c r="B6135" s="209"/>
      <c r="C6135" s="201"/>
      <c r="D6135" s="201"/>
      <c r="E6135" s="202"/>
      <c r="F6135" s="210"/>
      <c r="G6135" s="210"/>
      <c r="H6135" s="206" t="s">
        <v>121</v>
      </c>
      <c r="I6135" s="206" t="s">
        <v>121</v>
      </c>
      <c r="J6135" s="206" t="s">
        <v>121</v>
      </c>
      <c r="K6135" s="206" t="s">
        <v>121</v>
      </c>
      <c r="L6135" s="206" t="str">
        <v/>
      </c>
      <c r="M6135" s="206" t="str">
        <v/>
      </c>
    </row>
    <row r="6136" spans="1:13" ht="14.4">
      <c r="A6136" s="201"/>
      <c r="B6136" s="209"/>
      <c r="C6136" s="201"/>
      <c r="D6136" s="201"/>
      <c r="E6136" s="202"/>
      <c r="F6136" s="210"/>
      <c r="G6136" s="210"/>
      <c r="H6136" s="206" t="s">
        <v>121</v>
      </c>
      <c r="I6136" s="206" t="s">
        <v>121</v>
      </c>
      <c r="J6136" s="206" t="s">
        <v>121</v>
      </c>
      <c r="K6136" s="206" t="s">
        <v>121</v>
      </c>
      <c r="L6136" s="206" t="str">
        <v/>
      </c>
      <c r="M6136" s="206" t="str">
        <v/>
      </c>
    </row>
    <row r="6137" spans="1:13" ht="14.4">
      <c r="A6137" s="201"/>
      <c r="B6137" s="209"/>
      <c r="C6137" s="201"/>
      <c r="D6137" s="201"/>
      <c r="E6137" s="202"/>
      <c r="F6137" s="210"/>
      <c r="G6137" s="210"/>
      <c r="H6137" s="206" t="s">
        <v>121</v>
      </c>
      <c r="I6137" s="206" t="s">
        <v>121</v>
      </c>
      <c r="J6137" s="206" t="s">
        <v>121</v>
      </c>
      <c r="K6137" s="206" t="s">
        <v>121</v>
      </c>
      <c r="L6137" s="206" t="str">
        <v/>
      </c>
      <c r="M6137" s="206" t="str">
        <v/>
      </c>
    </row>
    <row r="6138" spans="1:13" ht="14.4">
      <c r="A6138" s="201"/>
      <c r="B6138" s="209"/>
      <c r="C6138" s="201"/>
      <c r="D6138" s="201"/>
      <c r="E6138" s="202"/>
      <c r="F6138" s="210"/>
      <c r="G6138" s="210"/>
      <c r="H6138" s="206" t="s">
        <v>121</v>
      </c>
      <c r="I6138" s="206" t="s">
        <v>121</v>
      </c>
      <c r="J6138" s="206" t="s">
        <v>121</v>
      </c>
      <c r="K6138" s="206" t="s">
        <v>121</v>
      </c>
      <c r="L6138" s="206" t="str">
        <v/>
      </c>
      <c r="M6138" s="206" t="str">
        <v/>
      </c>
    </row>
    <row r="6139" spans="1:13" ht="14.4">
      <c r="A6139" s="201"/>
      <c r="B6139" s="209"/>
      <c r="C6139" s="201"/>
      <c r="D6139" s="201"/>
      <c r="E6139" s="202"/>
      <c r="F6139" s="210"/>
      <c r="G6139" s="210"/>
      <c r="H6139" s="206" t="s">
        <v>121</v>
      </c>
      <c r="I6139" s="206" t="s">
        <v>121</v>
      </c>
      <c r="J6139" s="206" t="s">
        <v>121</v>
      </c>
      <c r="K6139" s="206" t="s">
        <v>121</v>
      </c>
      <c r="L6139" s="206" t="str">
        <v/>
      </c>
      <c r="M6139" s="206" t="str">
        <v/>
      </c>
    </row>
    <row r="6140" spans="1:13" ht="14.4">
      <c r="A6140" s="201"/>
      <c r="B6140" s="209"/>
      <c r="C6140" s="201"/>
      <c r="D6140" s="201"/>
      <c r="E6140" s="202"/>
      <c r="F6140" s="210"/>
      <c r="G6140" s="210"/>
      <c r="H6140" s="206" t="s">
        <v>121</v>
      </c>
      <c r="I6140" s="206" t="s">
        <v>121</v>
      </c>
      <c r="J6140" s="206" t="s">
        <v>121</v>
      </c>
      <c r="K6140" s="206" t="s">
        <v>121</v>
      </c>
      <c r="L6140" s="206" t="str">
        <v/>
      </c>
      <c r="M6140" s="206" t="str">
        <v/>
      </c>
    </row>
    <row r="6141" spans="1:13" ht="14.4">
      <c r="A6141" s="201"/>
      <c r="B6141" s="209"/>
      <c r="C6141" s="201"/>
      <c r="D6141" s="201"/>
      <c r="E6141" s="202"/>
      <c r="F6141" s="210"/>
      <c r="G6141" s="210"/>
      <c r="H6141" s="206" t="s">
        <v>121</v>
      </c>
      <c r="I6141" s="206" t="s">
        <v>121</v>
      </c>
      <c r="J6141" s="206" t="s">
        <v>121</v>
      </c>
      <c r="K6141" s="206" t="s">
        <v>121</v>
      </c>
      <c r="L6141" s="206" t="str">
        <v/>
      </c>
      <c r="M6141" s="206" t="str">
        <v/>
      </c>
    </row>
    <row r="6142" spans="1:13" ht="14.4">
      <c r="A6142" s="201"/>
      <c r="B6142" s="209"/>
      <c r="C6142" s="201"/>
      <c r="D6142" s="201"/>
      <c r="E6142" s="202"/>
      <c r="F6142" s="210"/>
      <c r="G6142" s="210"/>
      <c r="H6142" s="206" t="s">
        <v>121</v>
      </c>
      <c r="I6142" s="206" t="s">
        <v>121</v>
      </c>
      <c r="J6142" s="206" t="s">
        <v>121</v>
      </c>
      <c r="K6142" s="206" t="s">
        <v>121</v>
      </c>
      <c r="L6142" s="206" t="str">
        <v/>
      </c>
      <c r="M6142" s="206" t="str">
        <v/>
      </c>
    </row>
    <row r="6143" spans="1:13" ht="14.4">
      <c r="A6143" s="201"/>
      <c r="B6143" s="209"/>
      <c r="C6143" s="201"/>
      <c r="D6143" s="201"/>
      <c r="E6143" s="202"/>
      <c r="F6143" s="210"/>
      <c r="G6143" s="210"/>
      <c r="H6143" s="206" t="s">
        <v>121</v>
      </c>
      <c r="I6143" s="206" t="s">
        <v>121</v>
      </c>
      <c r="J6143" s="206" t="s">
        <v>121</v>
      </c>
      <c r="K6143" s="206" t="s">
        <v>121</v>
      </c>
      <c r="L6143" s="206" t="str">
        <v/>
      </c>
      <c r="M6143" s="206" t="str">
        <v/>
      </c>
    </row>
    <row r="6144" spans="1:13" ht="14.4">
      <c r="A6144" s="201"/>
      <c r="B6144" s="209"/>
      <c r="C6144" s="201"/>
      <c r="D6144" s="201"/>
      <c r="E6144" s="202"/>
      <c r="F6144" s="210"/>
      <c r="G6144" s="210"/>
      <c r="H6144" s="206" t="s">
        <v>121</v>
      </c>
      <c r="I6144" s="206" t="s">
        <v>121</v>
      </c>
      <c r="J6144" s="206" t="s">
        <v>121</v>
      </c>
      <c r="K6144" s="206" t="s">
        <v>121</v>
      </c>
      <c r="L6144" s="206" t="str">
        <v/>
      </c>
      <c r="M6144" s="206" t="str">
        <v/>
      </c>
    </row>
    <row r="6145" spans="1:13" ht="14.4">
      <c r="A6145" s="201"/>
      <c r="B6145" s="209"/>
      <c r="C6145" s="201"/>
      <c r="D6145" s="201"/>
      <c r="E6145" s="202"/>
      <c r="F6145" s="210"/>
      <c r="G6145" s="210"/>
      <c r="H6145" s="206" t="s">
        <v>121</v>
      </c>
      <c r="I6145" s="206" t="s">
        <v>121</v>
      </c>
      <c r="J6145" s="206" t="s">
        <v>121</v>
      </c>
      <c r="K6145" s="206" t="s">
        <v>121</v>
      </c>
      <c r="L6145" s="206" t="str">
        <v/>
      </c>
      <c r="M6145" s="206" t="str">
        <v/>
      </c>
    </row>
    <row r="6146" spans="1:13" ht="14.4">
      <c r="A6146" s="201"/>
      <c r="B6146" s="209"/>
      <c r="C6146" s="201"/>
      <c r="D6146" s="201"/>
      <c r="E6146" s="202"/>
      <c r="F6146" s="210"/>
      <c r="G6146" s="210"/>
      <c r="H6146" s="206" t="s">
        <v>121</v>
      </c>
      <c r="I6146" s="206" t="s">
        <v>121</v>
      </c>
      <c r="J6146" s="206" t="s">
        <v>121</v>
      </c>
      <c r="K6146" s="206" t="s">
        <v>121</v>
      </c>
      <c r="L6146" s="206" t="str">
        <v/>
      </c>
      <c r="M6146" s="206" t="str">
        <v/>
      </c>
    </row>
    <row r="6147" spans="1:13" ht="14.4">
      <c r="A6147" s="201"/>
      <c r="B6147" s="209"/>
      <c r="C6147" s="201"/>
      <c r="D6147" s="201"/>
      <c r="E6147" s="202"/>
      <c r="F6147" s="210"/>
      <c r="G6147" s="210"/>
      <c r="H6147" s="206" t="s">
        <v>121</v>
      </c>
      <c r="I6147" s="206" t="s">
        <v>121</v>
      </c>
      <c r="J6147" s="206" t="s">
        <v>121</v>
      </c>
      <c r="K6147" s="206" t="s">
        <v>121</v>
      </c>
      <c r="L6147" s="206" t="str">
        <v/>
      </c>
      <c r="M6147" s="206" t="str">
        <v/>
      </c>
    </row>
    <row r="6148" spans="1:13" ht="14.4">
      <c r="A6148" s="201"/>
      <c r="B6148" s="209"/>
      <c r="C6148" s="201"/>
      <c r="D6148" s="201"/>
      <c r="E6148" s="202"/>
      <c r="F6148" s="210"/>
      <c r="G6148" s="210"/>
      <c r="H6148" s="206" t="s">
        <v>121</v>
      </c>
      <c r="I6148" s="206" t="s">
        <v>121</v>
      </c>
      <c r="J6148" s="206" t="s">
        <v>121</v>
      </c>
      <c r="K6148" s="206" t="s">
        <v>121</v>
      </c>
      <c r="L6148" s="206" t="str">
        <v/>
      </c>
      <c r="M6148" s="206" t="str">
        <v/>
      </c>
    </row>
    <row r="6149" spans="1:13" ht="14.4">
      <c r="A6149" s="201"/>
      <c r="B6149" s="209"/>
      <c r="C6149" s="201"/>
      <c r="D6149" s="201"/>
      <c r="E6149" s="202"/>
      <c r="F6149" s="210"/>
      <c r="G6149" s="210"/>
      <c r="H6149" s="206" t="s">
        <v>121</v>
      </c>
      <c r="I6149" s="206" t="s">
        <v>121</v>
      </c>
      <c r="J6149" s="206" t="s">
        <v>121</v>
      </c>
      <c r="K6149" s="206" t="s">
        <v>121</v>
      </c>
      <c r="L6149" s="206" t="str">
        <v/>
      </c>
      <c r="M6149" s="206" t="str">
        <v/>
      </c>
    </row>
    <row r="6150" spans="1:13" ht="14.4">
      <c r="A6150" s="201"/>
      <c r="B6150" s="209"/>
      <c r="C6150" s="201"/>
      <c r="D6150" s="201"/>
      <c r="E6150" s="202"/>
      <c r="F6150" s="210"/>
      <c r="G6150" s="210"/>
      <c r="H6150" s="206" t="s">
        <v>121</v>
      </c>
      <c r="I6150" s="206" t="s">
        <v>121</v>
      </c>
      <c r="J6150" s="206" t="s">
        <v>121</v>
      </c>
      <c r="K6150" s="206" t="s">
        <v>121</v>
      </c>
      <c r="L6150" s="206" t="str">
        <v/>
      </c>
      <c r="M6150" s="206" t="str">
        <v/>
      </c>
    </row>
    <row r="6151" spans="1:13" ht="14.4">
      <c r="A6151" s="201"/>
      <c r="B6151" s="209"/>
      <c r="C6151" s="201"/>
      <c r="D6151" s="201"/>
      <c r="E6151" s="202"/>
      <c r="F6151" s="210"/>
      <c r="G6151" s="210"/>
      <c r="H6151" s="206" t="s">
        <v>121</v>
      </c>
      <c r="I6151" s="206" t="s">
        <v>121</v>
      </c>
      <c r="J6151" s="206" t="s">
        <v>121</v>
      </c>
      <c r="K6151" s="206" t="s">
        <v>121</v>
      </c>
      <c r="L6151" s="206" t="str">
        <v/>
      </c>
      <c r="M6151" s="206" t="str">
        <v/>
      </c>
    </row>
    <row r="6152" spans="1:13" ht="14.4">
      <c r="A6152" s="201"/>
      <c r="B6152" s="209"/>
      <c r="C6152" s="201"/>
      <c r="D6152" s="201"/>
      <c r="E6152" s="202"/>
      <c r="F6152" s="210"/>
      <c r="G6152" s="210"/>
      <c r="H6152" s="206" t="s">
        <v>121</v>
      </c>
      <c r="I6152" s="206" t="s">
        <v>121</v>
      </c>
      <c r="J6152" s="206" t="s">
        <v>121</v>
      </c>
      <c r="K6152" s="206" t="s">
        <v>121</v>
      </c>
      <c r="L6152" s="206" t="str">
        <v/>
      </c>
      <c r="M6152" s="206" t="str">
        <v/>
      </c>
    </row>
    <row r="6153" spans="1:13" ht="14.4">
      <c r="A6153" s="201"/>
      <c r="B6153" s="209"/>
      <c r="C6153" s="201"/>
      <c r="D6153" s="201"/>
      <c r="E6153" s="202"/>
      <c r="F6153" s="210"/>
      <c r="G6153" s="210"/>
      <c r="H6153" s="206" t="s">
        <v>121</v>
      </c>
      <c r="I6153" s="206" t="s">
        <v>121</v>
      </c>
      <c r="J6153" s="206" t="s">
        <v>121</v>
      </c>
      <c r="K6153" s="206" t="s">
        <v>121</v>
      </c>
      <c r="L6153" s="206" t="str">
        <v/>
      </c>
      <c r="M6153" s="206" t="str">
        <v/>
      </c>
    </row>
    <row r="6154" spans="1:13" ht="14.4">
      <c r="A6154" s="201"/>
      <c r="B6154" s="209"/>
      <c r="C6154" s="201"/>
      <c r="D6154" s="201"/>
      <c r="E6154" s="202"/>
      <c r="F6154" s="210"/>
      <c r="G6154" s="210"/>
      <c r="H6154" s="206" t="s">
        <v>121</v>
      </c>
      <c r="I6154" s="206" t="s">
        <v>121</v>
      </c>
      <c r="J6154" s="206" t="s">
        <v>121</v>
      </c>
      <c r="K6154" s="206" t="s">
        <v>121</v>
      </c>
      <c r="L6154" s="206" t="str">
        <v/>
      </c>
      <c r="M6154" s="206" t="str">
        <v/>
      </c>
    </row>
    <row r="6155" spans="1:13" ht="14.4">
      <c r="A6155" s="201"/>
      <c r="B6155" s="209"/>
      <c r="C6155" s="201"/>
      <c r="D6155" s="201"/>
      <c r="E6155" s="202"/>
      <c r="F6155" s="210"/>
      <c r="G6155" s="210"/>
      <c r="H6155" s="206" t="s">
        <v>121</v>
      </c>
      <c r="I6155" s="206" t="s">
        <v>121</v>
      </c>
      <c r="J6155" s="206" t="s">
        <v>121</v>
      </c>
      <c r="K6155" s="206" t="s">
        <v>121</v>
      </c>
      <c r="L6155" s="206" t="str">
        <v/>
      </c>
      <c r="M6155" s="206" t="str">
        <v/>
      </c>
    </row>
    <row r="6156" spans="1:13" ht="14.4">
      <c r="A6156" s="201"/>
      <c r="B6156" s="209"/>
      <c r="C6156" s="201"/>
      <c r="D6156" s="201"/>
      <c r="E6156" s="202"/>
      <c r="F6156" s="210"/>
      <c r="G6156" s="210"/>
      <c r="H6156" s="206" t="s">
        <v>121</v>
      </c>
      <c r="I6156" s="206" t="s">
        <v>121</v>
      </c>
      <c r="J6156" s="206" t="s">
        <v>121</v>
      </c>
      <c r="K6156" s="206" t="s">
        <v>121</v>
      </c>
      <c r="L6156" s="206" t="str">
        <v/>
      </c>
      <c r="M6156" s="206" t="str">
        <v/>
      </c>
    </row>
    <row r="6157" spans="1:13" ht="14.4">
      <c r="A6157" s="201"/>
      <c r="B6157" s="209"/>
      <c r="C6157" s="201"/>
      <c r="D6157" s="201"/>
      <c r="E6157" s="202"/>
      <c r="F6157" s="210"/>
      <c r="G6157" s="210"/>
      <c r="H6157" s="206" t="s">
        <v>121</v>
      </c>
      <c r="I6157" s="206" t="s">
        <v>121</v>
      </c>
      <c r="J6157" s="206" t="s">
        <v>121</v>
      </c>
      <c r="K6157" s="206" t="s">
        <v>121</v>
      </c>
      <c r="L6157" s="206" t="str">
        <v/>
      </c>
      <c r="M6157" s="206" t="str">
        <v/>
      </c>
    </row>
    <row r="6158" spans="1:13" ht="14.4">
      <c r="A6158" s="201"/>
      <c r="B6158" s="209"/>
      <c r="C6158" s="201"/>
      <c r="D6158" s="201"/>
      <c r="E6158" s="202"/>
      <c r="F6158" s="210"/>
      <c r="G6158" s="210"/>
      <c r="H6158" s="206" t="s">
        <v>121</v>
      </c>
      <c r="I6158" s="206" t="s">
        <v>121</v>
      </c>
      <c r="J6158" s="206" t="s">
        <v>121</v>
      </c>
      <c r="K6158" s="206" t="s">
        <v>121</v>
      </c>
      <c r="L6158" s="206" t="str">
        <v/>
      </c>
      <c r="M6158" s="206" t="str">
        <v/>
      </c>
    </row>
    <row r="6159" spans="1:13" ht="14.4">
      <c r="A6159" s="201"/>
      <c r="B6159" s="209"/>
      <c r="C6159" s="201"/>
      <c r="D6159" s="201"/>
      <c r="E6159" s="202"/>
      <c r="F6159" s="210"/>
      <c r="G6159" s="210"/>
      <c r="H6159" s="206" t="s">
        <v>121</v>
      </c>
      <c r="I6159" s="206" t="s">
        <v>121</v>
      </c>
      <c r="J6159" s="206" t="s">
        <v>121</v>
      </c>
      <c r="K6159" s="206" t="s">
        <v>121</v>
      </c>
      <c r="L6159" s="206" t="str">
        <v/>
      </c>
      <c r="M6159" s="206" t="str">
        <v/>
      </c>
    </row>
    <row r="6160" spans="1:13" ht="14.4">
      <c r="A6160" s="201"/>
      <c r="B6160" s="209"/>
      <c r="C6160" s="201"/>
      <c r="D6160" s="201"/>
      <c r="E6160" s="202"/>
      <c r="F6160" s="210"/>
      <c r="G6160" s="210"/>
      <c r="H6160" s="206" t="s">
        <v>121</v>
      </c>
      <c r="I6160" s="206" t="s">
        <v>121</v>
      </c>
      <c r="J6160" s="206" t="s">
        <v>121</v>
      </c>
      <c r="K6160" s="206" t="s">
        <v>121</v>
      </c>
      <c r="L6160" s="206" t="str">
        <v/>
      </c>
      <c r="M6160" s="206" t="str">
        <v/>
      </c>
    </row>
    <row r="6161" spans="1:13" ht="14.4">
      <c r="A6161" s="201"/>
      <c r="B6161" s="209"/>
      <c r="C6161" s="201"/>
      <c r="D6161" s="201"/>
      <c r="E6161" s="202"/>
      <c r="F6161" s="210"/>
      <c r="G6161" s="210"/>
      <c r="H6161" s="206" t="s">
        <v>121</v>
      </c>
      <c r="I6161" s="206" t="s">
        <v>121</v>
      </c>
      <c r="J6161" s="206" t="s">
        <v>121</v>
      </c>
      <c r="K6161" s="206" t="s">
        <v>121</v>
      </c>
      <c r="L6161" s="206" t="str">
        <v/>
      </c>
      <c r="M6161" s="206" t="str">
        <v/>
      </c>
    </row>
    <row r="6162" spans="1:13" ht="14.4">
      <c r="A6162" s="201"/>
      <c r="B6162" s="209"/>
      <c r="C6162" s="201"/>
      <c r="D6162" s="201"/>
      <c r="E6162" s="202"/>
      <c r="F6162" s="210"/>
      <c r="G6162" s="210"/>
      <c r="H6162" s="206" t="s">
        <v>121</v>
      </c>
      <c r="I6162" s="206" t="s">
        <v>121</v>
      </c>
      <c r="J6162" s="206" t="s">
        <v>121</v>
      </c>
      <c r="K6162" s="206" t="s">
        <v>121</v>
      </c>
      <c r="L6162" s="206" t="str">
        <v/>
      </c>
      <c r="M6162" s="206" t="str">
        <v/>
      </c>
    </row>
    <row r="6163" spans="1:13" ht="14.4">
      <c r="A6163" s="201"/>
      <c r="B6163" s="209"/>
      <c r="C6163" s="201"/>
      <c r="D6163" s="201"/>
      <c r="E6163" s="202"/>
      <c r="F6163" s="210"/>
      <c r="G6163" s="210"/>
      <c r="H6163" s="206" t="s">
        <v>121</v>
      </c>
      <c r="I6163" s="206" t="s">
        <v>121</v>
      </c>
      <c r="J6163" s="206" t="s">
        <v>121</v>
      </c>
      <c r="K6163" s="206" t="s">
        <v>121</v>
      </c>
      <c r="L6163" s="206" t="str">
        <v/>
      </c>
      <c r="M6163" s="206" t="str">
        <v/>
      </c>
    </row>
    <row r="6164" spans="1:13" ht="14.4">
      <c r="A6164" s="201"/>
      <c r="B6164" s="209"/>
      <c r="C6164" s="201"/>
      <c r="D6164" s="201"/>
      <c r="E6164" s="202"/>
      <c r="F6164" s="210"/>
      <c r="G6164" s="210"/>
      <c r="H6164" s="206" t="s">
        <v>121</v>
      </c>
      <c r="I6164" s="206" t="s">
        <v>121</v>
      </c>
      <c r="J6164" s="206" t="s">
        <v>121</v>
      </c>
      <c r="K6164" s="206" t="s">
        <v>121</v>
      </c>
      <c r="L6164" s="206" t="str">
        <v/>
      </c>
      <c r="M6164" s="206" t="str">
        <v/>
      </c>
    </row>
    <row r="6165" spans="1:13" ht="14.4">
      <c r="A6165" s="201"/>
      <c r="B6165" s="209"/>
      <c r="C6165" s="201"/>
      <c r="D6165" s="201"/>
      <c r="E6165" s="202"/>
      <c r="F6165" s="210"/>
      <c r="G6165" s="210"/>
      <c r="H6165" s="206" t="s">
        <v>121</v>
      </c>
      <c r="I6165" s="206" t="s">
        <v>121</v>
      </c>
      <c r="J6165" s="206" t="s">
        <v>121</v>
      </c>
      <c r="K6165" s="206" t="s">
        <v>121</v>
      </c>
      <c r="L6165" s="206" t="str">
        <v/>
      </c>
      <c r="M6165" s="206" t="str">
        <v/>
      </c>
    </row>
    <row r="6166" spans="1:13" ht="14.4">
      <c r="A6166" s="201"/>
      <c r="B6166" s="209"/>
      <c r="C6166" s="201"/>
      <c r="D6166" s="201"/>
      <c r="E6166" s="202"/>
      <c r="F6166" s="210"/>
      <c r="G6166" s="210"/>
      <c r="H6166" s="206" t="s">
        <v>121</v>
      </c>
      <c r="I6166" s="206" t="s">
        <v>121</v>
      </c>
      <c r="J6166" s="206" t="s">
        <v>121</v>
      </c>
      <c r="K6166" s="206" t="s">
        <v>121</v>
      </c>
      <c r="L6166" s="206" t="str">
        <v/>
      </c>
      <c r="M6166" s="206" t="str">
        <v/>
      </c>
    </row>
    <row r="6167" spans="1:13" ht="14.4">
      <c r="A6167" s="201"/>
      <c r="B6167" s="209"/>
      <c r="C6167" s="201"/>
      <c r="D6167" s="201"/>
      <c r="E6167" s="202"/>
      <c r="F6167" s="210"/>
      <c r="G6167" s="210"/>
      <c r="H6167" s="206" t="s">
        <v>121</v>
      </c>
      <c r="I6167" s="206" t="s">
        <v>121</v>
      </c>
      <c r="J6167" s="206" t="s">
        <v>121</v>
      </c>
      <c r="K6167" s="206" t="s">
        <v>121</v>
      </c>
      <c r="L6167" s="206" t="str">
        <v/>
      </c>
      <c r="M6167" s="206" t="str">
        <v/>
      </c>
    </row>
    <row r="6168" spans="1:13" ht="14.4">
      <c r="A6168" s="201"/>
      <c r="B6168" s="209"/>
      <c r="C6168" s="201"/>
      <c r="D6168" s="201"/>
      <c r="E6168" s="202"/>
      <c r="F6168" s="210"/>
      <c r="G6168" s="210"/>
      <c r="H6168" s="206" t="s">
        <v>121</v>
      </c>
      <c r="I6168" s="206" t="s">
        <v>121</v>
      </c>
      <c r="J6168" s="206" t="s">
        <v>121</v>
      </c>
      <c r="K6168" s="206" t="s">
        <v>121</v>
      </c>
      <c r="L6168" s="206" t="str">
        <v/>
      </c>
      <c r="M6168" s="206" t="str">
        <v/>
      </c>
    </row>
    <row r="6169" spans="1:13" ht="14.4">
      <c r="A6169" s="201"/>
      <c r="B6169" s="209"/>
      <c r="C6169" s="201"/>
      <c r="D6169" s="201"/>
      <c r="E6169" s="202"/>
      <c r="F6169" s="210"/>
      <c r="G6169" s="210"/>
      <c r="H6169" s="206" t="s">
        <v>121</v>
      </c>
      <c r="I6169" s="206" t="s">
        <v>121</v>
      </c>
      <c r="J6169" s="206" t="s">
        <v>121</v>
      </c>
      <c r="K6169" s="206" t="s">
        <v>121</v>
      </c>
      <c r="L6169" s="206" t="str">
        <v/>
      </c>
      <c r="M6169" s="206" t="str">
        <v/>
      </c>
    </row>
    <row r="6170" spans="1:13" ht="14.4">
      <c r="A6170" s="201"/>
      <c r="B6170" s="209"/>
      <c r="C6170" s="201"/>
      <c r="D6170" s="201"/>
      <c r="E6170" s="202"/>
      <c r="F6170" s="210"/>
      <c r="G6170" s="210"/>
      <c r="H6170" s="206" t="s">
        <v>121</v>
      </c>
      <c r="I6170" s="206" t="s">
        <v>121</v>
      </c>
      <c r="J6170" s="206" t="s">
        <v>121</v>
      </c>
      <c r="K6170" s="206" t="s">
        <v>121</v>
      </c>
      <c r="L6170" s="206" t="str">
        <v/>
      </c>
      <c r="M6170" s="206" t="str">
        <v/>
      </c>
    </row>
    <row r="6171" spans="1:13" ht="14.4">
      <c r="A6171" s="201"/>
      <c r="B6171" s="209"/>
      <c r="C6171" s="201"/>
      <c r="D6171" s="201"/>
      <c r="E6171" s="202"/>
      <c r="F6171" s="210"/>
      <c r="G6171" s="210"/>
      <c r="H6171" s="206" t="s">
        <v>121</v>
      </c>
      <c r="I6171" s="206" t="s">
        <v>121</v>
      </c>
      <c r="J6171" s="206" t="s">
        <v>121</v>
      </c>
      <c r="K6171" s="206" t="s">
        <v>121</v>
      </c>
      <c r="L6171" s="206" t="str">
        <v/>
      </c>
      <c r="M6171" s="206" t="str">
        <v/>
      </c>
    </row>
    <row r="6172" spans="1:13" ht="14.4">
      <c r="A6172" s="201"/>
      <c r="B6172" s="209"/>
      <c r="C6172" s="201"/>
      <c r="D6172" s="201"/>
      <c r="E6172" s="202"/>
      <c r="F6172" s="210"/>
      <c r="G6172" s="210"/>
      <c r="H6172" s="206" t="s">
        <v>121</v>
      </c>
      <c r="I6172" s="206" t="s">
        <v>121</v>
      </c>
      <c r="J6172" s="206" t="s">
        <v>121</v>
      </c>
      <c r="K6172" s="206" t="s">
        <v>121</v>
      </c>
      <c r="L6172" s="206" t="str">
        <v/>
      </c>
      <c r="M6172" s="206" t="str">
        <v/>
      </c>
    </row>
    <row r="6173" spans="1:13" ht="14.4">
      <c r="A6173" s="201"/>
      <c r="B6173" s="209"/>
      <c r="C6173" s="201"/>
      <c r="D6173" s="201"/>
      <c r="E6173" s="202"/>
      <c r="F6173" s="210"/>
      <c r="G6173" s="210"/>
      <c r="H6173" s="206" t="s">
        <v>121</v>
      </c>
      <c r="I6173" s="206" t="s">
        <v>121</v>
      </c>
      <c r="J6173" s="206" t="s">
        <v>121</v>
      </c>
      <c r="K6173" s="206" t="s">
        <v>121</v>
      </c>
      <c r="L6173" s="206" t="str">
        <v/>
      </c>
      <c r="M6173" s="206" t="str">
        <v/>
      </c>
    </row>
    <row r="6174" spans="1:13" ht="14.4">
      <c r="A6174" s="201"/>
      <c r="B6174" s="209"/>
      <c r="C6174" s="201"/>
      <c r="D6174" s="201"/>
      <c r="E6174" s="202"/>
      <c r="F6174" s="210"/>
      <c r="G6174" s="210"/>
      <c r="H6174" s="206" t="s">
        <v>121</v>
      </c>
      <c r="I6174" s="206" t="s">
        <v>121</v>
      </c>
      <c r="J6174" s="206" t="s">
        <v>121</v>
      </c>
      <c r="K6174" s="206" t="s">
        <v>121</v>
      </c>
      <c r="L6174" s="206" t="str">
        <v/>
      </c>
      <c r="M6174" s="206" t="str">
        <v/>
      </c>
    </row>
    <row r="6175" spans="1:13" ht="14.4">
      <c r="A6175" s="201"/>
      <c r="B6175" s="209"/>
      <c r="C6175" s="201"/>
      <c r="D6175" s="201"/>
      <c r="E6175" s="202"/>
      <c r="F6175" s="210"/>
      <c r="G6175" s="210"/>
      <c r="H6175" s="206" t="s">
        <v>121</v>
      </c>
      <c r="I6175" s="206" t="s">
        <v>121</v>
      </c>
      <c r="J6175" s="206" t="s">
        <v>121</v>
      </c>
      <c r="K6175" s="206" t="s">
        <v>121</v>
      </c>
      <c r="L6175" s="206" t="str">
        <v/>
      </c>
      <c r="M6175" s="206" t="str">
        <v/>
      </c>
    </row>
    <row r="6176" spans="1:13" ht="14.4">
      <c r="A6176" s="201"/>
      <c r="B6176" s="209"/>
      <c r="C6176" s="201"/>
      <c r="D6176" s="201"/>
      <c r="E6176" s="202"/>
      <c r="F6176" s="210"/>
      <c r="G6176" s="210"/>
      <c r="H6176" s="206" t="s">
        <v>121</v>
      </c>
      <c r="I6176" s="206" t="s">
        <v>121</v>
      </c>
      <c r="J6176" s="206" t="s">
        <v>121</v>
      </c>
      <c r="K6176" s="206" t="s">
        <v>121</v>
      </c>
      <c r="L6176" s="206" t="str">
        <v/>
      </c>
      <c r="M6176" s="206" t="str">
        <v/>
      </c>
    </row>
    <row r="6177" spans="1:13" ht="14.4">
      <c r="A6177" s="201"/>
      <c r="B6177" s="209"/>
      <c r="C6177" s="201"/>
      <c r="D6177" s="201"/>
      <c r="E6177" s="202"/>
      <c r="F6177" s="210"/>
      <c r="G6177" s="210"/>
      <c r="H6177" s="206" t="s">
        <v>121</v>
      </c>
      <c r="I6177" s="206" t="s">
        <v>121</v>
      </c>
      <c r="J6177" s="206" t="s">
        <v>121</v>
      </c>
      <c r="K6177" s="206" t="s">
        <v>121</v>
      </c>
      <c r="L6177" s="206" t="str">
        <v/>
      </c>
      <c r="M6177" s="206" t="str">
        <v/>
      </c>
    </row>
    <row r="6178" spans="1:13" ht="14.4">
      <c r="A6178" s="201"/>
      <c r="B6178" s="209"/>
      <c r="C6178" s="201"/>
      <c r="D6178" s="201"/>
      <c r="E6178" s="202"/>
      <c r="F6178" s="210"/>
      <c r="G6178" s="210"/>
      <c r="H6178" s="206" t="s">
        <v>121</v>
      </c>
      <c r="I6178" s="206" t="s">
        <v>121</v>
      </c>
      <c r="J6178" s="206" t="s">
        <v>121</v>
      </c>
      <c r="K6178" s="206" t="s">
        <v>121</v>
      </c>
      <c r="L6178" s="206" t="str">
        <v/>
      </c>
      <c r="M6178" s="206" t="str">
        <v/>
      </c>
    </row>
    <row r="6179" spans="1:13" ht="14.4">
      <c r="A6179" s="201"/>
      <c r="B6179" s="209"/>
      <c r="C6179" s="201"/>
      <c r="D6179" s="201"/>
      <c r="E6179" s="202"/>
      <c r="F6179" s="210"/>
      <c r="G6179" s="210"/>
      <c r="H6179" s="206" t="s">
        <v>121</v>
      </c>
      <c r="I6179" s="206" t="s">
        <v>121</v>
      </c>
      <c r="J6179" s="206" t="s">
        <v>121</v>
      </c>
      <c r="K6179" s="206" t="s">
        <v>121</v>
      </c>
      <c r="L6179" s="206" t="str">
        <v/>
      </c>
      <c r="M6179" s="206" t="str">
        <v/>
      </c>
    </row>
    <row r="6180" spans="1:13" ht="14.4">
      <c r="A6180" s="201"/>
      <c r="B6180" s="209"/>
      <c r="C6180" s="201"/>
      <c r="D6180" s="201"/>
      <c r="E6180" s="202"/>
      <c r="F6180" s="210"/>
      <c r="G6180" s="210"/>
      <c r="H6180" s="206" t="s">
        <v>121</v>
      </c>
      <c r="I6180" s="206" t="s">
        <v>121</v>
      </c>
      <c r="J6180" s="206" t="s">
        <v>121</v>
      </c>
      <c r="K6180" s="206" t="s">
        <v>121</v>
      </c>
      <c r="L6180" s="206" t="str">
        <v/>
      </c>
      <c r="M6180" s="206" t="str">
        <v/>
      </c>
    </row>
    <row r="6181" spans="1:13" ht="14.4">
      <c r="A6181" s="201"/>
      <c r="B6181" s="209"/>
      <c r="C6181" s="201"/>
      <c r="D6181" s="201"/>
      <c r="E6181" s="202"/>
      <c r="F6181" s="210"/>
      <c r="G6181" s="210"/>
      <c r="H6181" s="206" t="s">
        <v>121</v>
      </c>
      <c r="I6181" s="206" t="s">
        <v>121</v>
      </c>
      <c r="J6181" s="206" t="s">
        <v>121</v>
      </c>
      <c r="K6181" s="206" t="s">
        <v>121</v>
      </c>
      <c r="L6181" s="206" t="str">
        <v/>
      </c>
      <c r="M6181" s="206" t="str">
        <v/>
      </c>
    </row>
    <row r="6182" spans="1:13" ht="14.4">
      <c r="A6182" s="201"/>
      <c r="B6182" s="209"/>
      <c r="C6182" s="201"/>
      <c r="D6182" s="201"/>
      <c r="E6182" s="202"/>
      <c r="F6182" s="210"/>
      <c r="G6182" s="210"/>
      <c r="H6182" s="206" t="s">
        <v>121</v>
      </c>
      <c r="I6182" s="206" t="s">
        <v>121</v>
      </c>
      <c r="J6182" s="206" t="s">
        <v>121</v>
      </c>
      <c r="K6182" s="206" t="s">
        <v>121</v>
      </c>
      <c r="L6182" s="206" t="str">
        <v/>
      </c>
      <c r="M6182" s="206" t="str">
        <v/>
      </c>
    </row>
    <row r="6183" spans="1:13" ht="14.4">
      <c r="A6183" s="201"/>
      <c r="B6183" s="209"/>
      <c r="C6183" s="201"/>
      <c r="D6183" s="201"/>
      <c r="E6183" s="202"/>
      <c r="F6183" s="210"/>
      <c r="G6183" s="210"/>
      <c r="H6183" s="206" t="s">
        <v>121</v>
      </c>
      <c r="I6183" s="206" t="s">
        <v>121</v>
      </c>
      <c r="J6183" s="206" t="s">
        <v>121</v>
      </c>
      <c r="K6183" s="206" t="s">
        <v>121</v>
      </c>
      <c r="L6183" s="206" t="str">
        <v/>
      </c>
      <c r="M6183" s="206" t="str">
        <v/>
      </c>
    </row>
    <row r="6184" spans="1:13" ht="14.4">
      <c r="A6184" s="201"/>
      <c r="B6184" s="209"/>
      <c r="C6184" s="201"/>
      <c r="D6184" s="201"/>
      <c r="E6184" s="202"/>
      <c r="F6184" s="210"/>
      <c r="G6184" s="210"/>
      <c r="H6184" s="206" t="s">
        <v>121</v>
      </c>
      <c r="I6184" s="206" t="s">
        <v>121</v>
      </c>
      <c r="J6184" s="206" t="s">
        <v>121</v>
      </c>
      <c r="K6184" s="206" t="s">
        <v>121</v>
      </c>
      <c r="L6184" s="206" t="str">
        <v/>
      </c>
      <c r="M6184" s="206" t="str">
        <v/>
      </c>
    </row>
    <row r="6185" spans="1:13" ht="14.4">
      <c r="A6185" s="201"/>
      <c r="B6185" s="209"/>
      <c r="C6185" s="201"/>
      <c r="D6185" s="201"/>
      <c r="E6185" s="202"/>
      <c r="F6185" s="210"/>
      <c r="G6185" s="210"/>
      <c r="H6185" s="206" t="s">
        <v>121</v>
      </c>
      <c r="I6185" s="206" t="s">
        <v>121</v>
      </c>
      <c r="J6185" s="206" t="s">
        <v>121</v>
      </c>
      <c r="K6185" s="206" t="s">
        <v>121</v>
      </c>
      <c r="L6185" s="206" t="str">
        <v/>
      </c>
      <c r="M6185" s="206" t="str">
        <v/>
      </c>
    </row>
    <row r="6186" spans="1:13" ht="14.4">
      <c r="A6186" s="201"/>
      <c r="B6186" s="209"/>
      <c r="C6186" s="201"/>
      <c r="D6186" s="201"/>
      <c r="E6186" s="202"/>
      <c r="F6186" s="210"/>
      <c r="G6186" s="210"/>
      <c r="H6186" s="206" t="s">
        <v>121</v>
      </c>
      <c r="I6186" s="206" t="s">
        <v>121</v>
      </c>
      <c r="J6186" s="206" t="s">
        <v>121</v>
      </c>
      <c r="K6186" s="206" t="s">
        <v>121</v>
      </c>
      <c r="L6186" s="206" t="str">
        <v/>
      </c>
      <c r="M6186" s="206" t="str">
        <v/>
      </c>
    </row>
    <row r="6187" spans="1:13" ht="14.4">
      <c r="A6187" s="201"/>
      <c r="B6187" s="209"/>
      <c r="C6187" s="201"/>
      <c r="D6187" s="201"/>
      <c r="E6187" s="202"/>
      <c r="F6187" s="210"/>
      <c r="G6187" s="210"/>
      <c r="H6187" s="206" t="s">
        <v>121</v>
      </c>
      <c r="I6187" s="206" t="s">
        <v>121</v>
      </c>
      <c r="J6187" s="206" t="s">
        <v>121</v>
      </c>
      <c r="K6187" s="206" t="s">
        <v>121</v>
      </c>
      <c r="L6187" s="206" t="str">
        <v/>
      </c>
      <c r="M6187" s="206" t="str">
        <v/>
      </c>
    </row>
    <row r="6188" spans="1:13" ht="14.4">
      <c r="A6188" s="201"/>
      <c r="B6188" s="209"/>
      <c r="C6188" s="201"/>
      <c r="D6188" s="201"/>
      <c r="E6188" s="202"/>
      <c r="F6188" s="210"/>
      <c r="G6188" s="210"/>
      <c r="H6188" s="206" t="s">
        <v>121</v>
      </c>
      <c r="I6188" s="206" t="s">
        <v>121</v>
      </c>
      <c r="J6188" s="206" t="s">
        <v>121</v>
      </c>
      <c r="K6188" s="206" t="s">
        <v>121</v>
      </c>
      <c r="L6188" s="206" t="str">
        <v/>
      </c>
      <c r="M6188" s="206" t="str">
        <v/>
      </c>
    </row>
    <row r="6189" spans="1:13" ht="14.4">
      <c r="A6189" s="201"/>
      <c r="B6189" s="209"/>
      <c r="C6189" s="201"/>
      <c r="D6189" s="201"/>
      <c r="E6189" s="202"/>
      <c r="F6189" s="210"/>
      <c r="G6189" s="210"/>
      <c r="H6189" s="206" t="s">
        <v>121</v>
      </c>
      <c r="I6189" s="206" t="s">
        <v>121</v>
      </c>
      <c r="J6189" s="206" t="s">
        <v>121</v>
      </c>
      <c r="K6189" s="206" t="s">
        <v>121</v>
      </c>
      <c r="L6189" s="206" t="str">
        <v/>
      </c>
      <c r="M6189" s="206" t="str">
        <v/>
      </c>
    </row>
    <row r="6190" spans="1:13" ht="14.4">
      <c r="A6190" s="201"/>
      <c r="B6190" s="209"/>
      <c r="C6190" s="201"/>
      <c r="D6190" s="201"/>
      <c r="E6190" s="202"/>
      <c r="F6190" s="210"/>
      <c r="G6190" s="210"/>
      <c r="H6190" s="206" t="s">
        <v>121</v>
      </c>
      <c r="I6190" s="206" t="s">
        <v>121</v>
      </c>
      <c r="J6190" s="206" t="s">
        <v>121</v>
      </c>
      <c r="K6190" s="206" t="s">
        <v>121</v>
      </c>
      <c r="L6190" s="206" t="str">
        <v/>
      </c>
      <c r="M6190" s="206" t="str">
        <v/>
      </c>
    </row>
    <row r="6191" spans="1:13" ht="14.4">
      <c r="A6191" s="201"/>
      <c r="B6191" s="209"/>
      <c r="C6191" s="201"/>
      <c r="D6191" s="201"/>
      <c r="E6191" s="202"/>
      <c r="F6191" s="210"/>
      <c r="G6191" s="210"/>
      <c r="H6191" s="206" t="s">
        <v>121</v>
      </c>
      <c r="I6191" s="206" t="s">
        <v>121</v>
      </c>
      <c r="J6191" s="206" t="s">
        <v>121</v>
      </c>
      <c r="K6191" s="206" t="s">
        <v>121</v>
      </c>
      <c r="L6191" s="206" t="str">
        <v/>
      </c>
      <c r="M6191" s="206" t="str">
        <v/>
      </c>
    </row>
    <row r="6192" spans="1:13" ht="14.4">
      <c r="A6192" s="201"/>
      <c r="B6192" s="209"/>
      <c r="C6192" s="201"/>
      <c r="D6192" s="201"/>
      <c r="E6192" s="202"/>
      <c r="F6192" s="210"/>
      <c r="G6192" s="210"/>
      <c r="H6192" s="206" t="s">
        <v>121</v>
      </c>
      <c r="I6192" s="206" t="s">
        <v>121</v>
      </c>
      <c r="J6192" s="206" t="s">
        <v>121</v>
      </c>
      <c r="K6192" s="206" t="s">
        <v>121</v>
      </c>
      <c r="L6192" s="206" t="str">
        <v/>
      </c>
      <c r="M6192" s="206" t="str">
        <v/>
      </c>
    </row>
    <row r="6193" spans="1:13" ht="14.4">
      <c r="A6193" s="201"/>
      <c r="B6193" s="209"/>
      <c r="C6193" s="201"/>
      <c r="D6193" s="201"/>
      <c r="E6193" s="202"/>
      <c r="F6193" s="210"/>
      <c r="G6193" s="210"/>
      <c r="H6193" s="206" t="s">
        <v>121</v>
      </c>
      <c r="I6193" s="206" t="s">
        <v>121</v>
      </c>
      <c r="J6193" s="206" t="s">
        <v>121</v>
      </c>
      <c r="K6193" s="206" t="s">
        <v>121</v>
      </c>
      <c r="L6193" s="206" t="str">
        <v/>
      </c>
      <c r="M6193" s="206" t="str">
        <v/>
      </c>
    </row>
    <row r="6194" spans="1:13" ht="14.4">
      <c r="A6194" s="201"/>
      <c r="B6194" s="209"/>
      <c r="C6194" s="201"/>
      <c r="D6194" s="201"/>
      <c r="E6194" s="202"/>
      <c r="F6194" s="210"/>
      <c r="G6194" s="210"/>
      <c r="H6194" s="206" t="s">
        <v>121</v>
      </c>
      <c r="I6194" s="206" t="s">
        <v>121</v>
      </c>
      <c r="J6194" s="206" t="s">
        <v>121</v>
      </c>
      <c r="K6194" s="206" t="s">
        <v>121</v>
      </c>
      <c r="L6194" s="206" t="str">
        <v/>
      </c>
      <c r="M6194" s="206" t="str">
        <v/>
      </c>
    </row>
    <row r="6195" spans="1:13" ht="14.4">
      <c r="A6195" s="201"/>
      <c r="B6195" s="209"/>
      <c r="C6195" s="201"/>
      <c r="D6195" s="201"/>
      <c r="E6195" s="202"/>
      <c r="F6195" s="210"/>
      <c r="G6195" s="210"/>
      <c r="H6195" s="206" t="s">
        <v>121</v>
      </c>
      <c r="I6195" s="206" t="s">
        <v>121</v>
      </c>
      <c r="J6195" s="206" t="s">
        <v>121</v>
      </c>
      <c r="K6195" s="206" t="s">
        <v>121</v>
      </c>
      <c r="L6195" s="206" t="str">
        <v/>
      </c>
      <c r="M6195" s="206" t="str">
        <v/>
      </c>
    </row>
    <row r="6196" spans="1:13" ht="14.4">
      <c r="A6196" s="201"/>
      <c r="B6196" s="209"/>
      <c r="C6196" s="201"/>
      <c r="D6196" s="201"/>
      <c r="E6196" s="202"/>
      <c r="F6196" s="210"/>
      <c r="G6196" s="210"/>
      <c r="H6196" s="206" t="s">
        <v>121</v>
      </c>
      <c r="I6196" s="206" t="s">
        <v>121</v>
      </c>
      <c r="J6196" s="206" t="s">
        <v>121</v>
      </c>
      <c r="K6196" s="206" t="s">
        <v>121</v>
      </c>
      <c r="L6196" s="206" t="str">
        <v/>
      </c>
      <c r="M6196" s="206" t="str">
        <v/>
      </c>
    </row>
    <row r="6197" spans="1:13" ht="14.4">
      <c r="A6197" s="201"/>
      <c r="B6197" s="209"/>
      <c r="C6197" s="201"/>
      <c r="D6197" s="201"/>
      <c r="E6197" s="202"/>
      <c r="F6197" s="210"/>
      <c r="G6197" s="210"/>
      <c r="H6197" s="206" t="s">
        <v>121</v>
      </c>
      <c r="I6197" s="206" t="s">
        <v>121</v>
      </c>
      <c r="J6197" s="206" t="s">
        <v>121</v>
      </c>
      <c r="K6197" s="206" t="s">
        <v>121</v>
      </c>
      <c r="L6197" s="206" t="str">
        <v/>
      </c>
      <c r="M6197" s="206" t="str">
        <v/>
      </c>
    </row>
    <row r="6198" spans="1:13" ht="14.4">
      <c r="A6198" s="201"/>
      <c r="B6198" s="209"/>
      <c r="C6198" s="201"/>
      <c r="D6198" s="201"/>
      <c r="E6198" s="202"/>
      <c r="F6198" s="210"/>
      <c r="G6198" s="210"/>
      <c r="H6198" s="206" t="s">
        <v>121</v>
      </c>
      <c r="I6198" s="206" t="s">
        <v>121</v>
      </c>
      <c r="J6198" s="206" t="s">
        <v>121</v>
      </c>
      <c r="K6198" s="206" t="s">
        <v>121</v>
      </c>
      <c r="L6198" s="206" t="str">
        <v/>
      </c>
      <c r="M6198" s="206" t="str">
        <v/>
      </c>
    </row>
    <row r="6199" spans="1:13" ht="14.4">
      <c r="A6199" s="201"/>
      <c r="B6199" s="209"/>
      <c r="C6199" s="201"/>
      <c r="D6199" s="201"/>
      <c r="E6199" s="202"/>
      <c r="F6199" s="210"/>
      <c r="G6199" s="210"/>
      <c r="H6199" s="206" t="s">
        <v>121</v>
      </c>
      <c r="I6199" s="206" t="s">
        <v>121</v>
      </c>
      <c r="J6199" s="206" t="s">
        <v>121</v>
      </c>
      <c r="K6199" s="206" t="s">
        <v>121</v>
      </c>
      <c r="L6199" s="206" t="str">
        <v/>
      </c>
      <c r="M6199" s="206" t="str">
        <v/>
      </c>
    </row>
    <row r="6200" spans="1:13" ht="14.4">
      <c r="A6200" s="201"/>
      <c r="B6200" s="209"/>
      <c r="C6200" s="201"/>
      <c r="D6200" s="201"/>
      <c r="E6200" s="202"/>
      <c r="F6200" s="210"/>
      <c r="G6200" s="210"/>
      <c r="H6200" s="206" t="s">
        <v>121</v>
      </c>
      <c r="I6200" s="206" t="s">
        <v>121</v>
      </c>
      <c r="J6200" s="206" t="s">
        <v>121</v>
      </c>
      <c r="K6200" s="206" t="s">
        <v>121</v>
      </c>
      <c r="L6200" s="206" t="str">
        <v/>
      </c>
      <c r="M6200" s="206" t="str">
        <v/>
      </c>
    </row>
    <row r="6201" spans="1:13" ht="14.4">
      <c r="A6201" s="201"/>
      <c r="B6201" s="209"/>
      <c r="C6201" s="201"/>
      <c r="D6201" s="201"/>
      <c r="E6201" s="202"/>
      <c r="F6201" s="210"/>
      <c r="G6201" s="210"/>
      <c r="H6201" s="206" t="s">
        <v>121</v>
      </c>
      <c r="I6201" s="206" t="s">
        <v>121</v>
      </c>
      <c r="J6201" s="206" t="s">
        <v>121</v>
      </c>
      <c r="K6201" s="206" t="s">
        <v>121</v>
      </c>
      <c r="L6201" s="206" t="str">
        <v/>
      </c>
      <c r="M6201" s="206" t="str">
        <v/>
      </c>
    </row>
    <row r="6202" spans="1:13" ht="14.4">
      <c r="A6202" s="201"/>
      <c r="B6202" s="209"/>
      <c r="C6202" s="201"/>
      <c r="D6202" s="201"/>
      <c r="E6202" s="202"/>
      <c r="F6202" s="210"/>
      <c r="G6202" s="210"/>
      <c r="H6202" s="206" t="s">
        <v>121</v>
      </c>
      <c r="I6202" s="206" t="s">
        <v>121</v>
      </c>
      <c r="J6202" s="206" t="s">
        <v>121</v>
      </c>
      <c r="K6202" s="206" t="s">
        <v>121</v>
      </c>
      <c r="L6202" s="206" t="str">
        <v/>
      </c>
      <c r="M6202" s="206" t="str">
        <v/>
      </c>
    </row>
    <row r="6203" spans="1:13" ht="14.4">
      <c r="A6203" s="201"/>
      <c r="B6203" s="209"/>
      <c r="C6203" s="201"/>
      <c r="D6203" s="201"/>
      <c r="E6203" s="202"/>
      <c r="F6203" s="210"/>
      <c r="G6203" s="210"/>
      <c r="H6203" s="206" t="s">
        <v>121</v>
      </c>
      <c r="I6203" s="206" t="s">
        <v>121</v>
      </c>
      <c r="J6203" s="206" t="s">
        <v>121</v>
      </c>
      <c r="K6203" s="206" t="s">
        <v>121</v>
      </c>
      <c r="L6203" s="206" t="str">
        <v/>
      </c>
      <c r="M6203" s="206" t="str">
        <v/>
      </c>
    </row>
    <row r="6204" spans="1:13" ht="14.4">
      <c r="A6204" s="201"/>
      <c r="B6204" s="209"/>
      <c r="C6204" s="201"/>
      <c r="D6204" s="201"/>
      <c r="E6204" s="202"/>
      <c r="F6204" s="210"/>
      <c r="G6204" s="210"/>
      <c r="H6204" s="206" t="s">
        <v>121</v>
      </c>
      <c r="I6204" s="206" t="s">
        <v>121</v>
      </c>
      <c r="J6204" s="206" t="s">
        <v>121</v>
      </c>
      <c r="K6204" s="206" t="s">
        <v>121</v>
      </c>
      <c r="L6204" s="206" t="str">
        <v/>
      </c>
      <c r="M6204" s="206" t="str">
        <v/>
      </c>
    </row>
    <row r="6205" spans="1:13" ht="14.4">
      <c r="A6205" s="201"/>
      <c r="B6205" s="209"/>
      <c r="C6205" s="201"/>
      <c r="D6205" s="201"/>
      <c r="E6205" s="202"/>
      <c r="F6205" s="210"/>
      <c r="G6205" s="210"/>
      <c r="H6205" s="206" t="s">
        <v>121</v>
      </c>
      <c r="I6205" s="206" t="s">
        <v>121</v>
      </c>
      <c r="J6205" s="206" t="s">
        <v>121</v>
      </c>
      <c r="K6205" s="206" t="s">
        <v>121</v>
      </c>
      <c r="L6205" s="206" t="str">
        <v/>
      </c>
      <c r="M6205" s="206" t="str">
        <v/>
      </c>
    </row>
    <row r="6206" spans="1:13" ht="14.4">
      <c r="A6206" s="201"/>
      <c r="B6206" s="209"/>
      <c r="C6206" s="201"/>
      <c r="D6206" s="201"/>
      <c r="E6206" s="202"/>
      <c r="F6206" s="210"/>
      <c r="G6206" s="210"/>
      <c r="H6206" s="206" t="s">
        <v>121</v>
      </c>
      <c r="I6206" s="206" t="s">
        <v>121</v>
      </c>
      <c r="J6206" s="206" t="s">
        <v>121</v>
      </c>
      <c r="K6206" s="206" t="s">
        <v>121</v>
      </c>
      <c r="L6206" s="206" t="str">
        <v/>
      </c>
      <c r="M6206" s="206" t="str">
        <v/>
      </c>
    </row>
    <row r="6207" spans="1:13" ht="14.4">
      <c r="A6207" s="201"/>
      <c r="B6207" s="209"/>
      <c r="C6207" s="201"/>
      <c r="D6207" s="201"/>
      <c r="E6207" s="202"/>
      <c r="F6207" s="210"/>
      <c r="G6207" s="210"/>
      <c r="H6207" s="206" t="s">
        <v>121</v>
      </c>
      <c r="I6207" s="206" t="s">
        <v>121</v>
      </c>
      <c r="J6207" s="206" t="s">
        <v>121</v>
      </c>
      <c r="K6207" s="206" t="s">
        <v>121</v>
      </c>
      <c r="L6207" s="206" t="str">
        <v/>
      </c>
      <c r="M6207" s="206" t="str">
        <v/>
      </c>
    </row>
    <row r="6208" spans="1:13" ht="14.4">
      <c r="A6208" s="201"/>
      <c r="B6208" s="209"/>
      <c r="C6208" s="201"/>
      <c r="D6208" s="201"/>
      <c r="E6208" s="202"/>
      <c r="F6208" s="210"/>
      <c r="G6208" s="210"/>
      <c r="H6208" s="206" t="s">
        <v>121</v>
      </c>
      <c r="I6208" s="206" t="s">
        <v>121</v>
      </c>
      <c r="J6208" s="206" t="s">
        <v>121</v>
      </c>
      <c r="K6208" s="206" t="s">
        <v>121</v>
      </c>
      <c r="L6208" s="206" t="str">
        <v/>
      </c>
      <c r="M6208" s="206" t="str">
        <v/>
      </c>
    </row>
    <row r="6209" spans="1:13" ht="14.4">
      <c r="A6209" s="201"/>
      <c r="B6209" s="209"/>
      <c r="C6209" s="201"/>
      <c r="D6209" s="201"/>
      <c r="E6209" s="202"/>
      <c r="F6209" s="210"/>
      <c r="G6209" s="210"/>
      <c r="H6209" s="206" t="s">
        <v>121</v>
      </c>
      <c r="I6209" s="206" t="s">
        <v>121</v>
      </c>
      <c r="J6209" s="206" t="s">
        <v>121</v>
      </c>
      <c r="K6209" s="206" t="s">
        <v>121</v>
      </c>
      <c r="L6209" s="206" t="str">
        <v/>
      </c>
      <c r="M6209" s="206" t="str">
        <v/>
      </c>
    </row>
    <row r="6210" spans="1:13" ht="14.4">
      <c r="A6210" s="201"/>
      <c r="B6210" s="209"/>
      <c r="C6210" s="201"/>
      <c r="D6210" s="201"/>
      <c r="E6210" s="202"/>
      <c r="F6210" s="210"/>
      <c r="G6210" s="210"/>
      <c r="H6210" s="206" t="s">
        <v>121</v>
      </c>
      <c r="I6210" s="206" t="s">
        <v>121</v>
      </c>
      <c r="J6210" s="206" t="s">
        <v>121</v>
      </c>
      <c r="K6210" s="206" t="s">
        <v>121</v>
      </c>
      <c r="L6210" s="206" t="str">
        <v/>
      </c>
      <c r="M6210" s="206" t="str">
        <v/>
      </c>
    </row>
    <row r="6211" spans="1:13" ht="14.4">
      <c r="A6211" s="201"/>
      <c r="B6211" s="209"/>
      <c r="C6211" s="201"/>
      <c r="D6211" s="201"/>
      <c r="E6211" s="202"/>
      <c r="F6211" s="210"/>
      <c r="G6211" s="210"/>
      <c r="H6211" s="206" t="s">
        <v>121</v>
      </c>
      <c r="I6211" s="206" t="s">
        <v>121</v>
      </c>
      <c r="J6211" s="206" t="s">
        <v>121</v>
      </c>
      <c r="K6211" s="206" t="s">
        <v>121</v>
      </c>
      <c r="L6211" s="206" t="str">
        <v/>
      </c>
      <c r="M6211" s="206" t="str">
        <v/>
      </c>
    </row>
    <row r="6212" spans="1:13" ht="14.4">
      <c r="A6212" s="201"/>
      <c r="B6212" s="209"/>
      <c r="C6212" s="201"/>
      <c r="D6212" s="201"/>
      <c r="E6212" s="202"/>
      <c r="F6212" s="210"/>
      <c r="G6212" s="210"/>
      <c r="H6212" s="206" t="s">
        <v>121</v>
      </c>
      <c r="I6212" s="206" t="s">
        <v>121</v>
      </c>
      <c r="J6212" s="206" t="s">
        <v>121</v>
      </c>
      <c r="K6212" s="206" t="s">
        <v>121</v>
      </c>
      <c r="L6212" s="206" t="str">
        <v/>
      </c>
      <c r="M6212" s="206" t="str">
        <v/>
      </c>
    </row>
    <row r="6213" spans="1:13" ht="14.4">
      <c r="A6213" s="201"/>
      <c r="B6213" s="209"/>
      <c r="C6213" s="201"/>
      <c r="D6213" s="201"/>
      <c r="E6213" s="202"/>
      <c r="F6213" s="210"/>
      <c r="G6213" s="210"/>
      <c r="H6213" s="206" t="s">
        <v>121</v>
      </c>
      <c r="I6213" s="206" t="s">
        <v>121</v>
      </c>
      <c r="J6213" s="206" t="s">
        <v>121</v>
      </c>
      <c r="K6213" s="206" t="s">
        <v>121</v>
      </c>
      <c r="L6213" s="206" t="str">
        <v/>
      </c>
      <c r="M6213" s="206" t="str">
        <v/>
      </c>
    </row>
    <row r="6214" spans="1:13" ht="14.4">
      <c r="A6214" s="201"/>
      <c r="B6214" s="209"/>
      <c r="C6214" s="201"/>
      <c r="D6214" s="201"/>
      <c r="E6214" s="202"/>
      <c r="F6214" s="210"/>
      <c r="G6214" s="210"/>
      <c r="H6214" s="206" t="s">
        <v>121</v>
      </c>
      <c r="I6214" s="206" t="s">
        <v>121</v>
      </c>
      <c r="J6214" s="206" t="s">
        <v>121</v>
      </c>
      <c r="K6214" s="206" t="s">
        <v>121</v>
      </c>
      <c r="L6214" s="206" t="str">
        <v/>
      </c>
      <c r="M6214" s="206" t="str">
        <v/>
      </c>
    </row>
    <row r="6215" spans="1:13" ht="14.4">
      <c r="A6215" s="201"/>
      <c r="B6215" s="209"/>
      <c r="C6215" s="201"/>
      <c r="D6215" s="201"/>
      <c r="E6215" s="202"/>
      <c r="F6215" s="210"/>
      <c r="G6215" s="210"/>
      <c r="H6215" s="206" t="s">
        <v>121</v>
      </c>
      <c r="I6215" s="206" t="s">
        <v>121</v>
      </c>
      <c r="J6215" s="206" t="s">
        <v>121</v>
      </c>
      <c r="K6215" s="206" t="s">
        <v>121</v>
      </c>
      <c r="L6215" s="206" t="str">
        <v/>
      </c>
      <c r="M6215" s="206" t="str">
        <v/>
      </c>
    </row>
    <row r="6216" spans="1:13" ht="14.4">
      <c r="A6216" s="201"/>
      <c r="B6216" s="209"/>
      <c r="C6216" s="201"/>
      <c r="D6216" s="201"/>
      <c r="E6216" s="202"/>
      <c r="F6216" s="210"/>
      <c r="G6216" s="210"/>
      <c r="H6216" s="206" t="s">
        <v>121</v>
      </c>
      <c r="I6216" s="206" t="s">
        <v>121</v>
      </c>
      <c r="J6216" s="206" t="s">
        <v>121</v>
      </c>
      <c r="K6216" s="206" t="s">
        <v>121</v>
      </c>
      <c r="L6216" s="206" t="str">
        <v/>
      </c>
      <c r="M6216" s="206" t="str">
        <v/>
      </c>
    </row>
    <row r="6217" spans="1:13" ht="14.4">
      <c r="A6217" s="201"/>
      <c r="B6217" s="209"/>
      <c r="C6217" s="201"/>
      <c r="D6217" s="201"/>
      <c r="E6217" s="202"/>
      <c r="F6217" s="210"/>
      <c r="G6217" s="210"/>
      <c r="H6217" s="206" t="s">
        <v>121</v>
      </c>
      <c r="I6217" s="206" t="s">
        <v>121</v>
      </c>
      <c r="J6217" s="206" t="s">
        <v>121</v>
      </c>
      <c r="K6217" s="206" t="s">
        <v>121</v>
      </c>
      <c r="L6217" s="206" t="str">
        <v/>
      </c>
      <c r="M6217" s="206" t="str">
        <v/>
      </c>
    </row>
    <row r="6218" spans="1:13" ht="14.4">
      <c r="A6218" s="201"/>
      <c r="B6218" s="209"/>
      <c r="C6218" s="201"/>
      <c r="D6218" s="201"/>
      <c r="E6218" s="202"/>
      <c r="F6218" s="210"/>
      <c r="G6218" s="210"/>
      <c r="H6218" s="206" t="s">
        <v>121</v>
      </c>
      <c r="I6218" s="206" t="s">
        <v>121</v>
      </c>
      <c r="J6218" s="206" t="s">
        <v>121</v>
      </c>
      <c r="K6218" s="206" t="s">
        <v>121</v>
      </c>
      <c r="L6218" s="206" t="str">
        <v/>
      </c>
      <c r="M6218" s="206" t="str">
        <v/>
      </c>
    </row>
    <row r="6219" spans="1:13" ht="14.4">
      <c r="A6219" s="201"/>
      <c r="B6219" s="209"/>
      <c r="C6219" s="201"/>
      <c r="D6219" s="201"/>
      <c r="E6219" s="202"/>
      <c r="F6219" s="210"/>
      <c r="G6219" s="210"/>
      <c r="H6219" s="206" t="s">
        <v>121</v>
      </c>
      <c r="I6219" s="206" t="s">
        <v>121</v>
      </c>
      <c r="J6219" s="206" t="s">
        <v>121</v>
      </c>
      <c r="K6219" s="206" t="s">
        <v>121</v>
      </c>
      <c r="L6219" s="206" t="str">
        <v/>
      </c>
      <c r="M6219" s="206" t="str">
        <v/>
      </c>
    </row>
    <row r="6220" spans="1:13" ht="14.4">
      <c r="A6220" s="201"/>
      <c r="B6220" s="209"/>
      <c r="C6220" s="201"/>
      <c r="D6220" s="201"/>
      <c r="E6220" s="202"/>
      <c r="F6220" s="210"/>
      <c r="G6220" s="210"/>
      <c r="H6220" s="206" t="s">
        <v>121</v>
      </c>
      <c r="I6220" s="206" t="s">
        <v>121</v>
      </c>
      <c r="J6220" s="206" t="s">
        <v>121</v>
      </c>
      <c r="K6220" s="206" t="s">
        <v>121</v>
      </c>
      <c r="L6220" s="206" t="str">
        <v/>
      </c>
      <c r="M6220" s="206" t="str">
        <v/>
      </c>
    </row>
    <row r="6221" spans="1:13" ht="14.4">
      <c r="A6221" s="201"/>
      <c r="B6221" s="209"/>
      <c r="C6221" s="201"/>
      <c r="D6221" s="201"/>
      <c r="E6221" s="202"/>
      <c r="F6221" s="210"/>
      <c r="G6221" s="210"/>
      <c r="H6221" s="206" t="s">
        <v>121</v>
      </c>
      <c r="I6221" s="206" t="s">
        <v>121</v>
      </c>
      <c r="J6221" s="206" t="s">
        <v>121</v>
      </c>
      <c r="K6221" s="206" t="s">
        <v>121</v>
      </c>
      <c r="L6221" s="206" t="str">
        <v/>
      </c>
      <c r="M6221" s="206" t="str">
        <v/>
      </c>
    </row>
    <row r="6222" spans="1:13" ht="14.4">
      <c r="A6222" s="201"/>
      <c r="B6222" s="209"/>
      <c r="C6222" s="201"/>
      <c r="D6222" s="201"/>
      <c r="E6222" s="202"/>
      <c r="F6222" s="210"/>
      <c r="G6222" s="210"/>
      <c r="H6222" s="206" t="s">
        <v>121</v>
      </c>
      <c r="I6222" s="206" t="s">
        <v>121</v>
      </c>
      <c r="J6222" s="206" t="s">
        <v>121</v>
      </c>
      <c r="K6222" s="206" t="s">
        <v>121</v>
      </c>
      <c r="L6222" s="206" t="str">
        <v/>
      </c>
      <c r="M6222" s="206" t="str">
        <v/>
      </c>
    </row>
    <row r="6223" spans="1:13" ht="14.4">
      <c r="A6223" s="201"/>
      <c r="B6223" s="209"/>
      <c r="C6223" s="201"/>
      <c r="D6223" s="201"/>
      <c r="E6223" s="202"/>
      <c r="F6223" s="210"/>
      <c r="G6223" s="210"/>
      <c r="H6223" s="206" t="s">
        <v>121</v>
      </c>
      <c r="I6223" s="206" t="s">
        <v>121</v>
      </c>
      <c r="J6223" s="206" t="s">
        <v>121</v>
      </c>
      <c r="K6223" s="206" t="s">
        <v>121</v>
      </c>
      <c r="L6223" s="206" t="str">
        <v/>
      </c>
      <c r="M6223" s="206" t="str">
        <v/>
      </c>
    </row>
    <row r="6224" spans="1:13" ht="14.4">
      <c r="A6224" s="201"/>
      <c r="B6224" s="209"/>
      <c r="C6224" s="201"/>
      <c r="D6224" s="201"/>
      <c r="E6224" s="202"/>
      <c r="F6224" s="210"/>
      <c r="G6224" s="210"/>
      <c r="H6224" s="206" t="s">
        <v>121</v>
      </c>
      <c r="I6224" s="206" t="s">
        <v>121</v>
      </c>
      <c r="J6224" s="206" t="s">
        <v>121</v>
      </c>
      <c r="K6224" s="206" t="s">
        <v>121</v>
      </c>
      <c r="L6224" s="206" t="str">
        <v/>
      </c>
      <c r="M6224" s="206" t="str">
        <v/>
      </c>
    </row>
    <row r="6225" spans="1:13" ht="14.4">
      <c r="A6225" s="201"/>
      <c r="B6225" s="209"/>
      <c r="C6225" s="201"/>
      <c r="D6225" s="201"/>
      <c r="E6225" s="202"/>
      <c r="F6225" s="210"/>
      <c r="G6225" s="210"/>
      <c r="H6225" s="206" t="s">
        <v>121</v>
      </c>
      <c r="I6225" s="206" t="s">
        <v>121</v>
      </c>
      <c r="J6225" s="206" t="s">
        <v>121</v>
      </c>
      <c r="K6225" s="206" t="s">
        <v>121</v>
      </c>
      <c r="L6225" s="206" t="str">
        <v/>
      </c>
      <c r="M6225" s="206" t="str">
        <v/>
      </c>
    </row>
    <row r="6226" spans="1:13" ht="14.4">
      <c r="A6226" s="201"/>
      <c r="B6226" s="209"/>
      <c r="C6226" s="201"/>
      <c r="D6226" s="201"/>
      <c r="E6226" s="202"/>
      <c r="F6226" s="210"/>
      <c r="G6226" s="210"/>
      <c r="H6226" s="206" t="s">
        <v>121</v>
      </c>
      <c r="I6226" s="206" t="s">
        <v>121</v>
      </c>
      <c r="J6226" s="206" t="s">
        <v>121</v>
      </c>
      <c r="K6226" s="206" t="s">
        <v>121</v>
      </c>
      <c r="L6226" s="206" t="str">
        <v/>
      </c>
      <c r="M6226" s="206" t="str">
        <v/>
      </c>
    </row>
    <row r="6227" spans="1:13" ht="14.4">
      <c r="A6227" s="201"/>
      <c r="B6227" s="209"/>
      <c r="C6227" s="201"/>
      <c r="D6227" s="201"/>
      <c r="E6227" s="202"/>
      <c r="F6227" s="210"/>
      <c r="G6227" s="210"/>
      <c r="H6227" s="206" t="s">
        <v>121</v>
      </c>
      <c r="I6227" s="206" t="s">
        <v>121</v>
      </c>
      <c r="J6227" s="206" t="s">
        <v>121</v>
      </c>
      <c r="K6227" s="206" t="s">
        <v>121</v>
      </c>
      <c r="L6227" s="206" t="str">
        <v/>
      </c>
      <c r="M6227" s="206" t="str">
        <v/>
      </c>
    </row>
    <row r="6228" spans="1:13" ht="14.4">
      <c r="A6228" s="201"/>
      <c r="B6228" s="209"/>
      <c r="C6228" s="201"/>
      <c r="D6228" s="201"/>
      <c r="E6228" s="202"/>
      <c r="F6228" s="210"/>
      <c r="G6228" s="210"/>
      <c r="H6228" s="206" t="s">
        <v>121</v>
      </c>
      <c r="I6228" s="206" t="s">
        <v>121</v>
      </c>
      <c r="J6228" s="206" t="s">
        <v>121</v>
      </c>
      <c r="K6228" s="206" t="s">
        <v>121</v>
      </c>
      <c r="L6228" s="206" t="str">
        <v/>
      </c>
      <c r="M6228" s="206" t="str">
        <v/>
      </c>
    </row>
    <row r="6229" spans="1:13" ht="14.4">
      <c r="A6229" s="201"/>
      <c r="B6229" s="209"/>
      <c r="C6229" s="201"/>
      <c r="D6229" s="201"/>
      <c r="E6229" s="202"/>
      <c r="F6229" s="210"/>
      <c r="G6229" s="210"/>
      <c r="H6229" s="206" t="s">
        <v>121</v>
      </c>
      <c r="I6229" s="206" t="s">
        <v>121</v>
      </c>
      <c r="J6229" s="206" t="s">
        <v>121</v>
      </c>
      <c r="K6229" s="206" t="s">
        <v>121</v>
      </c>
      <c r="L6229" s="206" t="str">
        <v/>
      </c>
      <c r="M6229" s="206" t="str">
        <v/>
      </c>
    </row>
    <row r="6230" spans="1:13" ht="14.4">
      <c r="A6230" s="201"/>
      <c r="B6230" s="209"/>
      <c r="C6230" s="201"/>
      <c r="D6230" s="201"/>
      <c r="E6230" s="202"/>
      <c r="F6230" s="210"/>
      <c r="G6230" s="210"/>
      <c r="H6230" s="206" t="s">
        <v>121</v>
      </c>
      <c r="I6230" s="206" t="s">
        <v>121</v>
      </c>
      <c r="J6230" s="206" t="s">
        <v>121</v>
      </c>
      <c r="K6230" s="206" t="s">
        <v>121</v>
      </c>
      <c r="L6230" s="206" t="str">
        <v/>
      </c>
      <c r="M6230" s="206" t="str">
        <v/>
      </c>
    </row>
    <row r="6231" spans="1:13" ht="14.4">
      <c r="A6231" s="201"/>
      <c r="B6231" s="209"/>
      <c r="C6231" s="201"/>
      <c r="D6231" s="201"/>
      <c r="E6231" s="202"/>
      <c r="F6231" s="210"/>
      <c r="G6231" s="210"/>
      <c r="H6231" s="206" t="s">
        <v>121</v>
      </c>
      <c r="I6231" s="206" t="s">
        <v>121</v>
      </c>
      <c r="J6231" s="206" t="s">
        <v>121</v>
      </c>
      <c r="K6231" s="206" t="s">
        <v>121</v>
      </c>
      <c r="L6231" s="206" t="str">
        <v/>
      </c>
      <c r="M6231" s="206" t="str">
        <v/>
      </c>
    </row>
    <row r="6232" spans="1:13" ht="14.4">
      <c r="A6232" s="201"/>
      <c r="B6232" s="209"/>
      <c r="C6232" s="201"/>
      <c r="D6232" s="201"/>
      <c r="E6232" s="202"/>
      <c r="F6232" s="210"/>
      <c r="G6232" s="210"/>
      <c r="H6232" s="206" t="s">
        <v>121</v>
      </c>
      <c r="I6232" s="206" t="s">
        <v>121</v>
      </c>
      <c r="J6232" s="206" t="s">
        <v>121</v>
      </c>
      <c r="K6232" s="206" t="s">
        <v>121</v>
      </c>
      <c r="L6232" s="206" t="str">
        <v/>
      </c>
      <c r="M6232" s="206" t="str">
        <v/>
      </c>
    </row>
    <row r="6233" spans="1:13" ht="14.4">
      <c r="A6233" s="201"/>
      <c r="B6233" s="209"/>
      <c r="C6233" s="201"/>
      <c r="D6233" s="201"/>
      <c r="E6233" s="202"/>
      <c r="F6233" s="210"/>
      <c r="G6233" s="210"/>
      <c r="H6233" s="206" t="s">
        <v>121</v>
      </c>
      <c r="I6233" s="206" t="s">
        <v>121</v>
      </c>
      <c r="J6233" s="206" t="s">
        <v>121</v>
      </c>
      <c r="K6233" s="206" t="s">
        <v>121</v>
      </c>
      <c r="L6233" s="206" t="str">
        <v/>
      </c>
      <c r="M6233" s="206" t="str">
        <v/>
      </c>
    </row>
    <row r="6234" spans="1:13" ht="14.4">
      <c r="A6234" s="201"/>
      <c r="B6234" s="209"/>
      <c r="C6234" s="201"/>
      <c r="D6234" s="201"/>
      <c r="E6234" s="202"/>
      <c r="F6234" s="210"/>
      <c r="G6234" s="210"/>
      <c r="H6234" s="206" t="s">
        <v>121</v>
      </c>
      <c r="I6234" s="206" t="s">
        <v>121</v>
      </c>
      <c r="J6234" s="206" t="s">
        <v>121</v>
      </c>
      <c r="K6234" s="206" t="s">
        <v>121</v>
      </c>
      <c r="L6234" s="206" t="str">
        <v/>
      </c>
      <c r="M6234" s="206" t="str">
        <v/>
      </c>
    </row>
    <row r="6235" spans="1:13" ht="14.4">
      <c r="A6235" s="201"/>
      <c r="B6235" s="209"/>
      <c r="C6235" s="201"/>
      <c r="D6235" s="201"/>
      <c r="E6235" s="202"/>
      <c r="F6235" s="210"/>
      <c r="G6235" s="210"/>
      <c r="H6235" s="206" t="s">
        <v>121</v>
      </c>
      <c r="I6235" s="206" t="s">
        <v>121</v>
      </c>
      <c r="J6235" s="206" t="s">
        <v>121</v>
      </c>
      <c r="K6235" s="206" t="s">
        <v>121</v>
      </c>
      <c r="L6235" s="206" t="str">
        <v/>
      </c>
      <c r="M6235" s="206" t="str">
        <v/>
      </c>
    </row>
    <row r="6236" spans="1:13" ht="14.4">
      <c r="A6236" s="201"/>
      <c r="B6236" s="209"/>
      <c r="C6236" s="201"/>
      <c r="D6236" s="201"/>
      <c r="E6236" s="202"/>
      <c r="F6236" s="210"/>
      <c r="G6236" s="210"/>
      <c r="H6236" s="206" t="s">
        <v>121</v>
      </c>
      <c r="I6236" s="206" t="s">
        <v>121</v>
      </c>
      <c r="J6236" s="206" t="s">
        <v>121</v>
      </c>
      <c r="K6236" s="206" t="s">
        <v>121</v>
      </c>
      <c r="L6236" s="206" t="str">
        <v/>
      </c>
      <c r="M6236" s="206" t="str">
        <v/>
      </c>
    </row>
    <row r="6237" spans="1:13" ht="14.4">
      <c r="A6237" s="201"/>
      <c r="B6237" s="209"/>
      <c r="C6237" s="201"/>
      <c r="D6237" s="201"/>
      <c r="E6237" s="202"/>
      <c r="F6237" s="210"/>
      <c r="G6237" s="210"/>
      <c r="H6237" s="206" t="s">
        <v>121</v>
      </c>
      <c r="I6237" s="206" t="s">
        <v>121</v>
      </c>
      <c r="J6237" s="206" t="s">
        <v>121</v>
      </c>
      <c r="K6237" s="206" t="s">
        <v>121</v>
      </c>
      <c r="L6237" s="206" t="str">
        <v/>
      </c>
      <c r="M6237" s="206" t="str">
        <v/>
      </c>
    </row>
    <row r="6238" spans="1:13" ht="14.4">
      <c r="A6238" s="201"/>
      <c r="B6238" s="209"/>
      <c r="C6238" s="201"/>
      <c r="D6238" s="201"/>
      <c r="E6238" s="202"/>
      <c r="F6238" s="210"/>
      <c r="G6238" s="210"/>
      <c r="H6238" s="206" t="s">
        <v>121</v>
      </c>
      <c r="I6238" s="206" t="s">
        <v>121</v>
      </c>
      <c r="J6238" s="206" t="s">
        <v>121</v>
      </c>
      <c r="K6238" s="206" t="s">
        <v>121</v>
      </c>
      <c r="L6238" s="206" t="str">
        <v/>
      </c>
      <c r="M6238" s="206" t="str">
        <v/>
      </c>
    </row>
    <row r="6239" spans="1:13" ht="14.4">
      <c r="A6239" s="201"/>
      <c r="B6239" s="209"/>
      <c r="C6239" s="201"/>
      <c r="D6239" s="201"/>
      <c r="E6239" s="202"/>
      <c r="F6239" s="210"/>
      <c r="G6239" s="210"/>
      <c r="H6239" s="206" t="s">
        <v>121</v>
      </c>
      <c r="I6239" s="206" t="s">
        <v>121</v>
      </c>
      <c r="J6239" s="206" t="s">
        <v>121</v>
      </c>
      <c r="K6239" s="206" t="s">
        <v>121</v>
      </c>
      <c r="L6239" s="206" t="str">
        <v/>
      </c>
      <c r="M6239" s="206" t="str">
        <v/>
      </c>
    </row>
    <row r="6240" spans="1:13" ht="14.4">
      <c r="A6240" s="201"/>
      <c r="B6240" s="209"/>
      <c r="C6240" s="201"/>
      <c r="D6240" s="201"/>
      <c r="E6240" s="202"/>
      <c r="F6240" s="210"/>
      <c r="G6240" s="210"/>
      <c r="H6240" s="206" t="s">
        <v>121</v>
      </c>
      <c r="I6240" s="206" t="s">
        <v>121</v>
      </c>
      <c r="J6240" s="206" t="s">
        <v>121</v>
      </c>
      <c r="K6240" s="206" t="s">
        <v>121</v>
      </c>
      <c r="L6240" s="206" t="str">
        <v/>
      </c>
      <c r="M6240" s="206" t="str">
        <v/>
      </c>
    </row>
    <row r="6241" spans="1:13" ht="14.4">
      <c r="A6241" s="201"/>
      <c r="B6241" s="209"/>
      <c r="C6241" s="201"/>
      <c r="D6241" s="201"/>
      <c r="E6241" s="202"/>
      <c r="F6241" s="210"/>
      <c r="G6241" s="210"/>
      <c r="H6241" s="206" t="s">
        <v>121</v>
      </c>
      <c r="I6241" s="206" t="s">
        <v>121</v>
      </c>
      <c r="J6241" s="206" t="s">
        <v>121</v>
      </c>
      <c r="K6241" s="206" t="s">
        <v>121</v>
      </c>
      <c r="L6241" s="206" t="str">
        <v/>
      </c>
      <c r="M6241" s="206" t="str">
        <v/>
      </c>
    </row>
    <row r="6242" spans="1:13" ht="14.4">
      <c r="A6242" s="201"/>
      <c r="B6242" s="209"/>
      <c r="C6242" s="201"/>
      <c r="D6242" s="201"/>
      <c r="E6242" s="202"/>
      <c r="F6242" s="210"/>
      <c r="G6242" s="210"/>
      <c r="H6242" s="206" t="s">
        <v>121</v>
      </c>
      <c r="I6242" s="206" t="s">
        <v>121</v>
      </c>
      <c r="J6242" s="206" t="s">
        <v>121</v>
      </c>
      <c r="K6242" s="206" t="s">
        <v>121</v>
      </c>
      <c r="L6242" s="206" t="str">
        <v/>
      </c>
      <c r="M6242" s="206" t="str">
        <v/>
      </c>
    </row>
    <row r="6243" spans="1:13" ht="14.4">
      <c r="A6243" s="201"/>
      <c r="B6243" s="209"/>
      <c r="C6243" s="201"/>
      <c r="D6243" s="201"/>
      <c r="E6243" s="202"/>
      <c r="F6243" s="210"/>
      <c r="G6243" s="210"/>
      <c r="H6243" s="206" t="s">
        <v>121</v>
      </c>
      <c r="I6243" s="206" t="s">
        <v>121</v>
      </c>
      <c r="J6243" s="206" t="s">
        <v>121</v>
      </c>
      <c r="K6243" s="206" t="s">
        <v>121</v>
      </c>
      <c r="L6243" s="206" t="str">
        <v/>
      </c>
      <c r="M6243" s="206" t="str">
        <v/>
      </c>
    </row>
    <row r="6244" spans="1:13" ht="14.4">
      <c r="A6244" s="201"/>
      <c r="B6244" s="209"/>
      <c r="C6244" s="201"/>
      <c r="D6244" s="201"/>
      <c r="E6244" s="202"/>
      <c r="F6244" s="210"/>
      <c r="G6244" s="210"/>
      <c r="H6244" s="206" t="s">
        <v>121</v>
      </c>
      <c r="I6244" s="206" t="s">
        <v>121</v>
      </c>
      <c r="J6244" s="206" t="s">
        <v>121</v>
      </c>
      <c r="K6244" s="206" t="s">
        <v>121</v>
      </c>
      <c r="L6244" s="206" t="str">
        <v/>
      </c>
      <c r="M6244" s="206" t="str">
        <v/>
      </c>
    </row>
    <row r="6245" spans="1:13" ht="14.4">
      <c r="A6245" s="201"/>
      <c r="B6245" s="209"/>
      <c r="C6245" s="201"/>
      <c r="D6245" s="201"/>
      <c r="E6245" s="202"/>
      <c r="F6245" s="210"/>
      <c r="G6245" s="210"/>
      <c r="H6245" s="206" t="s">
        <v>121</v>
      </c>
      <c r="I6245" s="206" t="s">
        <v>121</v>
      </c>
      <c r="J6245" s="206" t="s">
        <v>121</v>
      </c>
      <c r="K6245" s="206" t="s">
        <v>121</v>
      </c>
      <c r="L6245" s="206" t="str">
        <v/>
      </c>
      <c r="M6245" s="206" t="str">
        <v/>
      </c>
    </row>
    <row r="6246" spans="1:13" ht="14.4">
      <c r="A6246" s="201"/>
      <c r="B6246" s="209"/>
      <c r="C6246" s="201"/>
      <c r="D6246" s="201"/>
      <c r="E6246" s="202"/>
      <c r="F6246" s="210"/>
      <c r="G6246" s="210"/>
      <c r="H6246" s="206" t="s">
        <v>121</v>
      </c>
      <c r="I6246" s="206" t="s">
        <v>121</v>
      </c>
      <c r="J6246" s="206" t="s">
        <v>121</v>
      </c>
      <c r="K6246" s="206" t="s">
        <v>121</v>
      </c>
      <c r="L6246" s="206" t="str">
        <v/>
      </c>
      <c r="M6246" s="206" t="str">
        <v/>
      </c>
    </row>
    <row r="6247" spans="1:13" ht="14.4">
      <c r="A6247" s="201"/>
      <c r="B6247" s="209"/>
      <c r="C6247" s="201"/>
      <c r="D6247" s="201"/>
      <c r="E6247" s="202"/>
      <c r="F6247" s="210"/>
      <c r="G6247" s="210"/>
      <c r="H6247" s="206" t="s">
        <v>121</v>
      </c>
      <c r="I6247" s="206" t="s">
        <v>121</v>
      </c>
      <c r="J6247" s="206" t="s">
        <v>121</v>
      </c>
      <c r="K6247" s="206" t="s">
        <v>121</v>
      </c>
      <c r="L6247" s="206" t="str">
        <v/>
      </c>
      <c r="M6247" s="206" t="str">
        <v/>
      </c>
    </row>
    <row r="6248" spans="1:13" ht="14.4">
      <c r="A6248" s="201"/>
      <c r="B6248" s="209"/>
      <c r="C6248" s="201"/>
      <c r="D6248" s="201"/>
      <c r="E6248" s="202"/>
      <c r="F6248" s="210"/>
      <c r="G6248" s="210"/>
      <c r="H6248" s="206" t="s">
        <v>121</v>
      </c>
      <c r="I6248" s="206" t="s">
        <v>121</v>
      </c>
      <c r="J6248" s="206" t="s">
        <v>121</v>
      </c>
      <c r="K6248" s="206" t="s">
        <v>121</v>
      </c>
      <c r="L6248" s="206" t="str">
        <v/>
      </c>
      <c r="M6248" s="206" t="str">
        <v/>
      </c>
    </row>
    <row r="6249" spans="1:13" ht="14.4">
      <c r="A6249" s="201"/>
      <c r="B6249" s="209"/>
      <c r="C6249" s="201"/>
      <c r="D6249" s="201"/>
      <c r="E6249" s="202"/>
      <c r="F6249" s="210"/>
      <c r="G6249" s="210"/>
      <c r="H6249" s="206" t="s">
        <v>121</v>
      </c>
      <c r="I6249" s="206" t="s">
        <v>121</v>
      </c>
      <c r="J6249" s="206" t="s">
        <v>121</v>
      </c>
      <c r="K6249" s="206" t="s">
        <v>121</v>
      </c>
      <c r="L6249" s="206" t="str">
        <v/>
      </c>
      <c r="M6249" s="206" t="str">
        <v/>
      </c>
    </row>
    <row r="6250" spans="1:13" ht="14.4">
      <c r="A6250" s="201"/>
      <c r="B6250" s="209"/>
      <c r="C6250" s="201"/>
      <c r="D6250" s="201"/>
      <c r="E6250" s="202"/>
      <c r="F6250" s="210"/>
      <c r="G6250" s="210"/>
      <c r="H6250" s="206" t="s">
        <v>121</v>
      </c>
      <c r="I6250" s="206" t="s">
        <v>121</v>
      </c>
      <c r="J6250" s="206" t="s">
        <v>121</v>
      </c>
      <c r="K6250" s="206" t="s">
        <v>121</v>
      </c>
      <c r="L6250" s="206" t="str">
        <v/>
      </c>
      <c r="M6250" s="206" t="str">
        <v/>
      </c>
    </row>
    <row r="6251" spans="1:13" ht="14.4">
      <c r="A6251" s="201"/>
      <c r="B6251" s="209"/>
      <c r="C6251" s="201"/>
      <c r="D6251" s="201"/>
      <c r="E6251" s="202"/>
      <c r="F6251" s="210"/>
      <c r="G6251" s="210"/>
      <c r="H6251" s="206" t="s">
        <v>121</v>
      </c>
      <c r="I6251" s="206" t="s">
        <v>121</v>
      </c>
      <c r="J6251" s="206" t="s">
        <v>121</v>
      </c>
      <c r="K6251" s="206" t="s">
        <v>121</v>
      </c>
      <c r="L6251" s="206" t="str">
        <v/>
      </c>
      <c r="M6251" s="206" t="str">
        <v/>
      </c>
    </row>
    <row r="6252" spans="1:13" ht="14.4">
      <c r="A6252" s="201"/>
      <c r="B6252" s="209"/>
      <c r="C6252" s="201"/>
      <c r="D6252" s="201"/>
      <c r="E6252" s="202"/>
      <c r="F6252" s="210"/>
      <c r="G6252" s="210"/>
      <c r="H6252" s="206" t="s">
        <v>121</v>
      </c>
      <c r="I6252" s="206" t="s">
        <v>121</v>
      </c>
      <c r="J6252" s="206" t="s">
        <v>121</v>
      </c>
      <c r="K6252" s="206" t="s">
        <v>121</v>
      </c>
      <c r="L6252" s="206" t="str">
        <v/>
      </c>
      <c r="M6252" s="206" t="str">
        <v/>
      </c>
    </row>
    <row r="6253" spans="1:13" ht="14.4">
      <c r="A6253" s="201"/>
      <c r="B6253" s="209"/>
      <c r="C6253" s="201"/>
      <c r="D6253" s="201"/>
      <c r="E6253" s="202"/>
      <c r="F6253" s="210"/>
      <c r="G6253" s="210"/>
      <c r="H6253" s="206" t="s">
        <v>121</v>
      </c>
      <c r="I6253" s="206" t="s">
        <v>121</v>
      </c>
      <c r="J6253" s="206" t="s">
        <v>121</v>
      </c>
      <c r="K6253" s="206" t="s">
        <v>121</v>
      </c>
      <c r="L6253" s="206" t="str">
        <v/>
      </c>
      <c r="M6253" s="206" t="str">
        <v/>
      </c>
    </row>
    <row r="6254" spans="1:13" ht="14.4">
      <c r="A6254" s="201"/>
      <c r="B6254" s="209"/>
      <c r="C6254" s="201"/>
      <c r="D6254" s="201"/>
      <c r="E6254" s="202"/>
      <c r="F6254" s="210"/>
      <c r="G6254" s="210"/>
      <c r="H6254" s="206" t="s">
        <v>121</v>
      </c>
      <c r="I6254" s="206" t="s">
        <v>121</v>
      </c>
      <c r="J6254" s="206" t="s">
        <v>121</v>
      </c>
      <c r="K6254" s="206" t="s">
        <v>121</v>
      </c>
      <c r="L6254" s="206" t="str">
        <v/>
      </c>
      <c r="M6254" s="206" t="str">
        <v/>
      </c>
    </row>
    <row r="6255" spans="1:13" ht="14.4">
      <c r="A6255" s="201"/>
      <c r="B6255" s="209"/>
      <c r="C6255" s="201"/>
      <c r="D6255" s="201"/>
      <c r="E6255" s="202"/>
      <c r="F6255" s="210"/>
      <c r="G6255" s="210"/>
      <c r="H6255" s="206" t="s">
        <v>121</v>
      </c>
      <c r="I6255" s="206" t="s">
        <v>121</v>
      </c>
      <c r="J6255" s="206" t="s">
        <v>121</v>
      </c>
      <c r="K6255" s="206" t="s">
        <v>121</v>
      </c>
      <c r="L6255" s="206" t="str">
        <v/>
      </c>
      <c r="M6255" s="206" t="str">
        <v/>
      </c>
    </row>
    <row r="6256" spans="1:13" ht="14.4">
      <c r="A6256" s="201"/>
      <c r="B6256" s="209"/>
      <c r="C6256" s="201"/>
      <c r="D6256" s="201"/>
      <c r="E6256" s="202"/>
      <c r="F6256" s="210"/>
      <c r="G6256" s="210"/>
      <c r="H6256" s="206" t="s">
        <v>121</v>
      </c>
      <c r="I6256" s="206" t="s">
        <v>121</v>
      </c>
      <c r="J6256" s="206" t="s">
        <v>121</v>
      </c>
      <c r="K6256" s="206" t="s">
        <v>121</v>
      </c>
      <c r="L6256" s="206" t="str">
        <v/>
      </c>
      <c r="M6256" s="206" t="str">
        <v/>
      </c>
    </row>
    <row r="6257" spans="1:13" ht="14.4">
      <c r="A6257" s="201"/>
      <c r="B6257" s="209"/>
      <c r="C6257" s="201"/>
      <c r="D6257" s="201"/>
      <c r="E6257" s="202"/>
      <c r="F6257" s="210"/>
      <c r="G6257" s="210"/>
      <c r="H6257" s="206" t="s">
        <v>121</v>
      </c>
      <c r="I6257" s="206" t="s">
        <v>121</v>
      </c>
      <c r="J6257" s="206" t="s">
        <v>121</v>
      </c>
      <c r="K6257" s="206" t="s">
        <v>121</v>
      </c>
      <c r="L6257" s="206" t="str">
        <v/>
      </c>
      <c r="M6257" s="206" t="str">
        <v/>
      </c>
    </row>
    <row r="6258" spans="1:13" ht="14.4">
      <c r="A6258" s="201"/>
      <c r="B6258" s="209"/>
      <c r="C6258" s="201"/>
      <c r="D6258" s="201"/>
      <c r="E6258" s="202"/>
      <c r="F6258" s="210"/>
      <c r="G6258" s="210"/>
      <c r="H6258" s="206" t="s">
        <v>121</v>
      </c>
      <c r="I6258" s="206" t="s">
        <v>121</v>
      </c>
      <c r="J6258" s="206" t="s">
        <v>121</v>
      </c>
      <c r="K6258" s="206" t="s">
        <v>121</v>
      </c>
      <c r="L6258" s="206" t="str">
        <v/>
      </c>
      <c r="M6258" s="206" t="str">
        <v/>
      </c>
    </row>
    <row r="6259" spans="1:13" ht="14.4">
      <c r="A6259" s="201"/>
      <c r="B6259" s="209"/>
      <c r="C6259" s="201"/>
      <c r="D6259" s="201"/>
      <c r="E6259" s="202"/>
      <c r="F6259" s="210"/>
      <c r="G6259" s="210"/>
      <c r="H6259" s="206" t="s">
        <v>121</v>
      </c>
      <c r="I6259" s="206" t="s">
        <v>121</v>
      </c>
      <c r="J6259" s="206" t="s">
        <v>121</v>
      </c>
      <c r="K6259" s="206" t="s">
        <v>121</v>
      </c>
      <c r="L6259" s="206" t="str">
        <v/>
      </c>
      <c r="M6259" s="206" t="str">
        <v/>
      </c>
    </row>
    <row r="6260" spans="1:13" ht="14.4">
      <c r="A6260" s="201"/>
      <c r="B6260" s="209"/>
      <c r="C6260" s="201"/>
      <c r="D6260" s="201"/>
      <c r="E6260" s="202"/>
      <c r="F6260" s="210"/>
      <c r="G6260" s="210"/>
      <c r="H6260" s="206" t="s">
        <v>121</v>
      </c>
      <c r="I6260" s="206" t="s">
        <v>121</v>
      </c>
      <c r="J6260" s="206" t="s">
        <v>121</v>
      </c>
      <c r="K6260" s="206" t="s">
        <v>121</v>
      </c>
      <c r="L6260" s="206" t="str">
        <v/>
      </c>
      <c r="M6260" s="206" t="str">
        <v/>
      </c>
    </row>
    <row r="6261" spans="1:13" ht="14.4">
      <c r="A6261" s="201"/>
      <c r="B6261" s="209"/>
      <c r="C6261" s="201"/>
      <c r="D6261" s="201"/>
      <c r="E6261" s="202"/>
      <c r="F6261" s="210"/>
      <c r="G6261" s="210"/>
      <c r="H6261" s="206" t="s">
        <v>121</v>
      </c>
      <c r="I6261" s="206" t="s">
        <v>121</v>
      </c>
      <c r="J6261" s="206" t="s">
        <v>121</v>
      </c>
      <c r="K6261" s="206" t="s">
        <v>121</v>
      </c>
      <c r="L6261" s="206" t="str">
        <v/>
      </c>
      <c r="M6261" s="206" t="str">
        <v/>
      </c>
    </row>
    <row r="6262" spans="1:13" ht="14.4">
      <c r="A6262" s="201"/>
      <c r="B6262" s="209"/>
      <c r="C6262" s="201"/>
      <c r="D6262" s="201"/>
      <c r="E6262" s="202"/>
      <c r="F6262" s="210"/>
      <c r="G6262" s="210"/>
      <c r="H6262" s="206" t="s">
        <v>121</v>
      </c>
      <c r="I6262" s="206" t="s">
        <v>121</v>
      </c>
      <c r="J6262" s="206" t="s">
        <v>121</v>
      </c>
      <c r="K6262" s="206" t="s">
        <v>121</v>
      </c>
      <c r="L6262" s="206" t="str">
        <v/>
      </c>
      <c r="M6262" s="206" t="str">
        <v/>
      </c>
    </row>
    <row r="6263" spans="1:13" ht="14.4">
      <c r="A6263" s="201"/>
      <c r="B6263" s="209"/>
      <c r="C6263" s="201"/>
      <c r="D6263" s="201"/>
      <c r="E6263" s="202"/>
      <c r="F6263" s="210"/>
      <c r="G6263" s="210"/>
      <c r="H6263" s="206" t="s">
        <v>121</v>
      </c>
      <c r="I6263" s="206" t="s">
        <v>121</v>
      </c>
      <c r="J6263" s="206" t="s">
        <v>121</v>
      </c>
      <c r="K6263" s="206" t="s">
        <v>121</v>
      </c>
      <c r="L6263" s="206" t="str">
        <v/>
      </c>
      <c r="M6263" s="206" t="str">
        <v/>
      </c>
    </row>
    <row r="6264" spans="1:13" ht="14.4">
      <c r="A6264" s="201"/>
      <c r="B6264" s="209"/>
      <c r="C6264" s="201"/>
      <c r="D6264" s="201"/>
      <c r="E6264" s="202"/>
      <c r="F6264" s="210"/>
      <c r="G6264" s="210"/>
      <c r="H6264" s="206" t="s">
        <v>121</v>
      </c>
      <c r="I6264" s="206" t="s">
        <v>121</v>
      </c>
      <c r="J6264" s="206" t="s">
        <v>121</v>
      </c>
      <c r="K6264" s="206" t="s">
        <v>121</v>
      </c>
      <c r="L6264" s="206" t="str">
        <v/>
      </c>
      <c r="M6264" s="206" t="str">
        <v/>
      </c>
    </row>
    <row r="6265" spans="1:13" ht="14.4">
      <c r="A6265" s="201"/>
      <c r="B6265" s="209"/>
      <c r="C6265" s="201"/>
      <c r="D6265" s="201"/>
      <c r="E6265" s="202"/>
      <c r="F6265" s="210"/>
      <c r="G6265" s="210"/>
      <c r="H6265" s="206" t="s">
        <v>121</v>
      </c>
      <c r="I6265" s="206" t="s">
        <v>121</v>
      </c>
      <c r="J6265" s="206" t="s">
        <v>121</v>
      </c>
      <c r="K6265" s="206" t="s">
        <v>121</v>
      </c>
      <c r="L6265" s="206" t="str">
        <v/>
      </c>
      <c r="M6265" s="206" t="str">
        <v/>
      </c>
    </row>
    <row r="6266" spans="1:13" ht="14.4">
      <c r="A6266" s="201"/>
      <c r="B6266" s="209"/>
      <c r="C6266" s="201"/>
      <c r="D6266" s="201"/>
      <c r="E6266" s="202"/>
      <c r="F6266" s="210"/>
      <c r="G6266" s="210"/>
      <c r="H6266" s="206" t="s">
        <v>121</v>
      </c>
      <c r="I6266" s="206" t="s">
        <v>121</v>
      </c>
      <c r="J6266" s="206" t="s">
        <v>121</v>
      </c>
      <c r="K6266" s="206" t="s">
        <v>121</v>
      </c>
      <c r="L6266" s="206" t="str">
        <v/>
      </c>
      <c r="M6266" s="206" t="str">
        <v/>
      </c>
    </row>
    <row r="6267" spans="1:13" ht="14.4">
      <c r="A6267" s="201"/>
      <c r="B6267" s="209"/>
      <c r="C6267" s="201"/>
      <c r="D6267" s="201"/>
      <c r="E6267" s="202"/>
      <c r="F6267" s="210"/>
      <c r="G6267" s="210"/>
      <c r="H6267" s="206" t="s">
        <v>121</v>
      </c>
      <c r="I6267" s="206" t="s">
        <v>121</v>
      </c>
      <c r="J6267" s="206" t="s">
        <v>121</v>
      </c>
      <c r="K6267" s="206" t="s">
        <v>121</v>
      </c>
      <c r="L6267" s="206" t="str">
        <v/>
      </c>
      <c r="M6267" s="206" t="str">
        <v/>
      </c>
    </row>
    <row r="6268" spans="1:13" ht="14.4">
      <c r="A6268" s="201"/>
      <c r="B6268" s="209"/>
      <c r="C6268" s="201"/>
      <c r="D6268" s="201"/>
      <c r="E6268" s="202"/>
      <c r="F6268" s="210"/>
      <c r="G6268" s="210"/>
      <c r="H6268" s="206" t="s">
        <v>121</v>
      </c>
      <c r="I6268" s="206" t="s">
        <v>121</v>
      </c>
      <c r="J6268" s="206" t="s">
        <v>121</v>
      </c>
      <c r="K6268" s="206" t="s">
        <v>121</v>
      </c>
      <c r="L6268" s="206" t="str">
        <v/>
      </c>
      <c r="M6268" s="206" t="str">
        <v/>
      </c>
    </row>
    <row r="6269" spans="1:13" ht="14.4">
      <c r="A6269" s="201"/>
      <c r="B6269" s="209"/>
      <c r="C6269" s="201"/>
      <c r="D6269" s="201"/>
      <c r="E6269" s="202"/>
      <c r="F6269" s="210"/>
      <c r="G6269" s="210"/>
      <c r="H6269" s="206" t="s">
        <v>121</v>
      </c>
      <c r="I6269" s="206" t="s">
        <v>121</v>
      </c>
      <c r="J6269" s="206" t="s">
        <v>121</v>
      </c>
      <c r="K6269" s="206" t="s">
        <v>121</v>
      </c>
      <c r="L6269" s="206" t="str">
        <v/>
      </c>
      <c r="M6269" s="206" t="str">
        <v/>
      </c>
    </row>
    <row r="6270" spans="1:13" ht="14.4">
      <c r="A6270" s="201"/>
      <c r="B6270" s="209"/>
      <c r="C6270" s="201"/>
      <c r="D6270" s="201"/>
      <c r="E6270" s="202"/>
      <c r="F6270" s="210"/>
      <c r="G6270" s="210"/>
      <c r="H6270" s="206" t="s">
        <v>121</v>
      </c>
      <c r="I6270" s="206" t="s">
        <v>121</v>
      </c>
      <c r="J6270" s="206" t="s">
        <v>121</v>
      </c>
      <c r="K6270" s="206" t="s">
        <v>121</v>
      </c>
      <c r="L6270" s="206" t="str">
        <v/>
      </c>
      <c r="M6270" s="206" t="str">
        <v/>
      </c>
    </row>
    <row r="6271" spans="1:13" ht="14.4">
      <c r="A6271" s="201"/>
      <c r="B6271" s="209"/>
      <c r="C6271" s="201"/>
      <c r="D6271" s="201"/>
      <c r="E6271" s="202"/>
      <c r="F6271" s="210"/>
      <c r="G6271" s="210"/>
      <c r="H6271" s="206" t="s">
        <v>121</v>
      </c>
      <c r="I6271" s="206" t="s">
        <v>121</v>
      </c>
      <c r="J6271" s="206" t="s">
        <v>121</v>
      </c>
      <c r="K6271" s="206" t="s">
        <v>121</v>
      </c>
      <c r="L6271" s="206" t="str">
        <v/>
      </c>
      <c r="M6271" s="206" t="str">
        <v/>
      </c>
    </row>
    <row r="6272" spans="1:13" ht="14.4">
      <c r="A6272" s="201"/>
      <c r="B6272" s="209"/>
      <c r="C6272" s="201"/>
      <c r="D6272" s="201"/>
      <c r="E6272" s="202"/>
      <c r="F6272" s="210"/>
      <c r="G6272" s="210"/>
      <c r="H6272" s="206" t="s">
        <v>121</v>
      </c>
      <c r="I6272" s="206" t="s">
        <v>121</v>
      </c>
      <c r="J6272" s="206" t="s">
        <v>121</v>
      </c>
      <c r="K6272" s="206" t="s">
        <v>121</v>
      </c>
      <c r="L6272" s="206" t="str">
        <v/>
      </c>
      <c r="M6272" s="206" t="str">
        <v/>
      </c>
    </row>
    <row r="6273" spans="1:13" ht="14.4">
      <c r="A6273" s="201"/>
      <c r="B6273" s="209"/>
      <c r="C6273" s="201"/>
      <c r="D6273" s="201"/>
      <c r="E6273" s="202"/>
      <c r="F6273" s="210"/>
      <c r="G6273" s="210"/>
      <c r="H6273" s="206" t="s">
        <v>121</v>
      </c>
      <c r="I6273" s="206" t="s">
        <v>121</v>
      </c>
      <c r="J6273" s="206" t="s">
        <v>121</v>
      </c>
      <c r="K6273" s="206" t="s">
        <v>121</v>
      </c>
      <c r="L6273" s="206" t="str">
        <v/>
      </c>
      <c r="M6273" s="206" t="str">
        <v/>
      </c>
    </row>
    <row r="6274" spans="1:13" ht="14.4">
      <c r="A6274" s="201"/>
      <c r="B6274" s="209"/>
      <c r="C6274" s="201"/>
      <c r="D6274" s="201"/>
      <c r="E6274" s="202"/>
      <c r="F6274" s="210"/>
      <c r="G6274" s="210"/>
      <c r="H6274" s="206" t="s">
        <v>121</v>
      </c>
      <c r="I6274" s="206" t="s">
        <v>121</v>
      </c>
      <c r="J6274" s="206" t="s">
        <v>121</v>
      </c>
      <c r="K6274" s="206" t="s">
        <v>121</v>
      </c>
      <c r="L6274" s="206" t="str">
        <v/>
      </c>
      <c r="M6274" s="206" t="str">
        <v/>
      </c>
    </row>
    <row r="6275" spans="1:13" ht="14.4">
      <c r="A6275" s="201"/>
      <c r="B6275" s="209"/>
      <c r="C6275" s="201"/>
      <c r="D6275" s="201"/>
      <c r="E6275" s="202"/>
      <c r="F6275" s="210"/>
      <c r="G6275" s="210"/>
      <c r="H6275" s="206" t="s">
        <v>121</v>
      </c>
      <c r="I6275" s="206" t="s">
        <v>121</v>
      </c>
      <c r="J6275" s="206" t="s">
        <v>121</v>
      </c>
      <c r="K6275" s="206" t="s">
        <v>121</v>
      </c>
      <c r="L6275" s="206" t="str">
        <v/>
      </c>
      <c r="M6275" s="206" t="str">
        <v/>
      </c>
    </row>
    <row r="6276" spans="1:13" ht="14.4">
      <c r="A6276" s="201"/>
      <c r="B6276" s="209"/>
      <c r="C6276" s="201"/>
      <c r="D6276" s="201"/>
      <c r="E6276" s="202"/>
      <c r="F6276" s="210"/>
      <c r="G6276" s="210"/>
      <c r="H6276" s="206" t="s">
        <v>121</v>
      </c>
      <c r="I6276" s="206" t="s">
        <v>121</v>
      </c>
      <c r="J6276" s="206" t="s">
        <v>121</v>
      </c>
      <c r="K6276" s="206" t="s">
        <v>121</v>
      </c>
      <c r="L6276" s="206" t="str">
        <v/>
      </c>
      <c r="M6276" s="206" t="str">
        <v/>
      </c>
    </row>
    <row r="6277" spans="1:13" ht="14.4">
      <c r="A6277" s="201"/>
      <c r="B6277" s="209"/>
      <c r="C6277" s="201"/>
      <c r="D6277" s="201"/>
      <c r="E6277" s="202"/>
      <c r="F6277" s="210"/>
      <c r="G6277" s="210"/>
      <c r="H6277" s="206" t="s">
        <v>121</v>
      </c>
      <c r="I6277" s="206" t="s">
        <v>121</v>
      </c>
      <c r="J6277" s="206" t="s">
        <v>121</v>
      </c>
      <c r="K6277" s="206" t="s">
        <v>121</v>
      </c>
      <c r="L6277" s="206" t="str">
        <v/>
      </c>
      <c r="M6277" s="206" t="str">
        <v/>
      </c>
    </row>
    <row r="6278" spans="1:13" ht="14.4">
      <c r="A6278" s="201"/>
      <c r="B6278" s="209"/>
      <c r="C6278" s="201"/>
      <c r="D6278" s="201"/>
      <c r="E6278" s="202"/>
      <c r="F6278" s="210"/>
      <c r="G6278" s="210"/>
      <c r="H6278" s="206" t="s">
        <v>121</v>
      </c>
      <c r="I6278" s="206" t="s">
        <v>121</v>
      </c>
      <c r="J6278" s="206" t="s">
        <v>121</v>
      </c>
      <c r="K6278" s="206" t="s">
        <v>121</v>
      </c>
      <c r="L6278" s="206" t="str">
        <v/>
      </c>
      <c r="M6278" s="206" t="str">
        <v/>
      </c>
    </row>
    <row r="6279" spans="1:13" ht="14.4">
      <c r="A6279" s="201"/>
      <c r="B6279" s="209"/>
      <c r="C6279" s="201"/>
      <c r="D6279" s="201"/>
      <c r="E6279" s="202"/>
      <c r="F6279" s="210"/>
      <c r="G6279" s="210"/>
      <c r="H6279" s="206" t="s">
        <v>121</v>
      </c>
      <c r="I6279" s="206" t="s">
        <v>121</v>
      </c>
      <c r="J6279" s="206" t="s">
        <v>121</v>
      </c>
      <c r="K6279" s="206" t="s">
        <v>121</v>
      </c>
      <c r="L6279" s="206" t="str">
        <v/>
      </c>
      <c r="M6279" s="206" t="str">
        <v/>
      </c>
    </row>
    <row r="6280" spans="1:13" ht="14.4">
      <c r="A6280" s="201"/>
      <c r="B6280" s="209"/>
      <c r="C6280" s="201"/>
      <c r="D6280" s="201"/>
      <c r="E6280" s="202"/>
      <c r="F6280" s="210"/>
      <c r="G6280" s="210"/>
      <c r="H6280" s="206" t="s">
        <v>121</v>
      </c>
      <c r="I6280" s="206" t="s">
        <v>121</v>
      </c>
      <c r="J6280" s="206" t="s">
        <v>121</v>
      </c>
      <c r="K6280" s="206" t="s">
        <v>121</v>
      </c>
      <c r="L6280" s="206" t="str">
        <v/>
      </c>
      <c r="M6280" s="206" t="str">
        <v/>
      </c>
    </row>
    <row r="6281" spans="1:13" ht="14.4">
      <c r="A6281" s="201"/>
      <c r="B6281" s="209"/>
      <c r="C6281" s="201"/>
      <c r="D6281" s="201"/>
      <c r="E6281" s="202"/>
      <c r="F6281" s="210"/>
      <c r="G6281" s="210"/>
      <c r="H6281" s="206" t="s">
        <v>121</v>
      </c>
      <c r="I6281" s="206" t="s">
        <v>121</v>
      </c>
      <c r="J6281" s="206" t="s">
        <v>121</v>
      </c>
      <c r="K6281" s="206" t="s">
        <v>121</v>
      </c>
      <c r="L6281" s="206" t="str">
        <v/>
      </c>
      <c r="M6281" s="206" t="str">
        <v/>
      </c>
    </row>
    <row r="6282" spans="1:13" ht="14.4">
      <c r="A6282" s="201"/>
      <c r="B6282" s="209"/>
      <c r="C6282" s="201"/>
      <c r="D6282" s="201"/>
      <c r="E6282" s="202"/>
      <c r="F6282" s="210"/>
      <c r="G6282" s="210"/>
      <c r="H6282" s="206" t="s">
        <v>121</v>
      </c>
      <c r="I6282" s="206" t="s">
        <v>121</v>
      </c>
      <c r="J6282" s="206" t="s">
        <v>121</v>
      </c>
      <c r="K6282" s="206" t="s">
        <v>121</v>
      </c>
      <c r="L6282" s="206" t="str">
        <v/>
      </c>
      <c r="M6282" s="206" t="str">
        <v/>
      </c>
    </row>
    <row r="6283" spans="1:13" ht="14.4">
      <c r="A6283" s="201"/>
      <c r="B6283" s="209"/>
      <c r="C6283" s="201"/>
      <c r="D6283" s="201"/>
      <c r="E6283" s="202"/>
      <c r="F6283" s="210"/>
      <c r="G6283" s="210"/>
      <c r="H6283" s="206" t="s">
        <v>121</v>
      </c>
      <c r="I6283" s="206" t="s">
        <v>121</v>
      </c>
      <c r="J6283" s="206" t="s">
        <v>121</v>
      </c>
      <c r="K6283" s="206" t="s">
        <v>121</v>
      </c>
      <c r="L6283" s="206" t="str">
        <v/>
      </c>
      <c r="M6283" s="206" t="str">
        <v/>
      </c>
    </row>
    <row r="6284" spans="1:13" ht="14.4">
      <c r="A6284" s="201"/>
      <c r="B6284" s="209"/>
      <c r="C6284" s="201"/>
      <c r="D6284" s="201"/>
      <c r="E6284" s="202"/>
      <c r="F6284" s="210"/>
      <c r="G6284" s="210"/>
      <c r="H6284" s="206" t="s">
        <v>121</v>
      </c>
      <c r="I6284" s="206" t="s">
        <v>121</v>
      </c>
      <c r="J6284" s="206" t="s">
        <v>121</v>
      </c>
      <c r="K6284" s="206" t="s">
        <v>121</v>
      </c>
      <c r="L6284" s="206" t="str">
        <v/>
      </c>
      <c r="M6284" s="206" t="str">
        <v/>
      </c>
    </row>
    <row r="6285" spans="1:13" ht="14.4">
      <c r="A6285" s="201"/>
      <c r="B6285" s="209"/>
      <c r="C6285" s="201"/>
      <c r="D6285" s="201"/>
      <c r="E6285" s="202"/>
      <c r="F6285" s="210"/>
      <c r="G6285" s="210"/>
      <c r="H6285" s="206" t="s">
        <v>121</v>
      </c>
      <c r="I6285" s="206" t="s">
        <v>121</v>
      </c>
      <c r="J6285" s="206" t="s">
        <v>121</v>
      </c>
      <c r="K6285" s="206" t="s">
        <v>121</v>
      </c>
      <c r="L6285" s="206" t="str">
        <v/>
      </c>
      <c r="M6285" s="206" t="str">
        <v/>
      </c>
    </row>
    <row r="6286" spans="1:13" ht="14.4">
      <c r="A6286" s="201"/>
      <c r="B6286" s="209"/>
      <c r="C6286" s="201"/>
      <c r="D6286" s="201"/>
      <c r="E6286" s="202"/>
      <c r="F6286" s="210"/>
      <c r="G6286" s="210"/>
      <c r="H6286" s="206" t="s">
        <v>121</v>
      </c>
      <c r="I6286" s="206" t="s">
        <v>121</v>
      </c>
      <c r="J6286" s="206" t="s">
        <v>121</v>
      </c>
      <c r="K6286" s="206" t="s">
        <v>121</v>
      </c>
      <c r="L6286" s="206" t="str">
        <v/>
      </c>
      <c r="M6286" s="206" t="str">
        <v/>
      </c>
    </row>
    <row r="6287" spans="1:13" ht="14.4">
      <c r="A6287" s="201"/>
      <c r="B6287" s="209"/>
      <c r="C6287" s="201"/>
      <c r="D6287" s="201"/>
      <c r="E6287" s="202"/>
      <c r="F6287" s="210"/>
      <c r="G6287" s="210"/>
      <c r="H6287" s="206" t="s">
        <v>121</v>
      </c>
      <c r="I6287" s="206" t="s">
        <v>121</v>
      </c>
      <c r="J6287" s="206" t="s">
        <v>121</v>
      </c>
      <c r="K6287" s="206" t="s">
        <v>121</v>
      </c>
      <c r="L6287" s="206" t="str">
        <v/>
      </c>
      <c r="M6287" s="206" t="str">
        <v/>
      </c>
    </row>
    <row r="6288" spans="1:13" ht="14.4">
      <c r="A6288" s="201"/>
      <c r="B6288" s="209"/>
      <c r="C6288" s="201"/>
      <c r="D6288" s="201"/>
      <c r="E6288" s="202"/>
      <c r="F6288" s="210"/>
      <c r="G6288" s="210"/>
      <c r="H6288" s="206" t="s">
        <v>121</v>
      </c>
      <c r="I6288" s="206" t="s">
        <v>121</v>
      </c>
      <c r="J6288" s="206" t="s">
        <v>121</v>
      </c>
      <c r="K6288" s="206" t="s">
        <v>121</v>
      </c>
      <c r="L6288" s="206" t="str">
        <v/>
      </c>
      <c r="M6288" s="206" t="str">
        <v/>
      </c>
    </row>
    <row r="6289" spans="1:13" ht="14.4">
      <c r="A6289" s="201"/>
      <c r="B6289" s="209"/>
      <c r="C6289" s="201"/>
      <c r="D6289" s="201"/>
      <c r="E6289" s="202"/>
      <c r="F6289" s="210"/>
      <c r="G6289" s="210"/>
      <c r="H6289" s="206" t="s">
        <v>121</v>
      </c>
      <c r="I6289" s="206" t="s">
        <v>121</v>
      </c>
      <c r="J6289" s="206" t="s">
        <v>121</v>
      </c>
      <c r="K6289" s="206" t="s">
        <v>121</v>
      </c>
      <c r="L6289" s="206" t="str">
        <v/>
      </c>
      <c r="M6289" s="206" t="str">
        <v/>
      </c>
    </row>
    <row r="6290" spans="1:13" ht="14.4">
      <c r="A6290" s="201"/>
      <c r="B6290" s="209"/>
      <c r="C6290" s="201"/>
      <c r="D6290" s="201"/>
      <c r="E6290" s="202"/>
      <c r="F6290" s="210"/>
      <c r="G6290" s="210"/>
      <c r="H6290" s="206" t="s">
        <v>121</v>
      </c>
      <c r="I6290" s="206" t="s">
        <v>121</v>
      </c>
      <c r="J6290" s="206" t="s">
        <v>121</v>
      </c>
      <c r="K6290" s="206" t="s">
        <v>121</v>
      </c>
      <c r="L6290" s="206" t="str">
        <v/>
      </c>
      <c r="M6290" s="206" t="str">
        <v/>
      </c>
    </row>
    <row r="6291" spans="1:13" ht="14.4">
      <c r="A6291" s="201"/>
      <c r="B6291" s="209"/>
      <c r="C6291" s="201"/>
      <c r="D6291" s="201"/>
      <c r="E6291" s="202"/>
      <c r="F6291" s="210"/>
      <c r="G6291" s="210"/>
      <c r="H6291" s="206" t="s">
        <v>121</v>
      </c>
      <c r="I6291" s="206" t="s">
        <v>121</v>
      </c>
      <c r="J6291" s="206" t="s">
        <v>121</v>
      </c>
      <c r="K6291" s="206" t="s">
        <v>121</v>
      </c>
      <c r="L6291" s="206" t="str">
        <v/>
      </c>
      <c r="M6291" s="206" t="str">
        <v/>
      </c>
    </row>
    <row r="6292" spans="1:13" ht="14.4">
      <c r="A6292" s="201"/>
      <c r="B6292" s="209"/>
      <c r="C6292" s="201"/>
      <c r="D6292" s="201"/>
      <c r="E6292" s="202"/>
      <c r="F6292" s="210"/>
      <c r="G6292" s="210"/>
      <c r="H6292" s="206" t="s">
        <v>121</v>
      </c>
      <c r="I6292" s="206" t="s">
        <v>121</v>
      </c>
      <c r="J6292" s="206" t="s">
        <v>121</v>
      </c>
      <c r="K6292" s="206" t="s">
        <v>121</v>
      </c>
      <c r="L6292" s="206" t="str">
        <v/>
      </c>
      <c r="M6292" s="206" t="str">
        <v/>
      </c>
    </row>
    <row r="6293" spans="1:13" ht="14.4">
      <c r="A6293" s="201"/>
      <c r="B6293" s="209"/>
      <c r="C6293" s="201"/>
      <c r="D6293" s="201"/>
      <c r="E6293" s="202"/>
      <c r="F6293" s="210"/>
      <c r="G6293" s="210"/>
      <c r="H6293" s="206" t="s">
        <v>121</v>
      </c>
      <c r="I6293" s="206" t="s">
        <v>121</v>
      </c>
      <c r="J6293" s="206" t="s">
        <v>121</v>
      </c>
      <c r="K6293" s="206" t="s">
        <v>121</v>
      </c>
      <c r="L6293" s="206" t="str">
        <v/>
      </c>
      <c r="M6293" s="206" t="str">
        <v/>
      </c>
    </row>
    <row r="6294" spans="1:13" ht="14.4">
      <c r="A6294" s="201"/>
      <c r="B6294" s="209"/>
      <c r="C6294" s="201"/>
      <c r="D6294" s="201"/>
      <c r="E6294" s="202"/>
      <c r="F6294" s="210"/>
      <c r="G6294" s="210"/>
      <c r="H6294" s="206" t="s">
        <v>121</v>
      </c>
      <c r="I6294" s="206" t="s">
        <v>121</v>
      </c>
      <c r="J6294" s="206" t="s">
        <v>121</v>
      </c>
      <c r="K6294" s="206" t="s">
        <v>121</v>
      </c>
      <c r="L6294" s="206" t="str">
        <v/>
      </c>
      <c r="M6294" s="206" t="str">
        <v/>
      </c>
    </row>
    <row r="6295" spans="1:13" ht="14.4">
      <c r="A6295" s="201"/>
      <c r="B6295" s="209"/>
      <c r="C6295" s="201"/>
      <c r="D6295" s="201"/>
      <c r="E6295" s="202"/>
      <c r="F6295" s="210"/>
      <c r="G6295" s="210"/>
      <c r="H6295" s="206" t="s">
        <v>121</v>
      </c>
      <c r="I6295" s="206" t="s">
        <v>121</v>
      </c>
      <c r="J6295" s="206" t="s">
        <v>121</v>
      </c>
      <c r="K6295" s="206" t="s">
        <v>121</v>
      </c>
      <c r="L6295" s="206" t="str">
        <v/>
      </c>
      <c r="M6295" s="206" t="str">
        <v/>
      </c>
    </row>
    <row r="6296" spans="1:13" ht="14.4">
      <c r="A6296" s="201"/>
      <c r="B6296" s="209"/>
      <c r="C6296" s="201"/>
      <c r="D6296" s="201"/>
      <c r="E6296" s="202"/>
      <c r="F6296" s="210"/>
      <c r="G6296" s="210"/>
      <c r="H6296" s="206" t="s">
        <v>121</v>
      </c>
      <c r="I6296" s="206" t="s">
        <v>121</v>
      </c>
      <c r="J6296" s="206" t="s">
        <v>121</v>
      </c>
      <c r="K6296" s="206" t="s">
        <v>121</v>
      </c>
      <c r="L6296" s="206" t="str">
        <v/>
      </c>
      <c r="M6296" s="206" t="str">
        <v/>
      </c>
    </row>
    <row r="6297" spans="1:13" ht="14.4">
      <c r="A6297" s="201"/>
      <c r="B6297" s="209"/>
      <c r="C6297" s="201"/>
      <c r="D6297" s="201"/>
      <c r="E6297" s="202"/>
      <c r="F6297" s="210"/>
      <c r="G6297" s="210"/>
      <c r="H6297" s="206" t="s">
        <v>121</v>
      </c>
      <c r="I6297" s="206" t="s">
        <v>121</v>
      </c>
      <c r="J6297" s="206" t="s">
        <v>121</v>
      </c>
      <c r="K6297" s="206" t="s">
        <v>121</v>
      </c>
      <c r="L6297" s="206" t="str">
        <v/>
      </c>
      <c r="M6297" s="206" t="str">
        <v/>
      </c>
    </row>
    <row r="6298" spans="1:13" ht="14.4">
      <c r="A6298" s="201"/>
      <c r="B6298" s="209"/>
      <c r="C6298" s="201"/>
      <c r="D6298" s="201"/>
      <c r="E6298" s="202"/>
      <c r="F6298" s="210"/>
      <c r="G6298" s="210"/>
      <c r="H6298" s="206" t="s">
        <v>121</v>
      </c>
      <c r="I6298" s="206" t="s">
        <v>121</v>
      </c>
      <c r="J6298" s="206" t="s">
        <v>121</v>
      </c>
      <c r="K6298" s="206" t="s">
        <v>121</v>
      </c>
      <c r="L6298" s="206" t="str">
        <v/>
      </c>
      <c r="M6298" s="206" t="str">
        <v/>
      </c>
    </row>
    <row r="6299" spans="1:13" ht="14.4">
      <c r="A6299" s="201"/>
      <c r="B6299" s="209"/>
      <c r="C6299" s="201"/>
      <c r="D6299" s="201"/>
      <c r="E6299" s="202"/>
      <c r="F6299" s="210"/>
      <c r="G6299" s="210"/>
      <c r="H6299" s="206" t="s">
        <v>121</v>
      </c>
      <c r="I6299" s="206" t="s">
        <v>121</v>
      </c>
      <c r="J6299" s="206" t="s">
        <v>121</v>
      </c>
      <c r="K6299" s="206" t="s">
        <v>121</v>
      </c>
      <c r="L6299" s="206" t="str">
        <v/>
      </c>
      <c r="M6299" s="206" t="str">
        <v/>
      </c>
    </row>
    <row r="6300" spans="1:13" ht="14.4">
      <c r="A6300" s="201"/>
      <c r="B6300" s="209"/>
      <c r="C6300" s="201"/>
      <c r="D6300" s="201"/>
      <c r="E6300" s="202"/>
      <c r="F6300" s="210"/>
      <c r="G6300" s="210"/>
      <c r="H6300" s="206" t="s">
        <v>121</v>
      </c>
      <c r="I6300" s="206" t="s">
        <v>121</v>
      </c>
      <c r="J6300" s="206" t="s">
        <v>121</v>
      </c>
      <c r="K6300" s="206" t="s">
        <v>121</v>
      </c>
      <c r="L6300" s="206" t="str">
        <v/>
      </c>
      <c r="M6300" s="206" t="str">
        <v/>
      </c>
    </row>
    <row r="6301" spans="1:13" ht="14.4">
      <c r="A6301" s="201"/>
      <c r="B6301" s="209"/>
      <c r="C6301" s="201"/>
      <c r="D6301" s="201"/>
      <c r="E6301" s="202"/>
      <c r="F6301" s="210"/>
      <c r="G6301" s="210"/>
      <c r="H6301" s="206" t="s">
        <v>121</v>
      </c>
      <c r="I6301" s="206" t="s">
        <v>121</v>
      </c>
      <c r="J6301" s="206" t="s">
        <v>121</v>
      </c>
      <c r="K6301" s="206" t="s">
        <v>121</v>
      </c>
      <c r="L6301" s="206" t="str">
        <v/>
      </c>
      <c r="M6301" s="206" t="str">
        <v/>
      </c>
    </row>
    <row r="6302" spans="1:13" ht="14.4">
      <c r="A6302" s="201"/>
      <c r="B6302" s="209"/>
      <c r="C6302" s="201"/>
      <c r="D6302" s="201"/>
      <c r="E6302" s="202"/>
      <c r="F6302" s="210"/>
      <c r="G6302" s="210"/>
      <c r="H6302" s="206" t="s">
        <v>121</v>
      </c>
      <c r="I6302" s="206" t="s">
        <v>121</v>
      </c>
      <c r="J6302" s="206" t="s">
        <v>121</v>
      </c>
      <c r="K6302" s="206" t="s">
        <v>121</v>
      </c>
      <c r="L6302" s="206" t="str">
        <v/>
      </c>
      <c r="M6302" s="206" t="str">
        <v/>
      </c>
    </row>
    <row r="6303" spans="1:13" ht="14.4">
      <c r="A6303" s="201"/>
      <c r="B6303" s="209"/>
      <c r="C6303" s="201"/>
      <c r="D6303" s="201"/>
      <c r="E6303" s="202"/>
      <c r="F6303" s="210"/>
      <c r="G6303" s="210"/>
      <c r="H6303" s="206" t="s">
        <v>121</v>
      </c>
      <c r="I6303" s="206" t="s">
        <v>121</v>
      </c>
      <c r="J6303" s="206" t="s">
        <v>121</v>
      </c>
      <c r="K6303" s="206" t="s">
        <v>121</v>
      </c>
      <c r="L6303" s="206" t="str">
        <v/>
      </c>
      <c r="M6303" s="206" t="str">
        <v/>
      </c>
    </row>
    <row r="6304" spans="1:13" ht="14.4">
      <c r="A6304" s="201"/>
      <c r="B6304" s="209"/>
      <c r="C6304" s="201"/>
      <c r="D6304" s="201"/>
      <c r="E6304" s="202"/>
      <c r="F6304" s="210"/>
      <c r="G6304" s="210"/>
      <c r="H6304" s="206" t="s">
        <v>121</v>
      </c>
      <c r="I6304" s="206" t="s">
        <v>121</v>
      </c>
      <c r="J6304" s="206" t="s">
        <v>121</v>
      </c>
      <c r="K6304" s="206" t="s">
        <v>121</v>
      </c>
      <c r="L6304" s="206" t="str">
        <v/>
      </c>
      <c r="M6304" s="206" t="str">
        <v/>
      </c>
    </row>
    <row r="6305" spans="1:13" ht="14.4">
      <c r="A6305" s="201"/>
      <c r="B6305" s="209"/>
      <c r="C6305" s="201"/>
      <c r="D6305" s="201"/>
      <c r="E6305" s="202"/>
      <c r="F6305" s="210"/>
      <c r="G6305" s="210"/>
      <c r="H6305" s="206" t="s">
        <v>121</v>
      </c>
      <c r="I6305" s="206" t="s">
        <v>121</v>
      </c>
      <c r="J6305" s="206" t="s">
        <v>121</v>
      </c>
      <c r="K6305" s="206" t="s">
        <v>121</v>
      </c>
      <c r="L6305" s="206" t="str">
        <v/>
      </c>
      <c r="M6305" s="206" t="str">
        <v/>
      </c>
    </row>
    <row r="6306" spans="1:13" ht="14.4">
      <c r="A6306" s="201"/>
      <c r="B6306" s="209"/>
      <c r="C6306" s="201"/>
      <c r="D6306" s="201"/>
      <c r="E6306" s="202"/>
      <c r="F6306" s="210"/>
      <c r="G6306" s="210"/>
      <c r="H6306" s="206" t="s">
        <v>121</v>
      </c>
      <c r="I6306" s="206" t="s">
        <v>121</v>
      </c>
      <c r="J6306" s="206" t="s">
        <v>121</v>
      </c>
      <c r="K6306" s="206" t="s">
        <v>121</v>
      </c>
      <c r="L6306" s="206" t="str">
        <v/>
      </c>
      <c r="M6306" s="206" t="str">
        <v/>
      </c>
    </row>
    <row r="6307" spans="1:13" ht="14.4">
      <c r="A6307" s="201"/>
      <c r="B6307" s="209"/>
      <c r="C6307" s="201"/>
      <c r="D6307" s="201"/>
      <c r="E6307" s="202"/>
      <c r="F6307" s="210"/>
      <c r="G6307" s="210"/>
      <c r="H6307" s="206" t="s">
        <v>121</v>
      </c>
      <c r="I6307" s="206" t="s">
        <v>121</v>
      </c>
      <c r="J6307" s="206" t="s">
        <v>121</v>
      </c>
      <c r="K6307" s="206" t="s">
        <v>121</v>
      </c>
      <c r="L6307" s="206" t="str">
        <v/>
      </c>
      <c r="M6307" s="206" t="str">
        <v/>
      </c>
    </row>
    <row r="6308" spans="1:13" ht="14.4">
      <c r="A6308" s="201"/>
      <c r="B6308" s="209"/>
      <c r="C6308" s="201"/>
      <c r="D6308" s="201"/>
      <c r="E6308" s="202"/>
      <c r="F6308" s="210"/>
      <c r="G6308" s="210"/>
      <c r="H6308" s="206" t="s">
        <v>121</v>
      </c>
      <c r="I6308" s="206" t="s">
        <v>121</v>
      </c>
      <c r="J6308" s="206" t="s">
        <v>121</v>
      </c>
      <c r="K6308" s="206" t="s">
        <v>121</v>
      </c>
      <c r="L6308" s="206" t="str">
        <v/>
      </c>
      <c r="M6308" s="206" t="str">
        <v/>
      </c>
    </row>
    <row r="6309" spans="1:13" ht="14.4">
      <c r="A6309" s="201"/>
      <c r="B6309" s="209"/>
      <c r="C6309" s="201"/>
      <c r="D6309" s="201"/>
      <c r="E6309" s="202"/>
      <c r="F6309" s="210"/>
      <c r="G6309" s="210"/>
      <c r="H6309" s="206" t="s">
        <v>121</v>
      </c>
      <c r="I6309" s="206" t="s">
        <v>121</v>
      </c>
      <c r="J6309" s="206" t="s">
        <v>121</v>
      </c>
      <c r="K6309" s="206" t="s">
        <v>121</v>
      </c>
      <c r="L6309" s="206" t="str">
        <v/>
      </c>
      <c r="M6309" s="206" t="str">
        <v/>
      </c>
    </row>
    <row r="6310" spans="1:13" ht="14.4">
      <c r="A6310" s="201"/>
      <c r="B6310" s="209"/>
      <c r="C6310" s="201"/>
      <c r="D6310" s="201"/>
      <c r="E6310" s="202"/>
      <c r="F6310" s="210"/>
      <c r="G6310" s="210"/>
      <c r="H6310" s="206" t="s">
        <v>121</v>
      </c>
      <c r="I6310" s="206" t="s">
        <v>121</v>
      </c>
      <c r="J6310" s="206" t="s">
        <v>121</v>
      </c>
      <c r="K6310" s="206" t="s">
        <v>121</v>
      </c>
      <c r="L6310" s="206" t="str">
        <v/>
      </c>
      <c r="M6310" s="206" t="str">
        <v/>
      </c>
    </row>
    <row r="6311" spans="1:13" ht="14.4">
      <c r="A6311" s="201"/>
      <c r="B6311" s="209"/>
      <c r="C6311" s="201"/>
      <c r="D6311" s="201"/>
      <c r="E6311" s="202"/>
      <c r="F6311" s="210"/>
      <c r="G6311" s="210"/>
      <c r="H6311" s="206" t="s">
        <v>121</v>
      </c>
      <c r="I6311" s="206" t="s">
        <v>121</v>
      </c>
      <c r="J6311" s="206" t="s">
        <v>121</v>
      </c>
      <c r="K6311" s="206" t="s">
        <v>121</v>
      </c>
      <c r="L6311" s="206" t="str">
        <v/>
      </c>
      <c r="M6311" s="206" t="str">
        <v/>
      </c>
    </row>
    <row r="6312" spans="1:13" ht="14.4">
      <c r="A6312" s="201"/>
      <c r="B6312" s="209"/>
      <c r="C6312" s="201"/>
      <c r="D6312" s="201"/>
      <c r="E6312" s="202"/>
      <c r="F6312" s="210"/>
      <c r="G6312" s="210"/>
      <c r="H6312" s="206" t="s">
        <v>121</v>
      </c>
      <c r="I6312" s="206" t="s">
        <v>121</v>
      </c>
      <c r="J6312" s="206" t="s">
        <v>121</v>
      </c>
      <c r="K6312" s="206" t="s">
        <v>121</v>
      </c>
      <c r="L6312" s="206" t="str">
        <v/>
      </c>
      <c r="M6312" s="206" t="str">
        <v/>
      </c>
    </row>
    <row r="6313" spans="1:13" ht="14.4">
      <c r="A6313" s="201"/>
      <c r="B6313" s="209"/>
      <c r="C6313" s="201"/>
      <c r="D6313" s="201"/>
      <c r="E6313" s="202"/>
      <c r="F6313" s="210"/>
      <c r="G6313" s="210"/>
      <c r="H6313" s="206" t="s">
        <v>121</v>
      </c>
      <c r="I6313" s="206" t="s">
        <v>121</v>
      </c>
      <c r="J6313" s="206" t="s">
        <v>121</v>
      </c>
      <c r="K6313" s="206" t="s">
        <v>121</v>
      </c>
      <c r="L6313" s="206" t="str">
        <v/>
      </c>
      <c r="M6313" s="206" t="str">
        <v/>
      </c>
    </row>
    <row r="6314" spans="1:13" ht="14.4">
      <c r="A6314" s="201"/>
      <c r="B6314" s="209"/>
      <c r="C6314" s="201"/>
      <c r="D6314" s="201"/>
      <c r="E6314" s="202"/>
      <c r="F6314" s="210"/>
      <c r="G6314" s="210"/>
      <c r="H6314" s="206" t="s">
        <v>121</v>
      </c>
      <c r="I6314" s="206" t="s">
        <v>121</v>
      </c>
      <c r="J6314" s="206" t="s">
        <v>121</v>
      </c>
      <c r="K6314" s="206" t="s">
        <v>121</v>
      </c>
      <c r="L6314" s="206" t="str">
        <v/>
      </c>
      <c r="M6314" s="206" t="str">
        <v/>
      </c>
    </row>
    <row r="6315" spans="1:13" ht="14.4">
      <c r="A6315" s="201"/>
      <c r="B6315" s="209"/>
      <c r="C6315" s="201"/>
      <c r="D6315" s="201"/>
      <c r="E6315" s="202"/>
      <c r="F6315" s="210"/>
      <c r="G6315" s="210"/>
      <c r="H6315" s="206" t="s">
        <v>121</v>
      </c>
      <c r="I6315" s="206" t="s">
        <v>121</v>
      </c>
      <c r="J6315" s="206" t="s">
        <v>121</v>
      </c>
      <c r="K6315" s="206" t="s">
        <v>121</v>
      </c>
      <c r="L6315" s="206" t="str">
        <v/>
      </c>
      <c r="M6315" s="206" t="str">
        <v/>
      </c>
    </row>
    <row r="6316" spans="1:13" ht="14.4">
      <c r="A6316" s="201"/>
      <c r="B6316" s="209"/>
      <c r="C6316" s="201"/>
      <c r="D6316" s="201"/>
      <c r="E6316" s="202"/>
      <c r="F6316" s="210"/>
      <c r="G6316" s="210"/>
      <c r="H6316" s="206" t="s">
        <v>121</v>
      </c>
      <c r="I6316" s="206" t="s">
        <v>121</v>
      </c>
      <c r="J6316" s="206" t="s">
        <v>121</v>
      </c>
      <c r="K6316" s="206" t="s">
        <v>121</v>
      </c>
      <c r="L6316" s="206" t="str">
        <v/>
      </c>
      <c r="M6316" s="206" t="str">
        <v/>
      </c>
    </row>
    <row r="6317" spans="1:13" ht="14.4">
      <c r="A6317" s="201"/>
      <c r="B6317" s="209"/>
      <c r="C6317" s="201"/>
      <c r="D6317" s="201"/>
      <c r="E6317" s="202"/>
      <c r="F6317" s="210"/>
      <c r="G6317" s="210"/>
      <c r="H6317" s="206" t="s">
        <v>121</v>
      </c>
      <c r="I6317" s="206" t="s">
        <v>121</v>
      </c>
      <c r="J6317" s="206" t="s">
        <v>121</v>
      </c>
      <c r="K6317" s="206" t="s">
        <v>121</v>
      </c>
      <c r="L6317" s="206" t="str">
        <v/>
      </c>
      <c r="M6317" s="206" t="str">
        <v/>
      </c>
    </row>
    <row r="6318" spans="1:13" ht="14.4">
      <c r="A6318" s="201"/>
      <c r="B6318" s="209"/>
      <c r="C6318" s="201"/>
      <c r="D6318" s="201"/>
      <c r="E6318" s="202"/>
      <c r="F6318" s="210"/>
      <c r="G6318" s="210"/>
      <c r="H6318" s="206" t="s">
        <v>121</v>
      </c>
      <c r="I6318" s="206" t="s">
        <v>121</v>
      </c>
      <c r="J6318" s="206" t="s">
        <v>121</v>
      </c>
      <c r="K6318" s="206" t="s">
        <v>121</v>
      </c>
      <c r="L6318" s="206" t="str">
        <v/>
      </c>
      <c r="M6318" s="206" t="str">
        <v/>
      </c>
    </row>
    <row r="6319" spans="1:13" ht="14.4">
      <c r="A6319" s="201"/>
      <c r="B6319" s="209"/>
      <c r="C6319" s="201"/>
      <c r="D6319" s="201"/>
      <c r="E6319" s="202"/>
      <c r="F6319" s="210"/>
      <c r="G6319" s="210"/>
      <c r="H6319" s="206" t="s">
        <v>121</v>
      </c>
      <c r="I6319" s="206" t="s">
        <v>121</v>
      </c>
      <c r="J6319" s="206" t="s">
        <v>121</v>
      </c>
      <c r="K6319" s="206" t="s">
        <v>121</v>
      </c>
      <c r="L6319" s="206" t="str">
        <v/>
      </c>
      <c r="M6319" s="206" t="str">
        <v/>
      </c>
    </row>
    <row r="6320" spans="1:13" ht="14.4">
      <c r="A6320" s="201"/>
      <c r="B6320" s="209"/>
      <c r="C6320" s="201"/>
      <c r="D6320" s="201"/>
      <c r="E6320" s="202"/>
      <c r="F6320" s="210"/>
      <c r="G6320" s="210"/>
      <c r="H6320" s="206" t="s">
        <v>121</v>
      </c>
      <c r="I6320" s="206" t="s">
        <v>121</v>
      </c>
      <c r="J6320" s="206" t="s">
        <v>121</v>
      </c>
      <c r="K6320" s="206" t="s">
        <v>121</v>
      </c>
      <c r="L6320" s="206" t="str">
        <v/>
      </c>
      <c r="M6320" s="206" t="str">
        <v/>
      </c>
    </row>
    <row r="6321" spans="1:13" ht="14.4">
      <c r="A6321" s="201"/>
      <c r="B6321" s="209"/>
      <c r="C6321" s="201"/>
      <c r="D6321" s="201"/>
      <c r="E6321" s="202"/>
      <c r="F6321" s="210"/>
      <c r="G6321" s="210"/>
      <c r="H6321" s="206" t="s">
        <v>121</v>
      </c>
      <c r="I6321" s="206" t="s">
        <v>121</v>
      </c>
      <c r="J6321" s="206" t="s">
        <v>121</v>
      </c>
      <c r="K6321" s="206" t="s">
        <v>121</v>
      </c>
      <c r="L6321" s="206" t="str">
        <v/>
      </c>
      <c r="M6321" s="206" t="str">
        <v/>
      </c>
    </row>
    <row r="6322" spans="1:13" ht="14.4">
      <c r="A6322" s="201"/>
      <c r="B6322" s="209"/>
      <c r="C6322" s="201"/>
      <c r="D6322" s="201"/>
      <c r="E6322" s="202"/>
      <c r="F6322" s="210"/>
      <c r="G6322" s="210"/>
      <c r="H6322" s="206" t="s">
        <v>121</v>
      </c>
      <c r="I6322" s="206" t="s">
        <v>121</v>
      </c>
      <c r="J6322" s="206" t="s">
        <v>121</v>
      </c>
      <c r="K6322" s="206" t="s">
        <v>121</v>
      </c>
      <c r="L6322" s="206" t="str">
        <v/>
      </c>
      <c r="M6322" s="206" t="str">
        <v/>
      </c>
    </row>
    <row r="6323" spans="1:13" ht="14.4">
      <c r="A6323" s="201"/>
      <c r="B6323" s="209"/>
      <c r="C6323" s="201"/>
      <c r="D6323" s="201"/>
      <c r="E6323" s="202"/>
      <c r="F6323" s="210"/>
      <c r="G6323" s="210"/>
      <c r="H6323" s="206" t="s">
        <v>121</v>
      </c>
      <c r="I6323" s="206" t="s">
        <v>121</v>
      </c>
      <c r="J6323" s="206" t="s">
        <v>121</v>
      </c>
      <c r="K6323" s="206" t="s">
        <v>121</v>
      </c>
      <c r="L6323" s="206" t="str">
        <v/>
      </c>
      <c r="M6323" s="206" t="str">
        <v/>
      </c>
    </row>
    <row r="6324" spans="1:13" ht="14.4">
      <c r="A6324" s="201"/>
      <c r="B6324" s="209"/>
      <c r="C6324" s="201"/>
      <c r="D6324" s="201"/>
      <c r="E6324" s="202"/>
      <c r="F6324" s="210"/>
      <c r="G6324" s="210"/>
      <c r="H6324" s="206" t="s">
        <v>121</v>
      </c>
      <c r="I6324" s="206" t="s">
        <v>121</v>
      </c>
      <c r="J6324" s="206" t="s">
        <v>121</v>
      </c>
      <c r="K6324" s="206" t="s">
        <v>121</v>
      </c>
      <c r="L6324" s="206" t="str">
        <v/>
      </c>
      <c r="M6324" s="206" t="str">
        <v/>
      </c>
    </row>
    <row r="6325" spans="1:13" ht="14.4">
      <c r="A6325" s="201"/>
      <c r="B6325" s="209"/>
      <c r="C6325" s="201"/>
      <c r="D6325" s="201"/>
      <c r="E6325" s="202"/>
      <c r="F6325" s="210"/>
      <c r="G6325" s="210"/>
      <c r="H6325" s="206" t="s">
        <v>121</v>
      </c>
      <c r="I6325" s="206" t="s">
        <v>121</v>
      </c>
      <c r="J6325" s="206" t="s">
        <v>121</v>
      </c>
      <c r="K6325" s="206" t="s">
        <v>121</v>
      </c>
      <c r="L6325" s="206" t="str">
        <v/>
      </c>
      <c r="M6325" s="206" t="str">
        <v/>
      </c>
    </row>
    <row r="6326" spans="1:13" ht="14.4">
      <c r="A6326" s="201"/>
      <c r="B6326" s="209"/>
      <c r="C6326" s="201"/>
      <c r="D6326" s="201"/>
      <c r="E6326" s="202"/>
      <c r="F6326" s="210"/>
      <c r="G6326" s="210"/>
      <c r="H6326" s="206" t="s">
        <v>121</v>
      </c>
      <c r="I6326" s="206" t="s">
        <v>121</v>
      </c>
      <c r="J6326" s="206" t="s">
        <v>121</v>
      </c>
      <c r="K6326" s="206" t="s">
        <v>121</v>
      </c>
      <c r="L6326" s="206" t="str">
        <v/>
      </c>
      <c r="M6326" s="206" t="str">
        <v/>
      </c>
    </row>
    <row r="6327" spans="1:13" ht="14.4">
      <c r="A6327" s="201"/>
      <c r="B6327" s="209"/>
      <c r="C6327" s="201"/>
      <c r="D6327" s="201"/>
      <c r="E6327" s="202"/>
      <c r="F6327" s="210"/>
      <c r="G6327" s="210"/>
      <c r="H6327" s="206" t="s">
        <v>121</v>
      </c>
      <c r="I6327" s="206" t="s">
        <v>121</v>
      </c>
      <c r="J6327" s="206" t="s">
        <v>121</v>
      </c>
      <c r="K6327" s="206" t="s">
        <v>121</v>
      </c>
      <c r="L6327" s="206" t="str">
        <v/>
      </c>
      <c r="M6327" s="206" t="str">
        <v/>
      </c>
    </row>
    <row r="6328" spans="1:13" ht="14.4">
      <c r="A6328" s="201"/>
      <c r="B6328" s="209"/>
      <c r="C6328" s="201"/>
      <c r="D6328" s="201"/>
      <c r="E6328" s="202"/>
      <c r="F6328" s="210"/>
      <c r="G6328" s="210"/>
      <c r="H6328" s="206" t="s">
        <v>121</v>
      </c>
      <c r="I6328" s="206" t="s">
        <v>121</v>
      </c>
      <c r="J6328" s="206" t="s">
        <v>121</v>
      </c>
      <c r="K6328" s="206" t="s">
        <v>121</v>
      </c>
      <c r="L6328" s="206" t="str">
        <v/>
      </c>
      <c r="M6328" s="206" t="str">
        <v/>
      </c>
    </row>
    <row r="6329" spans="1:13" ht="14.4">
      <c r="A6329" s="201"/>
      <c r="B6329" s="209"/>
      <c r="C6329" s="201"/>
      <c r="D6329" s="201"/>
      <c r="E6329" s="202"/>
      <c r="F6329" s="210"/>
      <c r="G6329" s="210"/>
      <c r="H6329" s="206" t="s">
        <v>121</v>
      </c>
      <c r="I6329" s="206" t="s">
        <v>121</v>
      </c>
      <c r="J6329" s="206" t="s">
        <v>121</v>
      </c>
      <c r="K6329" s="206" t="s">
        <v>121</v>
      </c>
      <c r="L6329" s="206" t="str">
        <v/>
      </c>
      <c r="M6329" s="206" t="str">
        <v/>
      </c>
    </row>
    <row r="6330" spans="1:13" ht="14.4">
      <c r="A6330" s="201"/>
      <c r="B6330" s="209"/>
      <c r="C6330" s="201"/>
      <c r="D6330" s="201"/>
      <c r="E6330" s="202"/>
      <c r="F6330" s="210"/>
      <c r="G6330" s="210"/>
      <c r="H6330" s="206" t="s">
        <v>121</v>
      </c>
      <c r="I6330" s="206" t="s">
        <v>121</v>
      </c>
      <c r="J6330" s="206" t="s">
        <v>121</v>
      </c>
      <c r="K6330" s="206" t="s">
        <v>121</v>
      </c>
      <c r="L6330" s="206" t="str">
        <v/>
      </c>
      <c r="M6330" s="206" t="str">
        <v/>
      </c>
    </row>
    <row r="6331" spans="1:13" ht="14.4">
      <c r="A6331" s="201"/>
      <c r="B6331" s="209"/>
      <c r="C6331" s="201"/>
      <c r="D6331" s="201"/>
      <c r="E6331" s="202"/>
      <c r="F6331" s="210"/>
      <c r="G6331" s="210"/>
      <c r="H6331" s="206" t="s">
        <v>121</v>
      </c>
      <c r="I6331" s="206" t="s">
        <v>121</v>
      </c>
      <c r="J6331" s="206" t="s">
        <v>121</v>
      </c>
      <c r="K6331" s="206" t="s">
        <v>121</v>
      </c>
      <c r="L6331" s="206" t="str">
        <v/>
      </c>
      <c r="M6331" s="206" t="str">
        <v/>
      </c>
    </row>
    <row r="6332" spans="1:13" ht="14.4">
      <c r="A6332" s="201"/>
      <c r="B6332" s="209"/>
      <c r="C6332" s="201"/>
      <c r="D6332" s="201"/>
      <c r="E6332" s="202"/>
      <c r="F6332" s="210"/>
      <c r="G6332" s="210"/>
      <c r="H6332" s="206" t="s">
        <v>121</v>
      </c>
      <c r="I6332" s="206" t="s">
        <v>121</v>
      </c>
      <c r="J6332" s="206" t="s">
        <v>121</v>
      </c>
      <c r="K6332" s="206" t="s">
        <v>121</v>
      </c>
      <c r="L6332" s="206" t="str">
        <v/>
      </c>
      <c r="M6332" s="206" t="str">
        <v/>
      </c>
    </row>
    <row r="6333" spans="1:13" ht="14.4">
      <c r="A6333" s="201"/>
      <c r="B6333" s="209"/>
      <c r="C6333" s="201"/>
      <c r="D6333" s="201"/>
      <c r="E6333" s="202"/>
      <c r="F6333" s="210"/>
      <c r="G6333" s="210"/>
      <c r="H6333" s="206" t="s">
        <v>121</v>
      </c>
      <c r="I6333" s="206" t="s">
        <v>121</v>
      </c>
      <c r="J6333" s="206" t="s">
        <v>121</v>
      </c>
      <c r="K6333" s="206" t="s">
        <v>121</v>
      </c>
      <c r="L6333" s="206" t="str">
        <v/>
      </c>
      <c r="M6333" s="206" t="str">
        <v/>
      </c>
    </row>
    <row r="6334" spans="1:13" ht="14.4">
      <c r="A6334" s="201"/>
      <c r="B6334" s="209"/>
      <c r="C6334" s="201"/>
      <c r="D6334" s="201"/>
      <c r="E6334" s="202"/>
      <c r="F6334" s="210"/>
      <c r="G6334" s="210"/>
      <c r="H6334" s="206" t="s">
        <v>121</v>
      </c>
      <c r="I6334" s="206" t="s">
        <v>121</v>
      </c>
      <c r="J6334" s="206" t="s">
        <v>121</v>
      </c>
      <c r="K6334" s="206" t="s">
        <v>121</v>
      </c>
      <c r="L6334" s="206" t="str">
        <v/>
      </c>
      <c r="M6334" s="206" t="str">
        <v/>
      </c>
    </row>
    <row r="6335" spans="1:13" ht="14.4">
      <c r="A6335" s="201"/>
      <c r="B6335" s="209"/>
      <c r="C6335" s="201"/>
      <c r="D6335" s="201"/>
      <c r="E6335" s="202"/>
      <c r="F6335" s="210"/>
      <c r="G6335" s="210"/>
      <c r="H6335" s="206" t="s">
        <v>121</v>
      </c>
      <c r="I6335" s="206" t="s">
        <v>121</v>
      </c>
      <c r="J6335" s="206" t="s">
        <v>121</v>
      </c>
      <c r="K6335" s="206" t="s">
        <v>121</v>
      </c>
      <c r="L6335" s="206" t="str">
        <v/>
      </c>
      <c r="M6335" s="206" t="str">
        <v/>
      </c>
    </row>
    <row r="6336" spans="1:13" ht="14.4">
      <c r="A6336" s="201"/>
      <c r="B6336" s="209"/>
      <c r="C6336" s="201"/>
      <c r="D6336" s="201"/>
      <c r="E6336" s="202"/>
      <c r="F6336" s="210"/>
      <c r="G6336" s="210"/>
      <c r="H6336" s="206" t="s">
        <v>121</v>
      </c>
      <c r="I6336" s="206" t="s">
        <v>121</v>
      </c>
      <c r="J6336" s="206" t="s">
        <v>121</v>
      </c>
      <c r="K6336" s="206" t="s">
        <v>121</v>
      </c>
      <c r="L6336" s="206" t="str">
        <v/>
      </c>
      <c r="M6336" s="206" t="str">
        <v/>
      </c>
    </row>
    <row r="6337" spans="1:13" ht="14.4">
      <c r="A6337" s="201"/>
      <c r="B6337" s="209"/>
      <c r="C6337" s="201"/>
      <c r="D6337" s="201"/>
      <c r="E6337" s="202"/>
      <c r="F6337" s="210"/>
      <c r="G6337" s="210"/>
      <c r="H6337" s="206" t="s">
        <v>121</v>
      </c>
      <c r="I6337" s="206" t="s">
        <v>121</v>
      </c>
      <c r="J6337" s="206" t="s">
        <v>121</v>
      </c>
      <c r="K6337" s="206" t="s">
        <v>121</v>
      </c>
      <c r="L6337" s="206" t="str">
        <v/>
      </c>
      <c r="M6337" s="206" t="str">
        <v/>
      </c>
    </row>
    <row r="6338" spans="1:13" ht="14.4">
      <c r="A6338" s="201"/>
      <c r="B6338" s="209"/>
      <c r="C6338" s="201"/>
      <c r="D6338" s="201"/>
      <c r="E6338" s="202"/>
      <c r="F6338" s="210"/>
      <c r="G6338" s="210"/>
      <c r="H6338" s="206" t="s">
        <v>121</v>
      </c>
      <c r="I6338" s="206" t="s">
        <v>121</v>
      </c>
      <c r="J6338" s="206" t="s">
        <v>121</v>
      </c>
      <c r="K6338" s="206" t="s">
        <v>121</v>
      </c>
      <c r="L6338" s="206" t="str">
        <v/>
      </c>
      <c r="M6338" s="206" t="str">
        <v/>
      </c>
    </row>
    <row r="6339" spans="1:13" ht="14.4">
      <c r="A6339" s="201"/>
      <c r="B6339" s="209"/>
      <c r="C6339" s="201"/>
      <c r="D6339" s="201"/>
      <c r="E6339" s="202"/>
      <c r="F6339" s="210"/>
      <c r="G6339" s="210"/>
      <c r="H6339" s="206" t="s">
        <v>121</v>
      </c>
      <c r="I6339" s="206" t="s">
        <v>121</v>
      </c>
      <c r="J6339" s="206" t="s">
        <v>121</v>
      </c>
      <c r="K6339" s="206" t="s">
        <v>121</v>
      </c>
      <c r="L6339" s="206" t="str">
        <v/>
      </c>
      <c r="M6339" s="206" t="str">
        <v/>
      </c>
    </row>
    <row r="6340" spans="1:13" ht="14.4">
      <c r="A6340" s="201"/>
      <c r="B6340" s="209"/>
      <c r="C6340" s="201"/>
      <c r="D6340" s="201"/>
      <c r="E6340" s="202"/>
      <c r="F6340" s="210"/>
      <c r="G6340" s="210"/>
      <c r="H6340" s="206" t="s">
        <v>121</v>
      </c>
      <c r="I6340" s="206" t="s">
        <v>121</v>
      </c>
      <c r="J6340" s="206" t="s">
        <v>121</v>
      </c>
      <c r="K6340" s="206" t="s">
        <v>121</v>
      </c>
      <c r="L6340" s="206" t="str">
        <v/>
      </c>
      <c r="M6340" s="206" t="str">
        <v/>
      </c>
    </row>
    <row r="6341" spans="1:13" ht="14.4">
      <c r="A6341" s="201"/>
      <c r="B6341" s="209"/>
      <c r="C6341" s="201"/>
      <c r="D6341" s="201"/>
      <c r="E6341" s="202"/>
      <c r="F6341" s="210"/>
      <c r="G6341" s="210"/>
      <c r="H6341" s="206" t="s">
        <v>121</v>
      </c>
      <c r="I6341" s="206" t="s">
        <v>121</v>
      </c>
      <c r="J6341" s="206" t="s">
        <v>121</v>
      </c>
      <c r="K6341" s="206" t="s">
        <v>121</v>
      </c>
      <c r="L6341" s="206" t="str">
        <v/>
      </c>
      <c r="M6341" s="206" t="str">
        <v/>
      </c>
    </row>
    <row r="6342" spans="1:13" ht="14.4">
      <c r="A6342" s="201"/>
      <c r="B6342" s="209"/>
      <c r="C6342" s="201"/>
      <c r="D6342" s="201"/>
      <c r="E6342" s="202"/>
      <c r="F6342" s="210"/>
      <c r="G6342" s="210"/>
      <c r="H6342" s="206" t="s">
        <v>121</v>
      </c>
      <c r="I6342" s="206" t="s">
        <v>121</v>
      </c>
      <c r="J6342" s="206" t="s">
        <v>121</v>
      </c>
      <c r="K6342" s="206" t="s">
        <v>121</v>
      </c>
      <c r="L6342" s="206" t="str">
        <v/>
      </c>
      <c r="M6342" s="206" t="str">
        <v/>
      </c>
    </row>
    <row r="6343" spans="1:13" ht="14.4">
      <c r="A6343" s="201"/>
      <c r="B6343" s="209"/>
      <c r="C6343" s="201"/>
      <c r="D6343" s="201"/>
      <c r="E6343" s="202"/>
      <c r="F6343" s="210"/>
      <c r="G6343" s="210"/>
      <c r="H6343" s="206" t="s">
        <v>121</v>
      </c>
      <c r="I6343" s="206" t="s">
        <v>121</v>
      </c>
      <c r="J6343" s="206" t="s">
        <v>121</v>
      </c>
      <c r="K6343" s="206" t="s">
        <v>121</v>
      </c>
      <c r="L6343" s="206" t="str">
        <v/>
      </c>
      <c r="M6343" s="206" t="str">
        <v/>
      </c>
    </row>
    <row r="6344" spans="1:13" ht="14.4">
      <c r="A6344" s="201"/>
      <c r="B6344" s="209"/>
      <c r="C6344" s="201"/>
      <c r="D6344" s="201"/>
      <c r="E6344" s="202"/>
      <c r="F6344" s="210"/>
      <c r="G6344" s="210"/>
      <c r="H6344" s="206" t="s">
        <v>121</v>
      </c>
      <c r="I6344" s="206" t="s">
        <v>121</v>
      </c>
      <c r="J6344" s="206" t="s">
        <v>121</v>
      </c>
      <c r="K6344" s="206" t="s">
        <v>121</v>
      </c>
      <c r="L6344" s="206" t="str">
        <v/>
      </c>
      <c r="M6344" s="206" t="str">
        <v/>
      </c>
    </row>
    <row r="6345" spans="1:13" ht="14.4">
      <c r="A6345" s="201"/>
      <c r="B6345" s="209"/>
      <c r="C6345" s="201"/>
      <c r="D6345" s="201"/>
      <c r="E6345" s="202"/>
      <c r="F6345" s="210"/>
      <c r="G6345" s="210"/>
      <c r="H6345" s="206" t="s">
        <v>121</v>
      </c>
      <c r="I6345" s="206" t="s">
        <v>121</v>
      </c>
      <c r="J6345" s="206" t="s">
        <v>121</v>
      </c>
      <c r="K6345" s="206" t="s">
        <v>121</v>
      </c>
      <c r="L6345" s="206" t="str">
        <v/>
      </c>
      <c r="M6345" s="206" t="str">
        <v/>
      </c>
    </row>
    <row r="6346" spans="1:13" ht="14.4">
      <c r="A6346" s="201"/>
      <c r="B6346" s="209"/>
      <c r="C6346" s="201"/>
      <c r="D6346" s="201"/>
      <c r="E6346" s="202"/>
      <c r="F6346" s="210"/>
      <c r="G6346" s="210"/>
      <c r="H6346" s="206" t="s">
        <v>121</v>
      </c>
      <c r="I6346" s="206" t="s">
        <v>121</v>
      </c>
      <c r="J6346" s="206" t="s">
        <v>121</v>
      </c>
      <c r="K6346" s="206" t="s">
        <v>121</v>
      </c>
      <c r="L6346" s="206" t="str">
        <v/>
      </c>
      <c r="M6346" s="206" t="str">
        <v/>
      </c>
    </row>
    <row r="6347" spans="1:13" ht="14.4">
      <c r="A6347" s="201"/>
      <c r="B6347" s="209"/>
      <c r="C6347" s="201"/>
      <c r="D6347" s="201"/>
      <c r="E6347" s="202"/>
      <c r="F6347" s="210"/>
      <c r="G6347" s="210"/>
      <c r="H6347" s="206" t="s">
        <v>121</v>
      </c>
      <c r="I6347" s="206" t="s">
        <v>121</v>
      </c>
      <c r="J6347" s="206" t="s">
        <v>121</v>
      </c>
      <c r="K6347" s="206" t="s">
        <v>121</v>
      </c>
      <c r="L6347" s="206" t="str">
        <v/>
      </c>
      <c r="M6347" s="206" t="str">
        <v/>
      </c>
    </row>
    <row r="6348" spans="1:13" ht="14.4">
      <c r="A6348" s="201"/>
      <c r="B6348" s="209"/>
      <c r="C6348" s="201"/>
      <c r="D6348" s="201"/>
      <c r="E6348" s="202"/>
      <c r="F6348" s="210"/>
      <c r="G6348" s="210"/>
      <c r="H6348" s="206" t="s">
        <v>121</v>
      </c>
      <c r="I6348" s="206" t="s">
        <v>121</v>
      </c>
      <c r="J6348" s="206" t="s">
        <v>121</v>
      </c>
      <c r="K6348" s="206" t="s">
        <v>121</v>
      </c>
      <c r="L6348" s="206" t="str">
        <v/>
      </c>
      <c r="M6348" s="206" t="str">
        <v/>
      </c>
    </row>
    <row r="6349" spans="1:13" ht="14.4">
      <c r="A6349" s="201"/>
      <c r="B6349" s="209"/>
      <c r="C6349" s="201"/>
      <c r="D6349" s="201"/>
      <c r="E6349" s="202"/>
      <c r="F6349" s="210"/>
      <c r="G6349" s="210"/>
      <c r="H6349" s="206" t="s">
        <v>121</v>
      </c>
      <c r="I6349" s="206" t="s">
        <v>121</v>
      </c>
      <c r="J6349" s="206" t="s">
        <v>121</v>
      </c>
      <c r="K6349" s="206" t="s">
        <v>121</v>
      </c>
      <c r="L6349" s="206" t="str">
        <v/>
      </c>
      <c r="M6349" s="206" t="str">
        <v/>
      </c>
    </row>
    <row r="6350" spans="1:13" ht="14.4">
      <c r="A6350" s="201"/>
      <c r="B6350" s="209"/>
      <c r="C6350" s="201"/>
      <c r="D6350" s="201"/>
      <c r="E6350" s="202"/>
      <c r="F6350" s="210"/>
      <c r="G6350" s="210"/>
      <c r="H6350" s="206" t="s">
        <v>121</v>
      </c>
      <c r="I6350" s="206" t="s">
        <v>121</v>
      </c>
      <c r="J6350" s="206" t="s">
        <v>121</v>
      </c>
      <c r="K6350" s="206" t="s">
        <v>121</v>
      </c>
      <c r="L6350" s="206" t="str">
        <v/>
      </c>
      <c r="M6350" s="206" t="str">
        <v/>
      </c>
    </row>
    <row r="6351" spans="1:13" ht="14.4">
      <c r="A6351" s="201"/>
      <c r="B6351" s="209"/>
      <c r="C6351" s="201"/>
      <c r="D6351" s="201"/>
      <c r="E6351" s="202"/>
      <c r="F6351" s="210"/>
      <c r="G6351" s="210"/>
      <c r="H6351" s="206" t="s">
        <v>121</v>
      </c>
      <c r="I6351" s="206" t="s">
        <v>121</v>
      </c>
      <c r="J6351" s="206" t="s">
        <v>121</v>
      </c>
      <c r="K6351" s="206" t="s">
        <v>121</v>
      </c>
      <c r="L6351" s="206" t="str">
        <v/>
      </c>
      <c r="M6351" s="206" t="str">
        <v/>
      </c>
    </row>
    <row r="6352" spans="1:13" ht="14.4">
      <c r="A6352" s="201"/>
      <c r="B6352" s="209"/>
      <c r="C6352" s="201"/>
      <c r="D6352" s="201"/>
      <c r="E6352" s="202"/>
      <c r="F6352" s="210"/>
      <c r="G6352" s="210"/>
      <c r="H6352" s="206" t="s">
        <v>121</v>
      </c>
      <c r="I6352" s="206" t="s">
        <v>121</v>
      </c>
      <c r="J6352" s="206" t="s">
        <v>121</v>
      </c>
      <c r="K6352" s="206" t="s">
        <v>121</v>
      </c>
      <c r="L6352" s="206" t="str">
        <v/>
      </c>
      <c r="M6352" s="206" t="str">
        <v/>
      </c>
    </row>
    <row r="6353" spans="1:13" ht="14.4">
      <c r="A6353" s="201"/>
      <c r="B6353" s="209"/>
      <c r="C6353" s="201"/>
      <c r="D6353" s="201"/>
      <c r="E6353" s="202"/>
      <c r="F6353" s="210"/>
      <c r="G6353" s="210"/>
      <c r="H6353" s="206" t="s">
        <v>121</v>
      </c>
      <c r="I6353" s="206" t="s">
        <v>121</v>
      </c>
      <c r="J6353" s="206" t="s">
        <v>121</v>
      </c>
      <c r="K6353" s="206" t="s">
        <v>121</v>
      </c>
      <c r="L6353" s="206" t="str">
        <v/>
      </c>
      <c r="M6353" s="206" t="str">
        <v/>
      </c>
    </row>
    <row r="6354" spans="1:13" ht="14.4">
      <c r="A6354" s="201"/>
      <c r="B6354" s="209"/>
      <c r="C6354" s="201"/>
      <c r="D6354" s="201"/>
      <c r="E6354" s="202"/>
      <c r="F6354" s="210"/>
      <c r="G6354" s="210"/>
      <c r="H6354" s="206" t="s">
        <v>121</v>
      </c>
      <c r="I6354" s="206" t="s">
        <v>121</v>
      </c>
      <c r="J6354" s="206" t="s">
        <v>121</v>
      </c>
      <c r="K6354" s="206" t="s">
        <v>121</v>
      </c>
      <c r="L6354" s="206" t="str">
        <v/>
      </c>
      <c r="M6354" s="206" t="str">
        <v/>
      </c>
    </row>
    <row r="6355" spans="1:13" ht="14.4">
      <c r="A6355" s="201"/>
      <c r="B6355" s="209"/>
      <c r="C6355" s="201"/>
      <c r="D6355" s="201"/>
      <c r="E6355" s="202"/>
      <c r="F6355" s="210"/>
      <c r="G6355" s="210"/>
      <c r="H6355" s="206" t="s">
        <v>121</v>
      </c>
      <c r="I6355" s="206" t="s">
        <v>121</v>
      </c>
      <c r="J6355" s="206" t="s">
        <v>121</v>
      </c>
      <c r="K6355" s="206" t="s">
        <v>121</v>
      </c>
      <c r="L6355" s="206" t="str">
        <v/>
      </c>
      <c r="M6355" s="206" t="str">
        <v/>
      </c>
    </row>
    <row r="6356" spans="1:13" ht="14.4">
      <c r="A6356" s="201"/>
      <c r="B6356" s="209"/>
      <c r="C6356" s="201"/>
      <c r="D6356" s="201"/>
      <c r="E6356" s="202"/>
      <c r="F6356" s="210"/>
      <c r="G6356" s="210"/>
      <c r="H6356" s="206" t="s">
        <v>121</v>
      </c>
      <c r="I6356" s="206" t="s">
        <v>121</v>
      </c>
      <c r="J6356" s="206" t="s">
        <v>121</v>
      </c>
      <c r="K6356" s="206" t="s">
        <v>121</v>
      </c>
      <c r="L6356" s="206" t="str">
        <v/>
      </c>
      <c r="M6356" s="206" t="str">
        <v/>
      </c>
    </row>
    <row r="6357" spans="1:13" ht="14.4">
      <c r="A6357" s="201"/>
      <c r="B6357" s="209"/>
      <c r="C6357" s="201"/>
      <c r="D6357" s="201"/>
      <c r="E6357" s="202"/>
      <c r="F6357" s="210"/>
      <c r="G6357" s="210"/>
      <c r="H6357" s="206" t="s">
        <v>121</v>
      </c>
      <c r="I6357" s="206" t="s">
        <v>121</v>
      </c>
      <c r="J6357" s="206" t="s">
        <v>121</v>
      </c>
      <c r="K6357" s="206" t="s">
        <v>121</v>
      </c>
      <c r="L6357" s="206" t="str">
        <v/>
      </c>
      <c r="M6357" s="206" t="str">
        <v/>
      </c>
    </row>
    <row r="6358" spans="1:13" ht="14.4">
      <c r="A6358" s="201"/>
      <c r="B6358" s="209"/>
      <c r="C6358" s="201"/>
      <c r="D6358" s="201"/>
      <c r="E6358" s="202"/>
      <c r="F6358" s="210"/>
      <c r="G6358" s="210"/>
      <c r="H6358" s="206" t="s">
        <v>121</v>
      </c>
      <c r="I6358" s="206" t="s">
        <v>121</v>
      </c>
      <c r="J6358" s="206" t="s">
        <v>121</v>
      </c>
      <c r="K6358" s="206" t="s">
        <v>121</v>
      </c>
      <c r="L6358" s="206" t="str">
        <v/>
      </c>
      <c r="M6358" s="206" t="str">
        <v/>
      </c>
    </row>
    <row r="6359" spans="1:13" ht="14.4">
      <c r="A6359" s="201"/>
      <c r="B6359" s="209"/>
      <c r="C6359" s="201"/>
      <c r="D6359" s="201"/>
      <c r="E6359" s="202"/>
      <c r="F6359" s="210"/>
      <c r="G6359" s="210"/>
      <c r="H6359" s="206" t="s">
        <v>121</v>
      </c>
      <c r="I6359" s="206" t="s">
        <v>121</v>
      </c>
      <c r="J6359" s="206" t="s">
        <v>121</v>
      </c>
      <c r="K6359" s="206" t="s">
        <v>121</v>
      </c>
      <c r="L6359" s="206" t="str">
        <v/>
      </c>
      <c r="M6359" s="206" t="str">
        <v/>
      </c>
    </row>
    <row r="6360" spans="1:13" ht="14.4">
      <c r="A6360" s="201"/>
      <c r="B6360" s="209"/>
      <c r="C6360" s="201"/>
      <c r="D6360" s="201"/>
      <c r="E6360" s="202"/>
      <c r="F6360" s="210"/>
      <c r="G6360" s="210"/>
      <c r="H6360" s="206" t="s">
        <v>121</v>
      </c>
      <c r="I6360" s="206" t="s">
        <v>121</v>
      </c>
      <c r="J6360" s="206" t="s">
        <v>121</v>
      </c>
      <c r="K6360" s="206" t="s">
        <v>121</v>
      </c>
      <c r="L6360" s="206" t="str">
        <v/>
      </c>
      <c r="M6360" s="206" t="str">
        <v/>
      </c>
    </row>
    <row r="6361" spans="1:13" ht="14.4">
      <c r="A6361" s="201"/>
      <c r="B6361" s="209"/>
      <c r="C6361" s="201"/>
      <c r="D6361" s="201"/>
      <c r="E6361" s="202"/>
      <c r="F6361" s="210"/>
      <c r="G6361" s="210"/>
      <c r="H6361" s="206" t="s">
        <v>121</v>
      </c>
      <c r="I6361" s="206" t="s">
        <v>121</v>
      </c>
      <c r="J6361" s="206" t="s">
        <v>121</v>
      </c>
      <c r="K6361" s="206" t="s">
        <v>121</v>
      </c>
      <c r="L6361" s="206" t="str">
        <v/>
      </c>
      <c r="M6361" s="206" t="str">
        <v/>
      </c>
    </row>
    <row r="6362" spans="1:13" ht="14.4">
      <c r="A6362" s="201"/>
      <c r="B6362" s="209"/>
      <c r="C6362" s="201"/>
      <c r="D6362" s="201"/>
      <c r="E6362" s="202"/>
      <c r="F6362" s="210"/>
      <c r="G6362" s="210"/>
      <c r="H6362" s="206" t="s">
        <v>121</v>
      </c>
      <c r="I6362" s="206" t="s">
        <v>121</v>
      </c>
      <c r="J6362" s="206" t="s">
        <v>121</v>
      </c>
      <c r="K6362" s="206" t="s">
        <v>121</v>
      </c>
      <c r="L6362" s="206" t="str">
        <v/>
      </c>
      <c r="M6362" s="206" t="str">
        <v/>
      </c>
    </row>
    <row r="6363" spans="1:13" ht="14.4">
      <c r="A6363" s="201"/>
      <c r="B6363" s="209"/>
      <c r="C6363" s="201"/>
      <c r="D6363" s="201"/>
      <c r="E6363" s="202"/>
      <c r="F6363" s="210"/>
      <c r="G6363" s="210"/>
      <c r="H6363" s="206" t="s">
        <v>121</v>
      </c>
      <c r="I6363" s="206" t="s">
        <v>121</v>
      </c>
      <c r="J6363" s="206" t="s">
        <v>121</v>
      </c>
      <c r="K6363" s="206" t="s">
        <v>121</v>
      </c>
      <c r="L6363" s="206" t="str">
        <v/>
      </c>
      <c r="M6363" s="206" t="str">
        <v/>
      </c>
    </row>
    <row r="6364" spans="1:13" ht="14.4">
      <c r="A6364" s="201"/>
      <c r="B6364" s="209"/>
      <c r="C6364" s="201"/>
      <c r="D6364" s="201"/>
      <c r="E6364" s="202"/>
      <c r="F6364" s="210"/>
      <c r="G6364" s="210"/>
      <c r="H6364" s="206" t="s">
        <v>121</v>
      </c>
      <c r="I6364" s="206" t="s">
        <v>121</v>
      </c>
      <c r="J6364" s="206" t="s">
        <v>121</v>
      </c>
      <c r="K6364" s="206" t="s">
        <v>121</v>
      </c>
      <c r="L6364" s="206" t="str">
        <v/>
      </c>
      <c r="M6364" s="206" t="str">
        <v/>
      </c>
    </row>
    <row r="6365" spans="1:13" ht="14.4">
      <c r="A6365" s="201"/>
      <c r="B6365" s="209"/>
      <c r="C6365" s="201"/>
      <c r="D6365" s="201"/>
      <c r="E6365" s="202"/>
      <c r="F6365" s="210"/>
      <c r="G6365" s="210"/>
      <c r="H6365" s="206" t="s">
        <v>121</v>
      </c>
      <c r="I6365" s="206" t="s">
        <v>121</v>
      </c>
      <c r="J6365" s="206" t="s">
        <v>121</v>
      </c>
      <c r="K6365" s="206" t="s">
        <v>121</v>
      </c>
      <c r="L6365" s="206" t="str">
        <v/>
      </c>
      <c r="M6365" s="206" t="str">
        <v/>
      </c>
    </row>
    <row r="6366" spans="1:13" ht="14.4">
      <c r="A6366" s="201"/>
      <c r="B6366" s="209"/>
      <c r="C6366" s="201"/>
      <c r="D6366" s="201"/>
      <c r="E6366" s="202"/>
      <c r="F6366" s="210"/>
      <c r="G6366" s="210"/>
      <c r="H6366" s="206" t="s">
        <v>121</v>
      </c>
      <c r="I6366" s="206" t="s">
        <v>121</v>
      </c>
      <c r="J6366" s="206" t="s">
        <v>121</v>
      </c>
      <c r="K6366" s="206" t="s">
        <v>121</v>
      </c>
      <c r="L6366" s="206" t="str">
        <v/>
      </c>
      <c r="M6366" s="206" t="str">
        <v/>
      </c>
    </row>
    <row r="6367" spans="1:13" ht="14.4">
      <c r="A6367" s="201"/>
      <c r="B6367" s="209"/>
      <c r="C6367" s="201"/>
      <c r="D6367" s="201"/>
      <c r="E6367" s="202"/>
      <c r="F6367" s="210"/>
      <c r="G6367" s="210"/>
      <c r="H6367" s="206" t="s">
        <v>121</v>
      </c>
      <c r="I6367" s="206" t="s">
        <v>121</v>
      </c>
      <c r="J6367" s="206" t="s">
        <v>121</v>
      </c>
      <c r="K6367" s="206" t="s">
        <v>121</v>
      </c>
      <c r="L6367" s="206" t="str">
        <v/>
      </c>
      <c r="M6367" s="206" t="str">
        <v/>
      </c>
    </row>
    <row r="6368" spans="1:13" ht="14.4">
      <c r="A6368" s="201"/>
      <c r="B6368" s="209"/>
      <c r="C6368" s="201"/>
      <c r="D6368" s="201"/>
      <c r="E6368" s="202"/>
      <c r="F6368" s="210"/>
      <c r="G6368" s="210"/>
      <c r="H6368" s="206" t="s">
        <v>121</v>
      </c>
      <c r="I6368" s="206" t="s">
        <v>121</v>
      </c>
      <c r="J6368" s="206" t="s">
        <v>121</v>
      </c>
      <c r="K6368" s="206" t="s">
        <v>121</v>
      </c>
      <c r="L6368" s="206" t="str">
        <v/>
      </c>
      <c r="M6368" s="206" t="str">
        <v/>
      </c>
    </row>
    <row r="6369" spans="1:13" ht="14.4">
      <c r="A6369" s="201"/>
      <c r="B6369" s="209"/>
      <c r="C6369" s="201"/>
      <c r="D6369" s="201"/>
      <c r="E6369" s="202"/>
      <c r="F6369" s="210"/>
      <c r="G6369" s="210"/>
      <c r="H6369" s="206" t="s">
        <v>121</v>
      </c>
      <c r="I6369" s="206" t="s">
        <v>121</v>
      </c>
      <c r="J6369" s="206" t="s">
        <v>121</v>
      </c>
      <c r="K6369" s="206" t="s">
        <v>121</v>
      </c>
      <c r="L6369" s="206" t="str">
        <v/>
      </c>
      <c r="M6369" s="206" t="str">
        <v/>
      </c>
    </row>
    <row r="6370" spans="1:13" ht="14.4">
      <c r="A6370" s="201"/>
      <c r="B6370" s="209"/>
      <c r="C6370" s="201"/>
      <c r="D6370" s="201"/>
      <c r="E6370" s="202"/>
      <c r="F6370" s="210"/>
      <c r="G6370" s="210"/>
      <c r="H6370" s="206" t="s">
        <v>121</v>
      </c>
      <c r="I6370" s="206" t="s">
        <v>121</v>
      </c>
      <c r="J6370" s="206" t="s">
        <v>121</v>
      </c>
      <c r="K6370" s="206" t="s">
        <v>121</v>
      </c>
      <c r="L6370" s="206" t="str">
        <v/>
      </c>
      <c r="M6370" s="206" t="str">
        <v/>
      </c>
    </row>
    <row r="6371" spans="1:13" ht="14.4">
      <c r="A6371" s="201"/>
      <c r="B6371" s="209"/>
      <c r="C6371" s="201"/>
      <c r="D6371" s="201"/>
      <c r="E6371" s="202"/>
      <c r="F6371" s="210"/>
      <c r="G6371" s="210"/>
      <c r="H6371" s="206" t="s">
        <v>121</v>
      </c>
      <c r="I6371" s="206" t="s">
        <v>121</v>
      </c>
      <c r="J6371" s="206" t="s">
        <v>121</v>
      </c>
      <c r="K6371" s="206" t="s">
        <v>121</v>
      </c>
      <c r="L6371" s="206" t="str">
        <v/>
      </c>
      <c r="M6371" s="206" t="str">
        <v/>
      </c>
    </row>
    <row r="6372" spans="1:13" ht="14.4">
      <c r="A6372" s="201"/>
      <c r="B6372" s="209"/>
      <c r="C6372" s="201"/>
      <c r="D6372" s="201"/>
      <c r="E6372" s="202"/>
      <c r="F6372" s="210"/>
      <c r="G6372" s="210"/>
      <c r="H6372" s="206" t="s">
        <v>121</v>
      </c>
      <c r="I6372" s="206" t="s">
        <v>121</v>
      </c>
      <c r="J6372" s="206" t="s">
        <v>121</v>
      </c>
      <c r="K6372" s="206" t="s">
        <v>121</v>
      </c>
      <c r="L6372" s="206" t="str">
        <v/>
      </c>
      <c r="M6372" s="206" t="str">
        <v/>
      </c>
    </row>
    <row r="6373" spans="1:13" ht="14.4">
      <c r="A6373" s="201"/>
      <c r="B6373" s="209"/>
      <c r="C6373" s="201"/>
      <c r="D6373" s="201"/>
      <c r="E6373" s="202"/>
      <c r="F6373" s="210"/>
      <c r="G6373" s="210"/>
      <c r="H6373" s="206" t="s">
        <v>121</v>
      </c>
      <c r="I6373" s="206" t="s">
        <v>121</v>
      </c>
      <c r="J6373" s="206" t="s">
        <v>121</v>
      </c>
      <c r="K6373" s="206" t="s">
        <v>121</v>
      </c>
      <c r="L6373" s="206" t="str">
        <v/>
      </c>
      <c r="M6373" s="206" t="str">
        <v/>
      </c>
    </row>
    <row r="6374" spans="1:13" ht="14.4">
      <c r="A6374" s="201"/>
      <c r="B6374" s="209"/>
      <c r="C6374" s="201"/>
      <c r="D6374" s="201"/>
      <c r="E6374" s="202"/>
      <c r="F6374" s="210"/>
      <c r="G6374" s="210"/>
      <c r="H6374" s="206" t="s">
        <v>121</v>
      </c>
      <c r="I6374" s="206" t="s">
        <v>121</v>
      </c>
      <c r="J6374" s="206" t="s">
        <v>121</v>
      </c>
      <c r="K6374" s="206" t="s">
        <v>121</v>
      </c>
      <c r="L6374" s="206" t="str">
        <v/>
      </c>
      <c r="M6374" s="206" t="str">
        <v/>
      </c>
    </row>
    <row r="6375" spans="1:13" ht="14.4">
      <c r="A6375" s="201"/>
      <c r="B6375" s="209"/>
      <c r="C6375" s="201"/>
      <c r="D6375" s="201"/>
      <c r="E6375" s="202"/>
      <c r="F6375" s="210"/>
      <c r="G6375" s="210"/>
      <c r="H6375" s="206" t="s">
        <v>121</v>
      </c>
      <c r="I6375" s="206" t="s">
        <v>121</v>
      </c>
      <c r="J6375" s="206" t="s">
        <v>121</v>
      </c>
      <c r="K6375" s="206" t="s">
        <v>121</v>
      </c>
      <c r="L6375" s="206" t="str">
        <v/>
      </c>
      <c r="M6375" s="206" t="str">
        <v/>
      </c>
    </row>
    <row r="6376" spans="1:13" ht="14.4">
      <c r="A6376" s="201"/>
      <c r="B6376" s="209"/>
      <c r="C6376" s="201"/>
      <c r="D6376" s="201"/>
      <c r="E6376" s="202"/>
      <c r="F6376" s="210"/>
      <c r="G6376" s="210"/>
      <c r="H6376" s="206" t="s">
        <v>121</v>
      </c>
      <c r="I6376" s="206" t="s">
        <v>121</v>
      </c>
      <c r="J6376" s="206" t="s">
        <v>121</v>
      </c>
      <c r="K6376" s="206" t="s">
        <v>121</v>
      </c>
      <c r="L6376" s="206" t="str">
        <v/>
      </c>
      <c r="M6376" s="206" t="str">
        <v/>
      </c>
    </row>
    <row r="6377" spans="1:13" ht="14.4">
      <c r="A6377" s="201"/>
      <c r="B6377" s="209"/>
      <c r="C6377" s="201"/>
      <c r="D6377" s="201"/>
      <c r="E6377" s="202"/>
      <c r="F6377" s="210"/>
      <c r="G6377" s="210"/>
      <c r="H6377" s="206" t="s">
        <v>121</v>
      </c>
      <c r="I6377" s="206" t="s">
        <v>121</v>
      </c>
      <c r="J6377" s="206" t="s">
        <v>121</v>
      </c>
      <c r="K6377" s="206" t="s">
        <v>121</v>
      </c>
      <c r="L6377" s="206" t="str">
        <v/>
      </c>
      <c r="M6377" s="206" t="str">
        <v/>
      </c>
    </row>
    <row r="6378" spans="1:13" ht="14.4">
      <c r="A6378" s="201"/>
      <c r="B6378" s="209"/>
      <c r="C6378" s="201"/>
      <c r="D6378" s="201"/>
      <c r="E6378" s="202"/>
      <c r="F6378" s="210"/>
      <c r="G6378" s="210"/>
      <c r="H6378" s="206" t="s">
        <v>121</v>
      </c>
      <c r="I6378" s="206" t="s">
        <v>121</v>
      </c>
      <c r="J6378" s="206" t="s">
        <v>121</v>
      </c>
      <c r="K6378" s="206" t="s">
        <v>121</v>
      </c>
      <c r="L6378" s="206" t="str">
        <v/>
      </c>
      <c r="M6378" s="206" t="str">
        <v/>
      </c>
    </row>
    <row r="6379" spans="1:13" ht="14.4">
      <c r="A6379" s="201"/>
      <c r="B6379" s="209"/>
      <c r="C6379" s="201"/>
      <c r="D6379" s="201"/>
      <c r="E6379" s="202"/>
      <c r="F6379" s="210"/>
      <c r="G6379" s="210"/>
      <c r="H6379" s="206" t="s">
        <v>121</v>
      </c>
      <c r="I6379" s="206" t="s">
        <v>121</v>
      </c>
      <c r="J6379" s="206" t="s">
        <v>121</v>
      </c>
      <c r="K6379" s="206" t="s">
        <v>121</v>
      </c>
      <c r="L6379" s="206" t="str">
        <v/>
      </c>
      <c r="M6379" s="206" t="str">
        <v/>
      </c>
    </row>
    <row r="6380" spans="1:13" ht="14.4">
      <c r="A6380" s="201"/>
      <c r="B6380" s="209"/>
      <c r="C6380" s="201"/>
      <c r="D6380" s="201"/>
      <c r="E6380" s="202"/>
      <c r="F6380" s="210"/>
      <c r="G6380" s="210"/>
      <c r="H6380" s="206" t="s">
        <v>121</v>
      </c>
      <c r="I6380" s="206" t="s">
        <v>121</v>
      </c>
      <c r="J6380" s="206" t="s">
        <v>121</v>
      </c>
      <c r="K6380" s="206" t="s">
        <v>121</v>
      </c>
      <c r="L6380" s="206" t="str">
        <v/>
      </c>
      <c r="M6380" s="206" t="str">
        <v/>
      </c>
    </row>
    <row r="6381" spans="1:13" ht="14.4">
      <c r="A6381" s="201"/>
      <c r="B6381" s="209"/>
      <c r="C6381" s="201"/>
      <c r="D6381" s="201"/>
      <c r="E6381" s="202"/>
      <c r="F6381" s="210"/>
      <c r="G6381" s="210"/>
      <c r="H6381" s="206" t="s">
        <v>121</v>
      </c>
      <c r="I6381" s="206" t="s">
        <v>121</v>
      </c>
      <c r="J6381" s="206" t="s">
        <v>121</v>
      </c>
      <c r="K6381" s="206" t="s">
        <v>121</v>
      </c>
      <c r="L6381" s="206" t="str">
        <v/>
      </c>
      <c r="M6381" s="206" t="str">
        <v/>
      </c>
    </row>
    <row r="6382" spans="1:13" ht="14.4">
      <c r="A6382" s="201"/>
      <c r="B6382" s="209"/>
      <c r="C6382" s="201"/>
      <c r="D6382" s="201"/>
      <c r="E6382" s="202"/>
      <c r="F6382" s="210"/>
      <c r="G6382" s="210"/>
      <c r="H6382" s="206" t="s">
        <v>121</v>
      </c>
      <c r="I6382" s="206" t="s">
        <v>121</v>
      </c>
      <c r="J6382" s="206" t="s">
        <v>121</v>
      </c>
      <c r="K6382" s="206" t="s">
        <v>121</v>
      </c>
      <c r="L6382" s="206" t="str">
        <v/>
      </c>
      <c r="M6382" s="206" t="str">
        <v/>
      </c>
    </row>
    <row r="6383" spans="1:13" ht="14.4">
      <c r="A6383" s="201"/>
      <c r="B6383" s="209"/>
      <c r="C6383" s="201"/>
      <c r="D6383" s="201"/>
      <c r="E6383" s="202"/>
      <c r="F6383" s="210"/>
      <c r="G6383" s="210"/>
      <c r="H6383" s="206" t="s">
        <v>121</v>
      </c>
      <c r="I6383" s="206" t="s">
        <v>121</v>
      </c>
      <c r="J6383" s="206" t="s">
        <v>121</v>
      </c>
      <c r="K6383" s="206" t="s">
        <v>121</v>
      </c>
      <c r="L6383" s="206" t="str">
        <v/>
      </c>
      <c r="M6383" s="206" t="str">
        <v/>
      </c>
    </row>
    <row r="6384" spans="1:13" ht="14.4">
      <c r="A6384" s="201"/>
      <c r="B6384" s="209"/>
      <c r="C6384" s="201"/>
      <c r="D6384" s="201"/>
      <c r="E6384" s="202"/>
      <c r="F6384" s="210"/>
      <c r="G6384" s="210"/>
      <c r="H6384" s="206" t="s">
        <v>121</v>
      </c>
      <c r="I6384" s="206" t="s">
        <v>121</v>
      </c>
      <c r="J6384" s="206" t="s">
        <v>121</v>
      </c>
      <c r="K6384" s="206" t="s">
        <v>121</v>
      </c>
      <c r="L6384" s="206" t="str">
        <v/>
      </c>
      <c r="M6384" s="206" t="str">
        <v/>
      </c>
    </row>
    <row r="6385" spans="1:13" ht="14.4">
      <c r="A6385" s="201"/>
      <c r="B6385" s="209"/>
      <c r="C6385" s="201"/>
      <c r="D6385" s="201"/>
      <c r="E6385" s="202"/>
      <c r="F6385" s="210"/>
      <c r="G6385" s="210"/>
      <c r="H6385" s="206" t="s">
        <v>121</v>
      </c>
      <c r="I6385" s="206" t="s">
        <v>121</v>
      </c>
      <c r="J6385" s="206" t="s">
        <v>121</v>
      </c>
      <c r="K6385" s="206" t="s">
        <v>121</v>
      </c>
      <c r="L6385" s="206" t="str">
        <v/>
      </c>
      <c r="M6385" s="206" t="str">
        <v/>
      </c>
    </row>
    <row r="6386" spans="1:13" ht="14.4">
      <c r="A6386" s="201"/>
      <c r="B6386" s="209"/>
      <c r="C6386" s="201"/>
      <c r="D6386" s="201"/>
      <c r="E6386" s="202"/>
      <c r="F6386" s="210"/>
      <c r="G6386" s="210"/>
      <c r="H6386" s="206" t="s">
        <v>121</v>
      </c>
      <c r="I6386" s="206" t="s">
        <v>121</v>
      </c>
      <c r="J6386" s="206" t="s">
        <v>121</v>
      </c>
      <c r="K6386" s="206" t="s">
        <v>121</v>
      </c>
      <c r="L6386" s="206" t="str">
        <v/>
      </c>
      <c r="M6386" s="206" t="str">
        <v/>
      </c>
    </row>
    <row r="6387" spans="1:13" ht="14.4">
      <c r="A6387" s="201"/>
      <c r="B6387" s="209"/>
      <c r="C6387" s="201"/>
      <c r="D6387" s="201"/>
      <c r="E6387" s="202"/>
      <c r="F6387" s="210"/>
      <c r="G6387" s="210"/>
      <c r="H6387" s="206" t="s">
        <v>121</v>
      </c>
      <c r="I6387" s="206" t="s">
        <v>121</v>
      </c>
      <c r="J6387" s="206" t="s">
        <v>121</v>
      </c>
      <c r="K6387" s="206" t="s">
        <v>121</v>
      </c>
      <c r="L6387" s="206" t="str">
        <v/>
      </c>
      <c r="M6387" s="206" t="str">
        <v/>
      </c>
    </row>
    <row r="6388" spans="1:13" ht="14.4">
      <c r="A6388" s="201"/>
      <c r="B6388" s="209"/>
      <c r="C6388" s="201"/>
      <c r="D6388" s="201"/>
      <c r="E6388" s="202"/>
      <c r="F6388" s="210"/>
      <c r="G6388" s="210"/>
      <c r="H6388" s="206" t="s">
        <v>121</v>
      </c>
      <c r="I6388" s="206" t="s">
        <v>121</v>
      </c>
      <c r="J6388" s="206" t="s">
        <v>121</v>
      </c>
      <c r="K6388" s="206" t="s">
        <v>121</v>
      </c>
      <c r="L6388" s="206" t="str">
        <v/>
      </c>
      <c r="M6388" s="206" t="str">
        <v/>
      </c>
    </row>
    <row r="6389" spans="1:13" ht="14.4">
      <c r="A6389" s="201"/>
      <c r="B6389" s="209"/>
      <c r="C6389" s="201"/>
      <c r="D6389" s="201"/>
      <c r="E6389" s="202"/>
      <c r="F6389" s="210"/>
      <c r="G6389" s="210"/>
      <c r="H6389" s="206" t="s">
        <v>121</v>
      </c>
      <c r="I6389" s="206" t="s">
        <v>121</v>
      </c>
      <c r="J6389" s="206" t="s">
        <v>121</v>
      </c>
      <c r="K6389" s="206" t="s">
        <v>121</v>
      </c>
      <c r="L6389" s="206" t="str">
        <v/>
      </c>
      <c r="M6389" s="206" t="str">
        <v/>
      </c>
    </row>
    <row r="6390" spans="1:13" ht="14.4">
      <c r="A6390" s="201"/>
      <c r="B6390" s="209"/>
      <c r="C6390" s="201"/>
      <c r="D6390" s="201"/>
      <c r="E6390" s="202"/>
      <c r="F6390" s="210"/>
      <c r="G6390" s="210"/>
      <c r="H6390" s="206" t="s">
        <v>121</v>
      </c>
      <c r="I6390" s="206" t="s">
        <v>121</v>
      </c>
      <c r="J6390" s="206" t="s">
        <v>121</v>
      </c>
      <c r="K6390" s="206" t="s">
        <v>121</v>
      </c>
      <c r="L6390" s="206" t="str">
        <v/>
      </c>
      <c r="M6390" s="206" t="str">
        <v/>
      </c>
    </row>
    <row r="6391" spans="1:13" ht="14.4">
      <c r="A6391" s="201"/>
      <c r="B6391" s="209"/>
      <c r="C6391" s="201"/>
      <c r="D6391" s="201"/>
      <c r="E6391" s="202"/>
      <c r="F6391" s="210"/>
      <c r="G6391" s="210"/>
      <c r="H6391" s="206" t="s">
        <v>121</v>
      </c>
      <c r="I6391" s="206" t="s">
        <v>121</v>
      </c>
      <c r="J6391" s="206" t="s">
        <v>121</v>
      </c>
      <c r="K6391" s="206" t="s">
        <v>121</v>
      </c>
      <c r="L6391" s="206" t="str">
        <v/>
      </c>
      <c r="M6391" s="206" t="str">
        <v/>
      </c>
    </row>
    <row r="6392" spans="1:13" ht="14.4">
      <c r="A6392" s="201"/>
      <c r="B6392" s="209"/>
      <c r="C6392" s="201"/>
      <c r="D6392" s="201"/>
      <c r="E6392" s="202"/>
      <c r="F6392" s="210"/>
      <c r="G6392" s="210"/>
      <c r="H6392" s="206" t="s">
        <v>121</v>
      </c>
      <c r="I6392" s="206" t="s">
        <v>121</v>
      </c>
      <c r="J6392" s="206" t="s">
        <v>121</v>
      </c>
      <c r="K6392" s="206" t="s">
        <v>121</v>
      </c>
      <c r="L6392" s="206" t="str">
        <v/>
      </c>
      <c r="M6392" s="206" t="str">
        <v/>
      </c>
    </row>
    <row r="6393" spans="1:13" ht="14.4">
      <c r="A6393" s="201"/>
      <c r="B6393" s="209"/>
      <c r="C6393" s="201"/>
      <c r="D6393" s="201"/>
      <c r="E6393" s="202"/>
      <c r="F6393" s="210"/>
      <c r="G6393" s="210"/>
      <c r="H6393" s="206" t="s">
        <v>121</v>
      </c>
      <c r="I6393" s="206" t="s">
        <v>121</v>
      </c>
      <c r="J6393" s="206" t="s">
        <v>121</v>
      </c>
      <c r="K6393" s="206" t="s">
        <v>121</v>
      </c>
      <c r="L6393" s="206" t="str">
        <v/>
      </c>
      <c r="M6393" s="206" t="str">
        <v/>
      </c>
    </row>
    <row r="6394" spans="1:13" ht="14.4">
      <c r="A6394" s="201"/>
      <c r="B6394" s="209"/>
      <c r="C6394" s="201"/>
      <c r="D6394" s="201"/>
      <c r="E6394" s="202"/>
      <c r="F6394" s="210"/>
      <c r="G6394" s="210"/>
      <c r="H6394" s="206" t="s">
        <v>121</v>
      </c>
      <c r="I6394" s="206" t="s">
        <v>121</v>
      </c>
      <c r="J6394" s="206" t="s">
        <v>121</v>
      </c>
      <c r="K6394" s="206" t="s">
        <v>121</v>
      </c>
      <c r="L6394" s="206" t="str">
        <v/>
      </c>
      <c r="M6394" s="206" t="str">
        <v/>
      </c>
    </row>
    <row r="6395" spans="1:13" ht="14.4">
      <c r="A6395" s="201"/>
      <c r="B6395" s="209"/>
      <c r="C6395" s="201"/>
      <c r="D6395" s="201"/>
      <c r="E6395" s="202"/>
      <c r="F6395" s="210"/>
      <c r="G6395" s="210"/>
      <c r="H6395" s="206" t="s">
        <v>121</v>
      </c>
      <c r="I6395" s="206" t="s">
        <v>121</v>
      </c>
      <c r="J6395" s="206" t="s">
        <v>121</v>
      </c>
      <c r="K6395" s="206" t="s">
        <v>121</v>
      </c>
      <c r="L6395" s="206" t="str">
        <v/>
      </c>
      <c r="M6395" s="206" t="str">
        <v/>
      </c>
    </row>
    <row r="6396" spans="1:13" ht="14.4">
      <c r="A6396" s="201"/>
      <c r="B6396" s="209"/>
      <c r="C6396" s="201"/>
      <c r="D6396" s="201"/>
      <c r="E6396" s="202"/>
      <c r="F6396" s="210"/>
      <c r="G6396" s="210"/>
      <c r="H6396" s="206" t="s">
        <v>121</v>
      </c>
      <c r="I6396" s="206" t="s">
        <v>121</v>
      </c>
      <c r="J6396" s="206" t="s">
        <v>121</v>
      </c>
      <c r="K6396" s="206" t="s">
        <v>121</v>
      </c>
      <c r="L6396" s="206" t="str">
        <v/>
      </c>
      <c r="M6396" s="206" t="str">
        <v/>
      </c>
    </row>
    <row r="6397" spans="1:13" ht="14.4">
      <c r="A6397" s="201"/>
      <c r="B6397" s="209"/>
      <c r="C6397" s="201"/>
      <c r="D6397" s="201"/>
      <c r="E6397" s="202"/>
      <c r="F6397" s="210"/>
      <c r="G6397" s="210"/>
      <c r="H6397" s="206" t="s">
        <v>121</v>
      </c>
      <c r="I6397" s="206" t="s">
        <v>121</v>
      </c>
      <c r="J6397" s="206" t="s">
        <v>121</v>
      </c>
      <c r="K6397" s="206" t="s">
        <v>121</v>
      </c>
      <c r="L6397" s="206" t="str">
        <v/>
      </c>
      <c r="M6397" s="206" t="str">
        <v/>
      </c>
    </row>
    <row r="6398" spans="1:13" ht="14.4">
      <c r="A6398" s="201"/>
      <c r="B6398" s="209"/>
      <c r="C6398" s="201"/>
      <c r="D6398" s="201"/>
      <c r="E6398" s="202"/>
      <c r="F6398" s="210"/>
      <c r="G6398" s="210"/>
      <c r="H6398" s="206" t="s">
        <v>121</v>
      </c>
      <c r="I6398" s="206" t="s">
        <v>121</v>
      </c>
      <c r="J6398" s="206" t="s">
        <v>121</v>
      </c>
      <c r="K6398" s="206" t="s">
        <v>121</v>
      </c>
      <c r="L6398" s="206" t="str">
        <v/>
      </c>
      <c r="M6398" s="206" t="str">
        <v/>
      </c>
    </row>
    <row r="6399" spans="1:13" ht="14.4">
      <c r="A6399" s="201"/>
      <c r="B6399" s="209"/>
      <c r="C6399" s="201"/>
      <c r="D6399" s="201"/>
      <c r="E6399" s="202"/>
      <c r="F6399" s="210"/>
      <c r="G6399" s="210"/>
      <c r="H6399" s="206" t="s">
        <v>121</v>
      </c>
      <c r="I6399" s="206" t="s">
        <v>121</v>
      </c>
      <c r="J6399" s="206" t="s">
        <v>121</v>
      </c>
      <c r="K6399" s="206" t="s">
        <v>121</v>
      </c>
      <c r="L6399" s="206" t="str">
        <v/>
      </c>
      <c r="M6399" s="206" t="str">
        <v/>
      </c>
    </row>
    <row r="6400" spans="1:13" ht="14.4">
      <c r="A6400" s="201"/>
      <c r="B6400" s="209"/>
      <c r="C6400" s="201"/>
      <c r="D6400" s="201"/>
      <c r="E6400" s="202"/>
      <c r="F6400" s="210"/>
      <c r="G6400" s="210"/>
      <c r="H6400" s="206" t="s">
        <v>121</v>
      </c>
      <c r="I6400" s="206" t="s">
        <v>121</v>
      </c>
      <c r="J6400" s="206" t="s">
        <v>121</v>
      </c>
      <c r="K6400" s="206" t="s">
        <v>121</v>
      </c>
      <c r="L6400" s="206" t="str">
        <v/>
      </c>
      <c r="M6400" s="206" t="str">
        <v/>
      </c>
    </row>
    <row r="6401" spans="1:13" ht="14.4">
      <c r="A6401" s="201"/>
      <c r="B6401" s="209"/>
      <c r="C6401" s="201"/>
      <c r="D6401" s="201"/>
      <c r="E6401" s="202"/>
      <c r="F6401" s="210"/>
      <c r="G6401" s="210"/>
      <c r="H6401" s="206" t="s">
        <v>121</v>
      </c>
      <c r="I6401" s="206" t="s">
        <v>121</v>
      </c>
      <c r="J6401" s="206" t="s">
        <v>121</v>
      </c>
      <c r="K6401" s="206" t="s">
        <v>121</v>
      </c>
      <c r="L6401" s="206" t="str">
        <v/>
      </c>
      <c r="M6401" s="206" t="str">
        <v/>
      </c>
    </row>
    <row r="6402" spans="1:13" ht="14.4">
      <c r="A6402" s="201"/>
      <c r="B6402" s="209"/>
      <c r="C6402" s="201"/>
      <c r="D6402" s="201"/>
      <c r="E6402" s="202"/>
      <c r="F6402" s="210"/>
      <c r="G6402" s="210"/>
      <c r="H6402" s="206" t="s">
        <v>121</v>
      </c>
      <c r="I6402" s="206" t="s">
        <v>121</v>
      </c>
      <c r="J6402" s="206" t="s">
        <v>121</v>
      </c>
      <c r="K6402" s="206" t="s">
        <v>121</v>
      </c>
      <c r="L6402" s="206" t="str">
        <v/>
      </c>
      <c r="M6402" s="206" t="str">
        <v/>
      </c>
    </row>
    <row r="6403" spans="1:13" ht="14.4">
      <c r="A6403" s="201"/>
      <c r="B6403" s="209"/>
      <c r="C6403" s="201"/>
      <c r="D6403" s="201"/>
      <c r="E6403" s="202"/>
      <c r="F6403" s="210"/>
      <c r="G6403" s="210"/>
      <c r="H6403" s="206" t="s">
        <v>121</v>
      </c>
      <c r="I6403" s="206" t="s">
        <v>121</v>
      </c>
      <c r="J6403" s="206" t="s">
        <v>121</v>
      </c>
      <c r="K6403" s="206" t="s">
        <v>121</v>
      </c>
      <c r="L6403" s="206" t="str">
        <v/>
      </c>
      <c r="M6403" s="206" t="str">
        <v/>
      </c>
    </row>
    <row r="6404" spans="1:13" ht="14.4">
      <c r="A6404" s="201"/>
      <c r="B6404" s="209"/>
      <c r="C6404" s="201"/>
      <c r="D6404" s="201"/>
      <c r="E6404" s="202"/>
      <c r="F6404" s="210"/>
      <c r="G6404" s="210"/>
      <c r="H6404" s="206" t="s">
        <v>121</v>
      </c>
      <c r="I6404" s="206" t="s">
        <v>121</v>
      </c>
      <c r="J6404" s="206" t="s">
        <v>121</v>
      </c>
      <c r="K6404" s="206" t="s">
        <v>121</v>
      </c>
      <c r="L6404" s="206" t="str">
        <v/>
      </c>
      <c r="M6404" s="206" t="str">
        <v/>
      </c>
    </row>
    <row r="6405" spans="1:13" ht="14.4">
      <c r="A6405" s="201"/>
      <c r="B6405" s="209"/>
      <c r="C6405" s="201"/>
      <c r="D6405" s="201"/>
      <c r="E6405" s="202"/>
      <c r="F6405" s="210"/>
      <c r="G6405" s="210"/>
      <c r="H6405" s="206" t="s">
        <v>121</v>
      </c>
      <c r="I6405" s="206" t="s">
        <v>121</v>
      </c>
      <c r="J6405" s="206" t="s">
        <v>121</v>
      </c>
      <c r="K6405" s="206" t="s">
        <v>121</v>
      </c>
      <c r="L6405" s="206" t="str">
        <v/>
      </c>
      <c r="M6405" s="206" t="str">
        <v/>
      </c>
    </row>
    <row r="6406" spans="1:13" ht="14.4">
      <c r="A6406" s="201"/>
      <c r="B6406" s="209"/>
      <c r="C6406" s="201"/>
      <c r="D6406" s="201"/>
      <c r="E6406" s="202"/>
      <c r="F6406" s="210"/>
      <c r="G6406" s="210"/>
      <c r="H6406" s="206" t="s">
        <v>121</v>
      </c>
      <c r="I6406" s="206" t="s">
        <v>121</v>
      </c>
      <c r="J6406" s="206" t="s">
        <v>121</v>
      </c>
      <c r="K6406" s="206" t="s">
        <v>121</v>
      </c>
      <c r="L6406" s="206" t="str">
        <v/>
      </c>
      <c r="M6406" s="206" t="str">
        <v/>
      </c>
    </row>
    <row r="6407" spans="1:13" ht="14.4">
      <c r="A6407" s="201"/>
      <c r="B6407" s="209"/>
      <c r="C6407" s="201"/>
      <c r="D6407" s="201"/>
      <c r="E6407" s="202"/>
      <c r="F6407" s="210"/>
      <c r="G6407" s="210"/>
      <c r="H6407" s="206" t="s">
        <v>121</v>
      </c>
      <c r="I6407" s="206" t="s">
        <v>121</v>
      </c>
      <c r="J6407" s="206" t="s">
        <v>121</v>
      </c>
      <c r="K6407" s="206" t="s">
        <v>121</v>
      </c>
      <c r="L6407" s="206" t="str">
        <v/>
      </c>
      <c r="M6407" s="206" t="str">
        <v/>
      </c>
    </row>
    <row r="6408" spans="1:13" ht="14.4">
      <c r="A6408" s="201"/>
      <c r="B6408" s="209"/>
      <c r="C6408" s="201"/>
      <c r="D6408" s="201"/>
      <c r="E6408" s="202"/>
      <c r="F6408" s="210"/>
      <c r="G6408" s="210"/>
      <c r="H6408" s="206" t="s">
        <v>121</v>
      </c>
      <c r="I6408" s="206" t="s">
        <v>121</v>
      </c>
      <c r="J6408" s="206" t="s">
        <v>121</v>
      </c>
      <c r="K6408" s="206" t="s">
        <v>121</v>
      </c>
      <c r="L6408" s="206" t="str">
        <v/>
      </c>
      <c r="M6408" s="206" t="str">
        <v/>
      </c>
    </row>
    <row r="6409" spans="1:13" ht="14.4">
      <c r="A6409" s="201"/>
      <c r="B6409" s="209"/>
      <c r="C6409" s="201"/>
      <c r="D6409" s="201"/>
      <c r="E6409" s="202"/>
      <c r="F6409" s="210"/>
      <c r="G6409" s="210"/>
      <c r="H6409" s="206" t="s">
        <v>121</v>
      </c>
      <c r="I6409" s="206" t="s">
        <v>121</v>
      </c>
      <c r="J6409" s="206" t="s">
        <v>121</v>
      </c>
      <c r="K6409" s="206" t="s">
        <v>121</v>
      </c>
      <c r="L6409" s="206" t="str">
        <v/>
      </c>
      <c r="M6409" s="206" t="str">
        <v/>
      </c>
    </row>
    <row r="6410" spans="1:13" ht="14.4">
      <c r="A6410" s="201"/>
      <c r="B6410" s="209"/>
      <c r="C6410" s="201"/>
      <c r="D6410" s="201"/>
      <c r="E6410" s="202"/>
      <c r="F6410" s="210"/>
      <c r="G6410" s="210"/>
      <c r="H6410" s="206" t="s">
        <v>121</v>
      </c>
      <c r="I6410" s="206" t="s">
        <v>121</v>
      </c>
      <c r="J6410" s="206" t="s">
        <v>121</v>
      </c>
      <c r="K6410" s="206" t="s">
        <v>121</v>
      </c>
      <c r="L6410" s="206" t="str">
        <v/>
      </c>
      <c r="M6410" s="206" t="str">
        <v/>
      </c>
    </row>
    <row r="6411" spans="1:13" ht="14.4">
      <c r="A6411" s="201"/>
      <c r="B6411" s="209"/>
      <c r="C6411" s="201"/>
      <c r="D6411" s="201"/>
      <c r="E6411" s="202"/>
      <c r="F6411" s="210"/>
      <c r="G6411" s="210"/>
      <c r="H6411" s="206" t="s">
        <v>121</v>
      </c>
      <c r="I6411" s="206" t="s">
        <v>121</v>
      </c>
      <c r="J6411" s="206" t="s">
        <v>121</v>
      </c>
      <c r="K6411" s="206" t="s">
        <v>121</v>
      </c>
      <c r="L6411" s="206" t="str">
        <v/>
      </c>
      <c r="M6411" s="206" t="str">
        <v/>
      </c>
    </row>
    <row r="6412" spans="1:13" ht="14.4">
      <c r="A6412" s="201"/>
      <c r="B6412" s="209"/>
      <c r="C6412" s="201"/>
      <c r="D6412" s="201"/>
      <c r="E6412" s="202"/>
      <c r="F6412" s="210"/>
      <c r="G6412" s="210"/>
      <c r="H6412" s="206" t="s">
        <v>121</v>
      </c>
      <c r="I6412" s="206" t="s">
        <v>121</v>
      </c>
      <c r="J6412" s="206" t="s">
        <v>121</v>
      </c>
      <c r="K6412" s="206" t="s">
        <v>121</v>
      </c>
      <c r="L6412" s="206" t="str">
        <v/>
      </c>
      <c r="M6412" s="206" t="str">
        <v/>
      </c>
    </row>
    <row r="6413" spans="1:13" ht="14.4">
      <c r="A6413" s="201"/>
      <c r="B6413" s="209"/>
      <c r="C6413" s="201"/>
      <c r="D6413" s="201"/>
      <c r="E6413" s="202"/>
      <c r="F6413" s="210"/>
      <c r="G6413" s="210"/>
      <c r="H6413" s="206" t="s">
        <v>121</v>
      </c>
      <c r="I6413" s="206" t="s">
        <v>121</v>
      </c>
      <c r="J6413" s="206" t="s">
        <v>121</v>
      </c>
      <c r="K6413" s="206" t="s">
        <v>121</v>
      </c>
      <c r="L6413" s="206" t="str">
        <v/>
      </c>
      <c r="M6413" s="206" t="str">
        <v/>
      </c>
    </row>
    <row r="6414" spans="1:13" ht="14.4">
      <c r="A6414" s="201"/>
      <c r="B6414" s="209"/>
      <c r="C6414" s="201"/>
      <c r="D6414" s="201"/>
      <c r="E6414" s="202"/>
      <c r="F6414" s="210"/>
      <c r="G6414" s="210"/>
      <c r="H6414" s="206" t="s">
        <v>121</v>
      </c>
      <c r="I6414" s="206" t="s">
        <v>121</v>
      </c>
      <c r="J6414" s="206" t="s">
        <v>121</v>
      </c>
      <c r="K6414" s="206" t="s">
        <v>121</v>
      </c>
      <c r="L6414" s="206" t="str">
        <v/>
      </c>
      <c r="M6414" s="206" t="str">
        <v/>
      </c>
    </row>
    <row r="6415" spans="1:13" ht="14.4">
      <c r="A6415" s="201"/>
      <c r="B6415" s="209"/>
      <c r="C6415" s="201"/>
      <c r="D6415" s="201"/>
      <c r="E6415" s="202"/>
      <c r="F6415" s="210"/>
      <c r="G6415" s="210"/>
      <c r="H6415" s="206" t="s">
        <v>121</v>
      </c>
      <c r="I6415" s="206" t="s">
        <v>121</v>
      </c>
      <c r="J6415" s="206" t="s">
        <v>121</v>
      </c>
      <c r="K6415" s="206" t="s">
        <v>121</v>
      </c>
      <c r="L6415" s="206" t="str">
        <v/>
      </c>
      <c r="M6415" s="206" t="str">
        <v/>
      </c>
    </row>
    <row r="6416" spans="1:13" ht="14.4">
      <c r="A6416" s="201"/>
      <c r="B6416" s="209"/>
      <c r="C6416" s="201"/>
      <c r="D6416" s="201"/>
      <c r="E6416" s="202"/>
      <c r="F6416" s="210"/>
      <c r="G6416" s="210"/>
      <c r="H6416" s="206" t="s">
        <v>121</v>
      </c>
      <c r="I6416" s="206" t="s">
        <v>121</v>
      </c>
      <c r="J6416" s="206" t="s">
        <v>121</v>
      </c>
      <c r="K6416" s="206" t="s">
        <v>121</v>
      </c>
      <c r="L6416" s="206" t="str">
        <v/>
      </c>
      <c r="M6416" s="206" t="str">
        <v/>
      </c>
    </row>
    <row r="6417" spans="1:13" ht="14.4">
      <c r="A6417" s="201"/>
      <c r="B6417" s="209"/>
      <c r="C6417" s="201"/>
      <c r="D6417" s="201"/>
      <c r="E6417" s="202"/>
      <c r="F6417" s="210"/>
      <c r="G6417" s="210"/>
      <c r="H6417" s="206" t="s">
        <v>121</v>
      </c>
      <c r="I6417" s="206" t="s">
        <v>121</v>
      </c>
      <c r="J6417" s="206" t="s">
        <v>121</v>
      </c>
      <c r="K6417" s="206" t="s">
        <v>121</v>
      </c>
      <c r="L6417" s="206" t="str">
        <v/>
      </c>
      <c r="M6417" s="206" t="str">
        <v/>
      </c>
    </row>
    <row r="6418" spans="1:13" ht="14.4">
      <c r="A6418" s="201"/>
      <c r="B6418" s="209"/>
      <c r="C6418" s="201"/>
      <c r="D6418" s="201"/>
      <c r="E6418" s="202"/>
      <c r="F6418" s="210"/>
      <c r="G6418" s="210"/>
      <c r="H6418" s="206" t="s">
        <v>121</v>
      </c>
      <c r="I6418" s="206" t="s">
        <v>121</v>
      </c>
      <c r="J6418" s="206" t="s">
        <v>121</v>
      </c>
      <c r="K6418" s="206" t="s">
        <v>121</v>
      </c>
      <c r="L6418" s="206" t="str">
        <v/>
      </c>
      <c r="M6418" s="206" t="str">
        <v/>
      </c>
    </row>
    <row r="6419" spans="1:13" ht="14.4">
      <c r="A6419" s="201"/>
      <c r="B6419" s="209"/>
      <c r="C6419" s="201"/>
      <c r="D6419" s="201"/>
      <c r="E6419" s="202"/>
      <c r="F6419" s="210"/>
      <c r="G6419" s="210"/>
      <c r="H6419" s="206" t="s">
        <v>121</v>
      </c>
      <c r="I6419" s="206" t="s">
        <v>121</v>
      </c>
      <c r="J6419" s="206" t="s">
        <v>121</v>
      </c>
      <c r="K6419" s="206" t="s">
        <v>121</v>
      </c>
      <c r="L6419" s="206" t="str">
        <v/>
      </c>
      <c r="M6419" s="206" t="str">
        <v/>
      </c>
    </row>
    <row r="6420" spans="1:13" ht="14.4">
      <c r="A6420" s="201"/>
      <c r="B6420" s="209"/>
      <c r="C6420" s="201"/>
      <c r="D6420" s="201"/>
      <c r="E6420" s="202"/>
      <c r="F6420" s="210"/>
      <c r="G6420" s="210"/>
      <c r="H6420" s="206" t="s">
        <v>121</v>
      </c>
      <c r="I6420" s="206" t="s">
        <v>121</v>
      </c>
      <c r="J6420" s="206" t="s">
        <v>121</v>
      </c>
      <c r="K6420" s="206" t="s">
        <v>121</v>
      </c>
      <c r="L6420" s="206" t="str">
        <v/>
      </c>
      <c r="M6420" s="206" t="str">
        <v/>
      </c>
    </row>
    <row r="6421" spans="1:13" ht="14.4">
      <c r="A6421" s="201"/>
      <c r="B6421" s="209"/>
      <c r="C6421" s="201"/>
      <c r="D6421" s="201"/>
      <c r="E6421" s="202"/>
      <c r="F6421" s="210"/>
      <c r="G6421" s="210"/>
      <c r="H6421" s="206" t="s">
        <v>121</v>
      </c>
      <c r="I6421" s="206" t="s">
        <v>121</v>
      </c>
      <c r="J6421" s="206" t="s">
        <v>121</v>
      </c>
      <c r="K6421" s="206" t="s">
        <v>121</v>
      </c>
      <c r="L6421" s="206" t="str">
        <v/>
      </c>
      <c r="M6421" s="206" t="str">
        <v/>
      </c>
    </row>
    <row r="6422" spans="1:13" ht="14.4">
      <c r="A6422" s="201"/>
      <c r="B6422" s="209"/>
      <c r="C6422" s="201"/>
      <c r="D6422" s="201"/>
      <c r="E6422" s="202"/>
      <c r="F6422" s="210"/>
      <c r="G6422" s="210"/>
      <c r="H6422" s="206" t="s">
        <v>121</v>
      </c>
      <c r="I6422" s="206" t="s">
        <v>121</v>
      </c>
      <c r="J6422" s="206" t="s">
        <v>121</v>
      </c>
      <c r="K6422" s="206" t="s">
        <v>121</v>
      </c>
      <c r="L6422" s="206" t="str">
        <v/>
      </c>
      <c r="M6422" s="206" t="str">
        <v/>
      </c>
    </row>
    <row r="6423" spans="1:13" ht="14.4">
      <c r="A6423" s="201"/>
      <c r="B6423" s="209"/>
      <c r="C6423" s="201"/>
      <c r="D6423" s="201"/>
      <c r="E6423" s="202"/>
      <c r="F6423" s="210"/>
      <c r="G6423" s="210"/>
      <c r="H6423" s="206" t="s">
        <v>121</v>
      </c>
      <c r="I6423" s="206" t="s">
        <v>121</v>
      </c>
      <c r="J6423" s="206" t="s">
        <v>121</v>
      </c>
      <c r="K6423" s="206" t="s">
        <v>121</v>
      </c>
      <c r="L6423" s="206" t="str">
        <v/>
      </c>
      <c r="M6423" s="206" t="str">
        <v/>
      </c>
    </row>
    <row r="6424" spans="1:13" ht="14.4">
      <c r="A6424" s="201"/>
      <c r="B6424" s="209"/>
      <c r="C6424" s="201"/>
      <c r="D6424" s="201"/>
      <c r="E6424" s="202"/>
      <c r="F6424" s="210"/>
      <c r="G6424" s="210"/>
      <c r="H6424" s="206" t="s">
        <v>121</v>
      </c>
      <c r="I6424" s="206" t="s">
        <v>121</v>
      </c>
      <c r="J6424" s="206" t="s">
        <v>121</v>
      </c>
      <c r="K6424" s="206" t="s">
        <v>121</v>
      </c>
      <c r="L6424" s="206" t="str">
        <v/>
      </c>
      <c r="M6424" s="206" t="str">
        <v/>
      </c>
    </row>
    <row r="6425" spans="1:13" ht="14.4">
      <c r="A6425" s="201"/>
      <c r="B6425" s="209"/>
      <c r="C6425" s="201"/>
      <c r="D6425" s="201"/>
      <c r="E6425" s="202"/>
      <c r="F6425" s="210"/>
      <c r="G6425" s="210"/>
      <c r="H6425" s="206" t="s">
        <v>121</v>
      </c>
      <c r="I6425" s="206" t="s">
        <v>121</v>
      </c>
      <c r="J6425" s="206" t="s">
        <v>121</v>
      </c>
      <c r="K6425" s="206" t="s">
        <v>121</v>
      </c>
      <c r="L6425" s="206" t="str">
        <v/>
      </c>
      <c r="M6425" s="206" t="str">
        <v/>
      </c>
    </row>
    <row r="6426" spans="1:13" ht="14.4">
      <c r="A6426" s="201"/>
      <c r="B6426" s="209"/>
      <c r="C6426" s="201"/>
      <c r="D6426" s="201"/>
      <c r="E6426" s="202"/>
      <c r="F6426" s="210"/>
      <c r="G6426" s="210"/>
      <c r="H6426" s="206" t="s">
        <v>121</v>
      </c>
      <c r="I6426" s="206" t="s">
        <v>121</v>
      </c>
      <c r="J6426" s="206" t="s">
        <v>121</v>
      </c>
      <c r="K6426" s="206" t="s">
        <v>121</v>
      </c>
      <c r="L6426" s="206" t="str">
        <v/>
      </c>
      <c r="M6426" s="206" t="str">
        <v/>
      </c>
    </row>
    <row r="6427" spans="1:13" ht="14.4">
      <c r="A6427" s="201"/>
      <c r="B6427" s="209"/>
      <c r="C6427" s="201"/>
      <c r="D6427" s="201"/>
      <c r="E6427" s="202"/>
      <c r="F6427" s="210"/>
      <c r="G6427" s="210"/>
      <c r="H6427" s="206" t="s">
        <v>121</v>
      </c>
      <c r="I6427" s="206" t="s">
        <v>121</v>
      </c>
      <c r="J6427" s="206" t="s">
        <v>121</v>
      </c>
      <c r="K6427" s="206" t="s">
        <v>121</v>
      </c>
      <c r="L6427" s="206" t="str">
        <v/>
      </c>
      <c r="M6427" s="206" t="str">
        <v/>
      </c>
    </row>
    <row r="6428" spans="1:13" ht="14.4">
      <c r="A6428" s="201"/>
      <c r="B6428" s="209"/>
      <c r="C6428" s="201"/>
      <c r="D6428" s="201"/>
      <c r="E6428" s="202"/>
      <c r="F6428" s="210"/>
      <c r="G6428" s="210"/>
      <c r="H6428" s="206" t="s">
        <v>121</v>
      </c>
      <c r="I6428" s="206" t="s">
        <v>121</v>
      </c>
      <c r="J6428" s="206" t="s">
        <v>121</v>
      </c>
      <c r="K6428" s="206" t="s">
        <v>121</v>
      </c>
      <c r="L6428" s="206" t="str">
        <v/>
      </c>
      <c r="M6428" s="206" t="str">
        <v/>
      </c>
    </row>
    <row r="6429" spans="1:13" ht="14.4">
      <c r="A6429" s="201"/>
      <c r="B6429" s="209"/>
      <c r="C6429" s="201"/>
      <c r="D6429" s="201"/>
      <c r="E6429" s="202"/>
      <c r="F6429" s="210"/>
      <c r="G6429" s="210"/>
      <c r="H6429" s="206" t="s">
        <v>121</v>
      </c>
      <c r="I6429" s="206" t="s">
        <v>121</v>
      </c>
      <c r="J6429" s="206" t="s">
        <v>121</v>
      </c>
      <c r="K6429" s="206" t="s">
        <v>121</v>
      </c>
      <c r="L6429" s="206" t="str">
        <v/>
      </c>
      <c r="M6429" s="206" t="str">
        <v/>
      </c>
    </row>
    <row r="6430" spans="1:13" ht="14.4">
      <c r="A6430" s="201"/>
      <c r="B6430" s="209"/>
      <c r="C6430" s="201"/>
      <c r="D6430" s="201"/>
      <c r="E6430" s="202"/>
      <c r="F6430" s="210"/>
      <c r="G6430" s="210"/>
      <c r="H6430" s="206" t="s">
        <v>121</v>
      </c>
      <c r="I6430" s="206" t="s">
        <v>121</v>
      </c>
      <c r="J6430" s="206" t="s">
        <v>121</v>
      </c>
      <c r="K6430" s="206" t="s">
        <v>121</v>
      </c>
      <c r="L6430" s="206" t="str">
        <v/>
      </c>
      <c r="M6430" s="206" t="str">
        <v/>
      </c>
    </row>
    <row r="6431" spans="1:13" ht="14.4">
      <c r="A6431" s="201"/>
      <c r="B6431" s="209"/>
      <c r="C6431" s="201"/>
      <c r="D6431" s="201"/>
      <c r="E6431" s="202"/>
      <c r="F6431" s="210"/>
      <c r="G6431" s="210"/>
      <c r="H6431" s="206" t="s">
        <v>121</v>
      </c>
      <c r="I6431" s="206" t="s">
        <v>121</v>
      </c>
      <c r="J6431" s="206" t="s">
        <v>121</v>
      </c>
      <c r="K6431" s="206" t="s">
        <v>121</v>
      </c>
      <c r="L6431" s="206" t="str">
        <v/>
      </c>
      <c r="M6431" s="206" t="str">
        <v/>
      </c>
    </row>
    <row r="6432" spans="1:13" ht="14.4">
      <c r="A6432" s="201"/>
      <c r="B6432" s="209"/>
      <c r="C6432" s="201"/>
      <c r="D6432" s="201"/>
      <c r="E6432" s="202"/>
      <c r="F6432" s="210"/>
      <c r="G6432" s="210"/>
      <c r="H6432" s="206" t="s">
        <v>121</v>
      </c>
      <c r="I6432" s="206" t="s">
        <v>121</v>
      </c>
      <c r="J6432" s="206" t="s">
        <v>121</v>
      </c>
      <c r="K6432" s="206" t="s">
        <v>121</v>
      </c>
      <c r="L6432" s="206" t="str">
        <v/>
      </c>
      <c r="M6432" s="206" t="str">
        <v/>
      </c>
    </row>
    <row r="6433" spans="1:13" ht="14.4">
      <c r="A6433" s="201"/>
      <c r="B6433" s="209"/>
      <c r="C6433" s="201"/>
      <c r="D6433" s="201"/>
      <c r="E6433" s="202"/>
      <c r="F6433" s="210"/>
      <c r="G6433" s="210"/>
      <c r="H6433" s="206" t="s">
        <v>121</v>
      </c>
      <c r="I6433" s="206" t="s">
        <v>121</v>
      </c>
      <c r="J6433" s="206" t="s">
        <v>121</v>
      </c>
      <c r="K6433" s="206" t="s">
        <v>121</v>
      </c>
      <c r="L6433" s="206" t="str">
        <v/>
      </c>
      <c r="M6433" s="206" t="str">
        <v/>
      </c>
    </row>
    <row r="6434" spans="1:13" ht="14.4">
      <c r="A6434" s="201"/>
      <c r="B6434" s="209"/>
      <c r="C6434" s="201"/>
      <c r="D6434" s="201"/>
      <c r="E6434" s="202"/>
      <c r="F6434" s="210"/>
      <c r="G6434" s="210"/>
      <c r="H6434" s="206" t="s">
        <v>121</v>
      </c>
      <c r="I6434" s="206" t="s">
        <v>121</v>
      </c>
      <c r="J6434" s="206" t="s">
        <v>121</v>
      </c>
      <c r="K6434" s="206" t="s">
        <v>121</v>
      </c>
      <c r="L6434" s="206" t="str">
        <v/>
      </c>
      <c r="M6434" s="206" t="str">
        <v/>
      </c>
    </row>
    <row r="6435" spans="1:13" ht="14.4">
      <c r="A6435" s="201"/>
      <c r="B6435" s="209"/>
      <c r="C6435" s="201"/>
      <c r="D6435" s="201"/>
      <c r="E6435" s="202"/>
      <c r="F6435" s="210"/>
      <c r="G6435" s="210"/>
      <c r="H6435" s="206" t="s">
        <v>121</v>
      </c>
      <c r="I6435" s="206" t="s">
        <v>121</v>
      </c>
      <c r="J6435" s="206" t="s">
        <v>121</v>
      </c>
      <c r="K6435" s="206" t="s">
        <v>121</v>
      </c>
      <c r="L6435" s="206" t="str">
        <v/>
      </c>
      <c r="M6435" s="206" t="str">
        <v/>
      </c>
    </row>
    <row r="6436" spans="1:13" ht="14.4">
      <c r="A6436" s="201"/>
      <c r="B6436" s="209"/>
      <c r="C6436" s="201"/>
      <c r="D6436" s="201"/>
      <c r="E6436" s="202"/>
      <c r="F6436" s="210"/>
      <c r="G6436" s="210"/>
      <c r="H6436" s="206" t="s">
        <v>121</v>
      </c>
      <c r="I6436" s="206" t="s">
        <v>121</v>
      </c>
      <c r="J6436" s="206" t="s">
        <v>121</v>
      </c>
      <c r="K6436" s="206" t="s">
        <v>121</v>
      </c>
      <c r="L6436" s="206" t="str">
        <v/>
      </c>
      <c r="M6436" s="206" t="str">
        <v/>
      </c>
    </row>
    <row r="6437" spans="1:13" ht="14.4">
      <c r="A6437" s="201"/>
      <c r="B6437" s="209"/>
      <c r="C6437" s="201"/>
      <c r="D6437" s="201"/>
      <c r="E6437" s="202"/>
      <c r="F6437" s="210"/>
      <c r="G6437" s="210"/>
      <c r="H6437" s="206" t="s">
        <v>121</v>
      </c>
      <c r="I6437" s="206" t="s">
        <v>121</v>
      </c>
      <c r="J6437" s="206" t="s">
        <v>121</v>
      </c>
      <c r="K6437" s="206" t="s">
        <v>121</v>
      </c>
      <c r="L6437" s="206" t="str">
        <v/>
      </c>
      <c r="M6437" s="206" t="str">
        <v/>
      </c>
    </row>
    <row r="6438" spans="1:13" ht="14.4">
      <c r="A6438" s="201"/>
      <c r="B6438" s="209"/>
      <c r="C6438" s="201"/>
      <c r="D6438" s="201"/>
      <c r="E6438" s="202"/>
      <c r="F6438" s="210"/>
      <c r="G6438" s="210"/>
      <c r="H6438" s="206" t="s">
        <v>121</v>
      </c>
      <c r="I6438" s="206" t="s">
        <v>121</v>
      </c>
      <c r="J6438" s="206" t="s">
        <v>121</v>
      </c>
      <c r="K6438" s="206" t="s">
        <v>121</v>
      </c>
      <c r="L6438" s="206" t="str">
        <v/>
      </c>
      <c r="M6438" s="206" t="str">
        <v/>
      </c>
    </row>
    <row r="6439" spans="1:13" ht="14.4">
      <c r="A6439" s="201"/>
      <c r="B6439" s="209"/>
      <c r="C6439" s="201"/>
      <c r="D6439" s="201"/>
      <c r="E6439" s="202"/>
      <c r="F6439" s="210"/>
      <c r="G6439" s="210"/>
      <c r="H6439" s="206" t="s">
        <v>121</v>
      </c>
      <c r="I6439" s="206" t="s">
        <v>121</v>
      </c>
      <c r="J6439" s="206" t="s">
        <v>121</v>
      </c>
      <c r="K6439" s="206" t="s">
        <v>121</v>
      </c>
      <c r="L6439" s="206" t="str">
        <v/>
      </c>
      <c r="M6439" s="206" t="str">
        <v/>
      </c>
    </row>
    <row r="6440" spans="1:13" ht="14.4">
      <c r="A6440" s="201"/>
      <c r="B6440" s="209"/>
      <c r="C6440" s="201"/>
      <c r="D6440" s="201"/>
      <c r="E6440" s="202"/>
      <c r="F6440" s="210"/>
      <c r="G6440" s="210"/>
      <c r="H6440" s="206" t="s">
        <v>121</v>
      </c>
      <c r="I6440" s="206" t="s">
        <v>121</v>
      </c>
      <c r="J6440" s="206" t="s">
        <v>121</v>
      </c>
      <c r="K6440" s="206" t="s">
        <v>121</v>
      </c>
      <c r="L6440" s="206" t="str">
        <v/>
      </c>
      <c r="M6440" s="206" t="str">
        <v/>
      </c>
    </row>
    <row r="6441" spans="1:13" ht="14.4">
      <c r="A6441" s="201"/>
      <c r="B6441" s="209"/>
      <c r="C6441" s="201"/>
      <c r="D6441" s="201"/>
      <c r="E6441" s="202"/>
      <c r="F6441" s="210"/>
      <c r="G6441" s="210"/>
      <c r="H6441" s="206" t="s">
        <v>121</v>
      </c>
      <c r="I6441" s="206" t="s">
        <v>121</v>
      </c>
      <c r="J6441" s="206" t="s">
        <v>121</v>
      </c>
      <c r="K6441" s="206" t="s">
        <v>121</v>
      </c>
      <c r="L6441" s="206" t="str">
        <v/>
      </c>
      <c r="M6441" s="206" t="str">
        <v/>
      </c>
    </row>
    <row r="6442" spans="1:13" ht="14.4">
      <c r="A6442" s="201"/>
      <c r="B6442" s="209"/>
      <c r="C6442" s="201"/>
      <c r="D6442" s="201"/>
      <c r="E6442" s="202"/>
      <c r="F6442" s="210"/>
      <c r="G6442" s="210"/>
      <c r="H6442" s="206" t="s">
        <v>121</v>
      </c>
      <c r="I6442" s="206" t="s">
        <v>121</v>
      </c>
      <c r="J6442" s="206" t="s">
        <v>121</v>
      </c>
      <c r="K6442" s="206" t="s">
        <v>121</v>
      </c>
      <c r="L6442" s="206" t="str">
        <v/>
      </c>
      <c r="M6442" s="206" t="str">
        <v/>
      </c>
    </row>
    <row r="6443" spans="1:13" ht="14.4">
      <c r="A6443" s="201"/>
      <c r="B6443" s="209"/>
      <c r="C6443" s="201"/>
      <c r="D6443" s="201"/>
      <c r="E6443" s="202"/>
      <c r="F6443" s="210"/>
      <c r="G6443" s="210"/>
      <c r="H6443" s="206" t="s">
        <v>121</v>
      </c>
      <c r="I6443" s="206" t="s">
        <v>121</v>
      </c>
      <c r="J6443" s="206" t="s">
        <v>121</v>
      </c>
      <c r="K6443" s="206" t="s">
        <v>121</v>
      </c>
      <c r="L6443" s="206" t="str">
        <v/>
      </c>
      <c r="M6443" s="206" t="str">
        <v/>
      </c>
    </row>
    <row r="6444" spans="1:13" ht="14.4">
      <c r="A6444" s="201"/>
      <c r="B6444" s="209"/>
      <c r="C6444" s="201"/>
      <c r="D6444" s="201"/>
      <c r="E6444" s="202"/>
      <c r="F6444" s="210"/>
      <c r="G6444" s="210"/>
      <c r="H6444" s="206" t="s">
        <v>121</v>
      </c>
      <c r="I6444" s="206" t="s">
        <v>121</v>
      </c>
      <c r="J6444" s="206" t="s">
        <v>121</v>
      </c>
      <c r="K6444" s="206" t="s">
        <v>121</v>
      </c>
      <c r="L6444" s="206" t="str">
        <v/>
      </c>
      <c r="M6444" s="206" t="str">
        <v/>
      </c>
    </row>
    <row r="6445" spans="1:13" ht="14.4">
      <c r="A6445" s="201"/>
      <c r="B6445" s="209"/>
      <c r="C6445" s="201"/>
      <c r="D6445" s="201"/>
      <c r="E6445" s="202"/>
      <c r="F6445" s="210"/>
      <c r="G6445" s="210"/>
      <c r="H6445" s="206" t="s">
        <v>121</v>
      </c>
      <c r="I6445" s="206" t="s">
        <v>121</v>
      </c>
      <c r="J6445" s="206" t="s">
        <v>121</v>
      </c>
      <c r="K6445" s="206" t="s">
        <v>121</v>
      </c>
      <c r="L6445" s="206" t="str">
        <v/>
      </c>
      <c r="M6445" s="206" t="str">
        <v/>
      </c>
    </row>
    <row r="6446" spans="1:13" ht="14.4">
      <c r="A6446" s="201"/>
      <c r="B6446" s="209"/>
      <c r="C6446" s="201"/>
      <c r="D6446" s="201"/>
      <c r="E6446" s="202"/>
      <c r="F6446" s="210"/>
      <c r="G6446" s="210"/>
      <c r="H6446" s="206" t="s">
        <v>121</v>
      </c>
      <c r="I6446" s="206" t="s">
        <v>121</v>
      </c>
      <c r="J6446" s="206" t="s">
        <v>121</v>
      </c>
      <c r="K6446" s="206" t="s">
        <v>121</v>
      </c>
      <c r="L6446" s="206" t="str">
        <v/>
      </c>
      <c r="M6446" s="206" t="str">
        <v/>
      </c>
    </row>
    <row r="6447" spans="1:13" ht="14.4">
      <c r="A6447" s="201"/>
      <c r="B6447" s="209"/>
      <c r="C6447" s="201"/>
      <c r="D6447" s="201"/>
      <c r="E6447" s="202"/>
      <c r="F6447" s="210"/>
      <c r="G6447" s="210"/>
      <c r="H6447" s="206" t="s">
        <v>121</v>
      </c>
      <c r="I6447" s="206" t="s">
        <v>121</v>
      </c>
      <c r="J6447" s="206" t="s">
        <v>121</v>
      </c>
      <c r="K6447" s="206" t="s">
        <v>121</v>
      </c>
      <c r="L6447" s="206" t="str">
        <v/>
      </c>
      <c r="M6447" s="206" t="str">
        <v/>
      </c>
    </row>
    <row r="6448" spans="1:13" ht="14.4">
      <c r="A6448" s="201"/>
      <c r="B6448" s="209"/>
      <c r="C6448" s="201"/>
      <c r="D6448" s="201"/>
      <c r="E6448" s="202"/>
      <c r="F6448" s="210"/>
      <c r="G6448" s="210"/>
      <c r="H6448" s="206" t="s">
        <v>121</v>
      </c>
      <c r="I6448" s="206" t="s">
        <v>121</v>
      </c>
      <c r="J6448" s="206" t="s">
        <v>121</v>
      </c>
      <c r="K6448" s="206" t="s">
        <v>121</v>
      </c>
      <c r="L6448" s="206" t="str">
        <v/>
      </c>
      <c r="M6448" s="206" t="str">
        <v/>
      </c>
    </row>
    <row r="6449" spans="1:13" ht="14.4">
      <c r="A6449" s="201"/>
      <c r="B6449" s="209"/>
      <c r="C6449" s="201"/>
      <c r="D6449" s="201"/>
      <c r="E6449" s="202"/>
      <c r="F6449" s="210"/>
      <c r="G6449" s="210"/>
      <c r="H6449" s="206" t="s">
        <v>121</v>
      </c>
      <c r="I6449" s="206" t="s">
        <v>121</v>
      </c>
      <c r="J6449" s="206" t="s">
        <v>121</v>
      </c>
      <c r="K6449" s="206" t="s">
        <v>121</v>
      </c>
      <c r="L6449" s="206" t="str">
        <v/>
      </c>
      <c r="M6449" s="206" t="str">
        <v/>
      </c>
    </row>
    <row r="6450" spans="1:13" ht="14.4">
      <c r="A6450" s="201"/>
      <c r="B6450" s="209"/>
      <c r="C6450" s="201"/>
      <c r="D6450" s="201"/>
      <c r="E6450" s="202"/>
      <c r="F6450" s="210"/>
      <c r="G6450" s="210"/>
      <c r="H6450" s="206" t="s">
        <v>121</v>
      </c>
      <c r="I6450" s="206" t="s">
        <v>121</v>
      </c>
      <c r="J6450" s="206" t="s">
        <v>121</v>
      </c>
      <c r="K6450" s="206" t="s">
        <v>121</v>
      </c>
      <c r="L6450" s="206" t="str">
        <v/>
      </c>
      <c r="M6450" s="206" t="str">
        <v/>
      </c>
    </row>
    <row r="6451" spans="1:13" ht="14.4">
      <c r="A6451" s="201"/>
      <c r="B6451" s="209"/>
      <c r="C6451" s="201"/>
      <c r="D6451" s="201"/>
      <c r="E6451" s="202"/>
      <c r="F6451" s="210"/>
      <c r="G6451" s="210"/>
      <c r="H6451" s="206" t="s">
        <v>121</v>
      </c>
      <c r="I6451" s="206" t="s">
        <v>121</v>
      </c>
      <c r="J6451" s="206" t="s">
        <v>121</v>
      </c>
      <c r="K6451" s="206" t="s">
        <v>121</v>
      </c>
      <c r="L6451" s="206" t="str">
        <v/>
      </c>
      <c r="M6451" s="206" t="str">
        <v/>
      </c>
    </row>
    <row r="6452" spans="1:13" ht="14.4">
      <c r="A6452" s="201"/>
      <c r="B6452" s="209"/>
      <c r="C6452" s="201"/>
      <c r="D6452" s="201"/>
      <c r="E6452" s="202"/>
      <c r="F6452" s="210"/>
      <c r="G6452" s="210"/>
      <c r="H6452" s="206" t="s">
        <v>121</v>
      </c>
      <c r="I6452" s="206" t="s">
        <v>121</v>
      </c>
      <c r="J6452" s="206" t="s">
        <v>121</v>
      </c>
      <c r="K6452" s="206" t="s">
        <v>121</v>
      </c>
      <c r="L6452" s="206" t="str">
        <v/>
      </c>
      <c r="M6452" s="206" t="str">
        <v/>
      </c>
    </row>
    <row r="6453" spans="1:13" ht="14.4">
      <c r="A6453" s="201"/>
      <c r="B6453" s="209"/>
      <c r="C6453" s="201"/>
      <c r="D6453" s="201"/>
      <c r="E6453" s="202"/>
      <c r="F6453" s="210"/>
      <c r="G6453" s="210"/>
      <c r="H6453" s="206" t="s">
        <v>121</v>
      </c>
      <c r="I6453" s="206" t="s">
        <v>121</v>
      </c>
      <c r="J6453" s="206" t="s">
        <v>121</v>
      </c>
      <c r="K6453" s="206" t="s">
        <v>121</v>
      </c>
      <c r="L6453" s="206" t="str">
        <v/>
      </c>
      <c r="M6453" s="206" t="str">
        <v/>
      </c>
    </row>
    <row r="6454" spans="1:13" ht="14.4">
      <c r="A6454" s="201"/>
      <c r="B6454" s="209"/>
      <c r="C6454" s="201"/>
      <c r="D6454" s="201"/>
      <c r="E6454" s="202"/>
      <c r="F6454" s="210"/>
      <c r="G6454" s="210"/>
      <c r="H6454" s="206" t="s">
        <v>121</v>
      </c>
      <c r="I6454" s="206" t="s">
        <v>121</v>
      </c>
      <c r="J6454" s="206" t="s">
        <v>121</v>
      </c>
      <c r="K6454" s="206" t="s">
        <v>121</v>
      </c>
      <c r="L6454" s="206" t="str">
        <v/>
      </c>
      <c r="M6454" s="206" t="str">
        <v/>
      </c>
    </row>
    <row r="6455" spans="1:13" ht="14.4">
      <c r="A6455" s="201"/>
      <c r="B6455" s="209"/>
      <c r="C6455" s="201"/>
      <c r="D6455" s="201"/>
      <c r="E6455" s="202"/>
      <c r="F6455" s="210"/>
      <c r="G6455" s="210"/>
      <c r="H6455" s="206" t="s">
        <v>121</v>
      </c>
      <c r="I6455" s="206" t="s">
        <v>121</v>
      </c>
      <c r="J6455" s="206" t="s">
        <v>121</v>
      </c>
      <c r="K6455" s="206" t="s">
        <v>121</v>
      </c>
      <c r="L6455" s="206" t="str">
        <v/>
      </c>
      <c r="M6455" s="206" t="str">
        <v/>
      </c>
    </row>
    <row r="6456" spans="1:13" ht="14.4">
      <c r="A6456" s="201"/>
      <c r="B6456" s="209"/>
      <c r="C6456" s="201"/>
      <c r="D6456" s="201"/>
      <c r="E6456" s="202"/>
      <c r="F6456" s="210"/>
      <c r="G6456" s="210"/>
      <c r="H6456" s="206" t="s">
        <v>121</v>
      </c>
      <c r="I6456" s="206" t="s">
        <v>121</v>
      </c>
      <c r="J6456" s="206" t="s">
        <v>121</v>
      </c>
      <c r="K6456" s="206" t="s">
        <v>121</v>
      </c>
      <c r="L6456" s="206" t="str">
        <v/>
      </c>
      <c r="M6456" s="206" t="str">
        <v/>
      </c>
    </row>
    <row r="6457" spans="1:13" ht="14.4">
      <c r="A6457" s="201"/>
      <c r="B6457" s="209"/>
      <c r="C6457" s="201"/>
      <c r="D6457" s="201"/>
      <c r="E6457" s="202"/>
      <c r="F6457" s="210"/>
      <c r="G6457" s="210"/>
      <c r="H6457" s="206" t="s">
        <v>121</v>
      </c>
      <c r="I6457" s="206" t="s">
        <v>121</v>
      </c>
      <c r="J6457" s="206" t="s">
        <v>121</v>
      </c>
      <c r="K6457" s="206" t="s">
        <v>121</v>
      </c>
      <c r="L6457" s="206" t="str">
        <v/>
      </c>
      <c r="M6457" s="206" t="str">
        <v/>
      </c>
    </row>
    <row r="6458" spans="1:13" ht="14.4">
      <c r="A6458" s="201"/>
      <c r="B6458" s="209"/>
      <c r="C6458" s="201"/>
      <c r="D6458" s="201"/>
      <c r="E6458" s="202"/>
      <c r="F6458" s="210"/>
      <c r="G6458" s="210"/>
      <c r="H6458" s="206" t="s">
        <v>121</v>
      </c>
      <c r="I6458" s="206" t="s">
        <v>121</v>
      </c>
      <c r="J6458" s="206" t="s">
        <v>121</v>
      </c>
      <c r="K6458" s="206" t="s">
        <v>121</v>
      </c>
      <c r="L6458" s="206" t="str">
        <v/>
      </c>
      <c r="M6458" s="206" t="str">
        <v/>
      </c>
    </row>
    <row r="6459" spans="1:13" ht="14.4">
      <c r="A6459" s="201"/>
      <c r="B6459" s="209"/>
      <c r="C6459" s="201"/>
      <c r="D6459" s="201"/>
      <c r="E6459" s="202"/>
      <c r="F6459" s="210"/>
      <c r="G6459" s="210"/>
      <c r="H6459" s="206" t="s">
        <v>121</v>
      </c>
      <c r="I6459" s="206" t="s">
        <v>121</v>
      </c>
      <c r="J6459" s="206" t="s">
        <v>121</v>
      </c>
      <c r="K6459" s="206" t="s">
        <v>121</v>
      </c>
      <c r="L6459" s="206" t="str">
        <v/>
      </c>
      <c r="M6459" s="206" t="str">
        <v/>
      </c>
    </row>
    <row r="6460" spans="1:13" ht="14.4">
      <c r="A6460" s="201"/>
      <c r="B6460" s="209"/>
      <c r="C6460" s="201"/>
      <c r="D6460" s="201"/>
      <c r="E6460" s="202"/>
      <c r="F6460" s="210"/>
      <c r="G6460" s="210"/>
      <c r="H6460" s="206" t="s">
        <v>121</v>
      </c>
      <c r="I6460" s="206" t="s">
        <v>121</v>
      </c>
      <c r="J6460" s="206" t="s">
        <v>121</v>
      </c>
      <c r="K6460" s="206" t="s">
        <v>121</v>
      </c>
      <c r="L6460" s="206" t="str">
        <v/>
      </c>
      <c r="M6460" s="206" t="str">
        <v/>
      </c>
    </row>
    <row r="6461" spans="1:13" ht="14.4">
      <c r="A6461" s="201"/>
      <c r="B6461" s="209"/>
      <c r="C6461" s="201"/>
      <c r="D6461" s="201"/>
      <c r="E6461" s="202"/>
      <c r="F6461" s="210"/>
      <c r="G6461" s="210"/>
      <c r="H6461" s="206" t="s">
        <v>121</v>
      </c>
      <c r="I6461" s="206" t="s">
        <v>121</v>
      </c>
      <c r="J6461" s="206" t="s">
        <v>121</v>
      </c>
      <c r="K6461" s="206" t="s">
        <v>121</v>
      </c>
      <c r="L6461" s="206" t="str">
        <v/>
      </c>
      <c r="M6461" s="206" t="str">
        <v/>
      </c>
    </row>
    <row r="6462" spans="1:13" ht="14.4">
      <c r="A6462" s="201"/>
      <c r="B6462" s="209"/>
      <c r="C6462" s="201"/>
      <c r="D6462" s="201"/>
      <c r="E6462" s="202"/>
      <c r="F6462" s="210"/>
      <c r="G6462" s="210"/>
      <c r="H6462" s="206" t="s">
        <v>121</v>
      </c>
      <c r="I6462" s="206" t="s">
        <v>121</v>
      </c>
      <c r="J6462" s="206" t="s">
        <v>121</v>
      </c>
      <c r="K6462" s="206" t="s">
        <v>121</v>
      </c>
      <c r="L6462" s="206" t="str">
        <v/>
      </c>
      <c r="M6462" s="206" t="str">
        <v/>
      </c>
    </row>
    <row r="6463" spans="1:13" ht="14.4">
      <c r="A6463" s="201"/>
      <c r="B6463" s="209"/>
      <c r="C6463" s="201"/>
      <c r="D6463" s="201"/>
      <c r="E6463" s="202"/>
      <c r="F6463" s="210"/>
      <c r="G6463" s="210"/>
      <c r="H6463" s="206" t="s">
        <v>121</v>
      </c>
      <c r="I6463" s="206" t="s">
        <v>121</v>
      </c>
      <c r="J6463" s="206" t="s">
        <v>121</v>
      </c>
      <c r="K6463" s="206" t="s">
        <v>121</v>
      </c>
      <c r="L6463" s="206" t="str">
        <v/>
      </c>
      <c r="M6463" s="206" t="str">
        <v/>
      </c>
    </row>
    <row r="6464" spans="1:13" ht="14.4">
      <c r="A6464" s="201"/>
      <c r="B6464" s="209"/>
      <c r="C6464" s="201"/>
      <c r="D6464" s="201"/>
      <c r="E6464" s="202"/>
      <c r="F6464" s="210"/>
      <c r="G6464" s="210"/>
      <c r="H6464" s="206" t="s">
        <v>121</v>
      </c>
      <c r="I6464" s="206" t="s">
        <v>121</v>
      </c>
      <c r="J6464" s="206" t="s">
        <v>121</v>
      </c>
      <c r="K6464" s="206" t="s">
        <v>121</v>
      </c>
      <c r="L6464" s="206" t="str">
        <v/>
      </c>
      <c r="M6464" s="206" t="str">
        <v/>
      </c>
    </row>
    <row r="6465" spans="1:13" ht="14.4">
      <c r="A6465" s="201"/>
      <c r="B6465" s="209"/>
      <c r="C6465" s="201"/>
      <c r="D6465" s="201"/>
      <c r="E6465" s="202"/>
      <c r="F6465" s="210"/>
      <c r="G6465" s="210"/>
      <c r="H6465" s="206" t="s">
        <v>121</v>
      </c>
      <c r="I6465" s="206" t="s">
        <v>121</v>
      </c>
      <c r="J6465" s="206" t="s">
        <v>121</v>
      </c>
      <c r="K6465" s="206" t="s">
        <v>121</v>
      </c>
      <c r="L6465" s="206" t="str">
        <v/>
      </c>
      <c r="M6465" s="206" t="str">
        <v/>
      </c>
    </row>
    <row r="6466" spans="1:13" ht="14.4">
      <c r="A6466" s="201"/>
      <c r="B6466" s="209"/>
      <c r="C6466" s="201"/>
      <c r="D6466" s="201"/>
      <c r="E6466" s="202"/>
      <c r="F6466" s="210"/>
      <c r="G6466" s="210"/>
      <c r="H6466" s="206" t="s">
        <v>121</v>
      </c>
      <c r="I6466" s="206" t="s">
        <v>121</v>
      </c>
      <c r="J6466" s="206" t="s">
        <v>121</v>
      </c>
      <c r="K6466" s="206" t="s">
        <v>121</v>
      </c>
      <c r="L6466" s="206" t="str">
        <v/>
      </c>
      <c r="M6466" s="206" t="str">
        <v/>
      </c>
    </row>
    <row r="6467" spans="1:13" ht="14.4">
      <c r="A6467" s="201"/>
      <c r="B6467" s="209"/>
      <c r="C6467" s="201"/>
      <c r="D6467" s="201"/>
      <c r="E6467" s="202"/>
      <c r="F6467" s="210"/>
      <c r="G6467" s="210"/>
      <c r="H6467" s="206" t="s">
        <v>121</v>
      </c>
      <c r="I6467" s="206" t="s">
        <v>121</v>
      </c>
      <c r="J6467" s="206" t="s">
        <v>121</v>
      </c>
      <c r="K6467" s="206" t="s">
        <v>121</v>
      </c>
      <c r="L6467" s="206" t="str">
        <v/>
      </c>
      <c r="M6467" s="206" t="str">
        <v/>
      </c>
    </row>
    <row r="6468" spans="1:13" ht="14.4">
      <c r="A6468" s="201"/>
      <c r="B6468" s="209"/>
      <c r="C6468" s="201"/>
      <c r="D6468" s="201"/>
      <c r="E6468" s="202"/>
      <c r="F6468" s="210"/>
      <c r="G6468" s="210"/>
      <c r="H6468" s="206" t="s">
        <v>121</v>
      </c>
      <c r="I6468" s="206" t="s">
        <v>121</v>
      </c>
      <c r="J6468" s="206" t="s">
        <v>121</v>
      </c>
      <c r="K6468" s="206" t="s">
        <v>121</v>
      </c>
      <c r="L6468" s="206" t="str">
        <v/>
      </c>
      <c r="M6468" s="206" t="str">
        <v/>
      </c>
    </row>
    <row r="6469" spans="1:13" ht="14.4">
      <c r="A6469" s="201"/>
      <c r="B6469" s="209"/>
      <c r="C6469" s="201"/>
      <c r="D6469" s="201"/>
      <c r="E6469" s="202"/>
      <c r="F6469" s="210"/>
      <c r="G6469" s="210"/>
      <c r="H6469" s="206" t="s">
        <v>121</v>
      </c>
      <c r="I6469" s="206" t="s">
        <v>121</v>
      </c>
      <c r="J6469" s="206" t="s">
        <v>121</v>
      </c>
      <c r="K6469" s="206" t="s">
        <v>121</v>
      </c>
      <c r="L6469" s="206" t="str">
        <v/>
      </c>
      <c r="M6469" s="206" t="str">
        <v/>
      </c>
    </row>
    <row r="6470" spans="1:13" ht="14.4">
      <c r="A6470" s="201"/>
      <c r="B6470" s="209"/>
      <c r="C6470" s="201"/>
      <c r="D6470" s="201"/>
      <c r="E6470" s="202"/>
      <c r="F6470" s="210"/>
      <c r="G6470" s="210"/>
      <c r="H6470" s="206" t="s">
        <v>121</v>
      </c>
      <c r="I6470" s="206" t="s">
        <v>121</v>
      </c>
      <c r="J6470" s="206" t="s">
        <v>121</v>
      </c>
      <c r="K6470" s="206" t="s">
        <v>121</v>
      </c>
      <c r="L6470" s="206" t="str">
        <v/>
      </c>
      <c r="M6470" s="206" t="str">
        <v/>
      </c>
    </row>
    <row r="6471" spans="1:13" ht="14.4">
      <c r="A6471" s="201"/>
      <c r="B6471" s="209"/>
      <c r="C6471" s="201"/>
      <c r="D6471" s="201"/>
      <c r="E6471" s="202"/>
      <c r="F6471" s="210"/>
      <c r="G6471" s="210"/>
      <c r="H6471" s="206" t="s">
        <v>121</v>
      </c>
      <c r="I6471" s="206" t="s">
        <v>121</v>
      </c>
      <c r="J6471" s="206" t="s">
        <v>121</v>
      </c>
      <c r="K6471" s="206" t="s">
        <v>121</v>
      </c>
      <c r="L6471" s="206" t="str">
        <v/>
      </c>
      <c r="M6471" s="206" t="str">
        <v/>
      </c>
    </row>
    <row r="6472" spans="1:13" ht="14.4">
      <c r="A6472" s="201"/>
      <c r="B6472" s="209"/>
      <c r="C6472" s="201"/>
      <c r="D6472" s="201"/>
      <c r="E6472" s="202"/>
      <c r="F6472" s="210"/>
      <c r="G6472" s="210"/>
      <c r="H6472" s="206" t="s">
        <v>121</v>
      </c>
      <c r="I6472" s="206" t="s">
        <v>121</v>
      </c>
      <c r="J6472" s="206" t="s">
        <v>121</v>
      </c>
      <c r="K6472" s="206" t="s">
        <v>121</v>
      </c>
      <c r="L6472" s="206" t="str">
        <v/>
      </c>
      <c r="M6472" s="206" t="str">
        <v/>
      </c>
    </row>
    <row r="6473" spans="1:13" ht="14.4">
      <c r="A6473" s="201"/>
      <c r="B6473" s="209"/>
      <c r="C6473" s="201"/>
      <c r="D6473" s="201"/>
      <c r="E6473" s="202"/>
      <c r="F6473" s="210"/>
      <c r="G6473" s="210"/>
      <c r="H6473" s="206" t="s">
        <v>121</v>
      </c>
      <c r="I6473" s="206" t="s">
        <v>121</v>
      </c>
      <c r="J6473" s="206" t="s">
        <v>121</v>
      </c>
      <c r="K6473" s="206" t="s">
        <v>121</v>
      </c>
      <c r="L6473" s="206" t="str">
        <v/>
      </c>
      <c r="M6473" s="206" t="str">
        <v/>
      </c>
    </row>
    <row r="6474" spans="1:13" ht="14.4">
      <c r="A6474" s="201"/>
      <c r="B6474" s="209"/>
      <c r="C6474" s="201"/>
      <c r="D6474" s="201"/>
      <c r="E6474" s="202"/>
      <c r="F6474" s="210"/>
      <c r="G6474" s="210"/>
      <c r="H6474" s="206" t="s">
        <v>121</v>
      </c>
      <c r="I6474" s="206" t="s">
        <v>121</v>
      </c>
      <c r="J6474" s="206" t="s">
        <v>121</v>
      </c>
      <c r="K6474" s="206" t="s">
        <v>121</v>
      </c>
      <c r="L6474" s="206" t="str">
        <v/>
      </c>
      <c r="M6474" s="206" t="str">
        <v/>
      </c>
    </row>
    <row r="6475" spans="1:13" ht="14.4">
      <c r="A6475" s="201"/>
      <c r="B6475" s="209"/>
      <c r="C6475" s="201"/>
      <c r="D6475" s="201"/>
      <c r="E6475" s="202"/>
      <c r="F6475" s="210"/>
      <c r="G6475" s="210"/>
      <c r="H6475" s="206" t="s">
        <v>121</v>
      </c>
      <c r="I6475" s="206" t="s">
        <v>121</v>
      </c>
      <c r="J6475" s="206" t="s">
        <v>121</v>
      </c>
      <c r="K6475" s="206" t="s">
        <v>121</v>
      </c>
      <c r="L6475" s="206" t="str">
        <v/>
      </c>
      <c r="M6475" s="206" t="str">
        <v/>
      </c>
    </row>
    <row r="6476" spans="1:13" ht="14.4">
      <c r="A6476" s="201"/>
      <c r="B6476" s="209"/>
      <c r="C6476" s="201"/>
      <c r="D6476" s="201"/>
      <c r="E6476" s="202"/>
      <c r="F6476" s="210"/>
      <c r="G6476" s="210"/>
      <c r="H6476" s="206" t="s">
        <v>121</v>
      </c>
      <c r="I6476" s="206" t="s">
        <v>121</v>
      </c>
      <c r="J6476" s="206" t="s">
        <v>121</v>
      </c>
      <c r="K6476" s="206" t="s">
        <v>121</v>
      </c>
      <c r="L6476" s="206" t="str">
        <v/>
      </c>
      <c r="M6476" s="206" t="str">
        <v/>
      </c>
    </row>
    <row r="6477" spans="1:13" ht="14.4">
      <c r="A6477" s="201"/>
      <c r="B6477" s="209"/>
      <c r="C6477" s="201"/>
      <c r="D6477" s="201"/>
      <c r="E6477" s="202"/>
      <c r="F6477" s="210"/>
      <c r="G6477" s="210"/>
      <c r="H6477" s="206" t="s">
        <v>121</v>
      </c>
      <c r="I6477" s="206" t="s">
        <v>121</v>
      </c>
      <c r="J6477" s="206" t="s">
        <v>121</v>
      </c>
      <c r="K6477" s="206" t="s">
        <v>121</v>
      </c>
      <c r="L6477" s="206" t="str">
        <v/>
      </c>
      <c r="M6477" s="206" t="str">
        <v/>
      </c>
    </row>
    <row r="6478" spans="1:13" ht="14.4">
      <c r="A6478" s="201"/>
      <c r="B6478" s="209"/>
      <c r="C6478" s="201"/>
      <c r="D6478" s="201"/>
      <c r="E6478" s="202"/>
      <c r="F6478" s="210"/>
      <c r="G6478" s="210"/>
      <c r="H6478" s="206" t="s">
        <v>121</v>
      </c>
      <c r="I6478" s="206" t="s">
        <v>121</v>
      </c>
      <c r="J6478" s="206" t="s">
        <v>121</v>
      </c>
      <c r="K6478" s="206" t="s">
        <v>121</v>
      </c>
      <c r="L6478" s="206" t="str">
        <v/>
      </c>
      <c r="M6478" s="206" t="str">
        <v/>
      </c>
    </row>
    <row r="6479" spans="1:13" ht="14.4">
      <c r="A6479" s="201"/>
      <c r="B6479" s="209"/>
      <c r="C6479" s="201"/>
      <c r="D6479" s="201"/>
      <c r="E6479" s="202"/>
      <c r="F6479" s="210"/>
      <c r="G6479" s="210"/>
      <c r="H6479" s="206" t="s">
        <v>121</v>
      </c>
      <c r="I6479" s="206" t="s">
        <v>121</v>
      </c>
      <c r="J6479" s="206" t="s">
        <v>121</v>
      </c>
      <c r="K6479" s="206" t="s">
        <v>121</v>
      </c>
      <c r="L6479" s="206" t="str">
        <v/>
      </c>
      <c r="M6479" s="206" t="str">
        <v/>
      </c>
    </row>
    <row r="6480" spans="1:13" ht="14.4">
      <c r="A6480" s="201"/>
      <c r="B6480" s="209"/>
      <c r="C6480" s="201"/>
      <c r="D6480" s="201"/>
      <c r="E6480" s="202"/>
      <c r="F6480" s="210"/>
      <c r="G6480" s="210"/>
      <c r="H6480" s="206" t="s">
        <v>121</v>
      </c>
      <c r="I6480" s="206" t="s">
        <v>121</v>
      </c>
      <c r="J6480" s="206" t="s">
        <v>121</v>
      </c>
      <c r="K6480" s="206" t="s">
        <v>121</v>
      </c>
      <c r="L6480" s="206" t="str">
        <v/>
      </c>
      <c r="M6480" s="206" t="str">
        <v/>
      </c>
    </row>
    <row r="6481" spans="1:13" ht="14.4">
      <c r="A6481" s="201"/>
      <c r="B6481" s="209"/>
      <c r="C6481" s="201"/>
      <c r="D6481" s="201"/>
      <c r="E6481" s="202"/>
      <c r="F6481" s="210"/>
      <c r="G6481" s="210"/>
      <c r="H6481" s="206" t="s">
        <v>121</v>
      </c>
      <c r="I6481" s="206" t="s">
        <v>121</v>
      </c>
      <c r="J6481" s="206" t="s">
        <v>121</v>
      </c>
      <c r="K6481" s="206" t="s">
        <v>121</v>
      </c>
      <c r="L6481" s="206" t="str">
        <v/>
      </c>
      <c r="M6481" s="206" t="str">
        <v/>
      </c>
    </row>
    <row r="6482" spans="1:13" ht="14.4">
      <c r="A6482" s="201"/>
      <c r="B6482" s="209"/>
      <c r="C6482" s="201"/>
      <c r="D6482" s="201"/>
      <c r="E6482" s="202"/>
      <c r="F6482" s="210"/>
      <c r="G6482" s="210"/>
      <c r="H6482" s="206" t="s">
        <v>121</v>
      </c>
      <c r="I6482" s="206" t="s">
        <v>121</v>
      </c>
      <c r="J6482" s="206" t="s">
        <v>121</v>
      </c>
      <c r="K6482" s="206" t="s">
        <v>121</v>
      </c>
      <c r="L6482" s="206" t="str">
        <v/>
      </c>
      <c r="M6482" s="206" t="str">
        <v/>
      </c>
    </row>
    <row r="6483" spans="1:13" ht="14.4">
      <c r="A6483" s="201"/>
      <c r="B6483" s="209"/>
      <c r="C6483" s="201"/>
      <c r="D6483" s="201"/>
      <c r="E6483" s="202"/>
      <c r="F6483" s="210"/>
      <c r="G6483" s="210"/>
      <c r="H6483" s="206" t="s">
        <v>121</v>
      </c>
      <c r="I6483" s="206" t="s">
        <v>121</v>
      </c>
      <c r="J6483" s="206" t="s">
        <v>121</v>
      </c>
      <c r="K6483" s="206" t="s">
        <v>121</v>
      </c>
      <c r="L6483" s="206" t="str">
        <v/>
      </c>
      <c r="M6483" s="206" t="str">
        <v/>
      </c>
    </row>
    <row r="6484" spans="1:13" ht="14.4">
      <c r="A6484" s="201"/>
      <c r="B6484" s="209"/>
      <c r="C6484" s="201"/>
      <c r="D6484" s="201"/>
      <c r="E6484" s="202"/>
      <c r="F6484" s="210"/>
      <c r="G6484" s="210"/>
      <c r="H6484" s="206" t="s">
        <v>121</v>
      </c>
      <c r="I6484" s="206" t="s">
        <v>121</v>
      </c>
      <c r="J6484" s="206" t="s">
        <v>121</v>
      </c>
      <c r="K6484" s="206" t="s">
        <v>121</v>
      </c>
      <c r="L6484" s="206" t="str">
        <v/>
      </c>
      <c r="M6484" s="206" t="str">
        <v/>
      </c>
    </row>
    <row r="6485" spans="1:13" ht="14.4">
      <c r="A6485" s="201"/>
      <c r="B6485" s="209"/>
      <c r="C6485" s="201"/>
      <c r="D6485" s="201"/>
      <c r="E6485" s="202"/>
      <c r="F6485" s="210"/>
      <c r="G6485" s="210"/>
      <c r="H6485" s="206" t="s">
        <v>121</v>
      </c>
      <c r="I6485" s="206" t="s">
        <v>121</v>
      </c>
      <c r="J6485" s="206" t="s">
        <v>121</v>
      </c>
      <c r="K6485" s="206" t="s">
        <v>121</v>
      </c>
      <c r="L6485" s="206" t="str">
        <v/>
      </c>
      <c r="M6485" s="206" t="str">
        <v/>
      </c>
    </row>
    <row r="6486" spans="1:13" ht="14.4">
      <c r="A6486" s="201"/>
      <c r="B6486" s="209"/>
      <c r="C6486" s="201"/>
      <c r="D6486" s="201"/>
      <c r="E6486" s="202"/>
      <c r="F6486" s="210"/>
      <c r="G6486" s="210"/>
      <c r="H6486" s="206" t="s">
        <v>121</v>
      </c>
      <c r="I6486" s="206" t="s">
        <v>121</v>
      </c>
      <c r="J6486" s="206" t="s">
        <v>121</v>
      </c>
      <c r="K6486" s="206" t="s">
        <v>121</v>
      </c>
      <c r="L6486" s="206" t="str">
        <v/>
      </c>
      <c r="M6486" s="206" t="str">
        <v/>
      </c>
    </row>
    <row r="6487" spans="1:13" ht="14.4">
      <c r="A6487" s="201"/>
      <c r="B6487" s="209"/>
      <c r="C6487" s="201"/>
      <c r="D6487" s="201"/>
      <c r="E6487" s="202"/>
      <c r="F6487" s="210"/>
      <c r="G6487" s="210"/>
      <c r="H6487" s="206" t="s">
        <v>121</v>
      </c>
      <c r="I6487" s="206" t="s">
        <v>121</v>
      </c>
      <c r="J6487" s="206" t="s">
        <v>121</v>
      </c>
      <c r="K6487" s="206" t="s">
        <v>121</v>
      </c>
      <c r="L6487" s="206" t="str">
        <v/>
      </c>
      <c r="M6487" s="206" t="str">
        <v/>
      </c>
    </row>
    <row r="6488" spans="1:13" ht="14.4">
      <c r="A6488" s="201"/>
      <c r="B6488" s="209"/>
      <c r="C6488" s="201"/>
      <c r="D6488" s="201"/>
      <c r="E6488" s="202"/>
      <c r="F6488" s="210"/>
      <c r="G6488" s="210"/>
      <c r="H6488" s="206" t="s">
        <v>121</v>
      </c>
      <c r="I6488" s="206" t="s">
        <v>121</v>
      </c>
      <c r="J6488" s="206" t="s">
        <v>121</v>
      </c>
      <c r="K6488" s="206" t="s">
        <v>121</v>
      </c>
      <c r="L6488" s="206" t="str">
        <v/>
      </c>
      <c r="M6488" s="206" t="str">
        <v/>
      </c>
    </row>
    <row r="6489" spans="1:13" ht="14.4">
      <c r="A6489" s="201"/>
      <c r="B6489" s="209"/>
      <c r="C6489" s="201"/>
      <c r="D6489" s="201"/>
      <c r="E6489" s="202"/>
      <c r="F6489" s="210"/>
      <c r="G6489" s="210"/>
      <c r="H6489" s="206" t="s">
        <v>121</v>
      </c>
      <c r="I6489" s="206" t="s">
        <v>121</v>
      </c>
      <c r="J6489" s="206" t="s">
        <v>121</v>
      </c>
      <c r="K6489" s="206" t="s">
        <v>121</v>
      </c>
      <c r="L6489" s="206" t="str">
        <v/>
      </c>
      <c r="M6489" s="206" t="str">
        <v/>
      </c>
    </row>
    <row r="6490" spans="1:13" ht="14.4">
      <c r="A6490" s="201"/>
      <c r="B6490" s="209"/>
      <c r="C6490" s="201"/>
      <c r="D6490" s="201"/>
      <c r="E6490" s="202"/>
      <c r="F6490" s="210"/>
      <c r="G6490" s="210"/>
      <c r="H6490" s="206" t="s">
        <v>121</v>
      </c>
      <c r="I6490" s="206" t="s">
        <v>121</v>
      </c>
      <c r="J6490" s="206" t="s">
        <v>121</v>
      </c>
      <c r="K6490" s="206" t="s">
        <v>121</v>
      </c>
      <c r="L6490" s="206" t="str">
        <v/>
      </c>
      <c r="M6490" s="206" t="str">
        <v/>
      </c>
    </row>
    <row r="6491" spans="1:13" ht="14.4">
      <c r="A6491" s="201"/>
      <c r="B6491" s="209"/>
      <c r="C6491" s="201"/>
      <c r="D6491" s="201"/>
      <c r="E6491" s="202"/>
      <c r="F6491" s="210"/>
      <c r="G6491" s="210"/>
      <c r="H6491" s="206" t="s">
        <v>121</v>
      </c>
      <c r="I6491" s="206" t="s">
        <v>121</v>
      </c>
      <c r="J6491" s="206" t="s">
        <v>121</v>
      </c>
      <c r="K6491" s="206" t="s">
        <v>121</v>
      </c>
      <c r="L6491" s="206" t="str">
        <v/>
      </c>
      <c r="M6491" s="206" t="str">
        <v/>
      </c>
    </row>
    <row r="6492" spans="1:13" ht="14.4">
      <c r="A6492" s="201"/>
      <c r="B6492" s="209"/>
      <c r="C6492" s="201"/>
      <c r="D6492" s="201"/>
      <c r="E6492" s="202"/>
      <c r="F6492" s="210"/>
      <c r="G6492" s="210"/>
      <c r="H6492" s="206" t="s">
        <v>121</v>
      </c>
      <c r="I6492" s="206" t="s">
        <v>121</v>
      </c>
      <c r="J6492" s="206" t="s">
        <v>121</v>
      </c>
      <c r="K6492" s="206" t="s">
        <v>121</v>
      </c>
      <c r="L6492" s="206" t="str">
        <v/>
      </c>
      <c r="M6492" s="206" t="str">
        <v/>
      </c>
    </row>
    <row r="6493" spans="1:13" ht="14.4">
      <c r="A6493" s="201"/>
      <c r="B6493" s="209"/>
      <c r="C6493" s="201"/>
      <c r="D6493" s="201"/>
      <c r="E6493" s="202"/>
      <c r="F6493" s="210"/>
      <c r="G6493" s="210"/>
      <c r="H6493" s="206" t="s">
        <v>121</v>
      </c>
      <c r="I6493" s="206" t="s">
        <v>121</v>
      </c>
      <c r="J6493" s="206" t="s">
        <v>121</v>
      </c>
      <c r="K6493" s="206" t="s">
        <v>121</v>
      </c>
      <c r="L6493" s="206" t="str">
        <v/>
      </c>
      <c r="M6493" s="206" t="str">
        <v/>
      </c>
    </row>
    <row r="6494" spans="1:13" ht="14.4">
      <c r="A6494" s="201"/>
      <c r="B6494" s="209"/>
      <c r="C6494" s="201"/>
      <c r="D6494" s="201"/>
      <c r="E6494" s="202"/>
      <c r="F6494" s="210"/>
      <c r="G6494" s="210"/>
      <c r="H6494" s="206" t="s">
        <v>121</v>
      </c>
      <c r="I6494" s="206" t="s">
        <v>121</v>
      </c>
      <c r="J6494" s="206" t="s">
        <v>121</v>
      </c>
      <c r="K6494" s="206" t="s">
        <v>121</v>
      </c>
      <c r="L6494" s="206" t="str">
        <v/>
      </c>
      <c r="M6494" s="206" t="str">
        <v/>
      </c>
    </row>
    <row r="6495" spans="1:13" ht="14.4">
      <c r="A6495" s="201"/>
      <c r="B6495" s="209"/>
      <c r="C6495" s="201"/>
      <c r="D6495" s="201"/>
      <c r="E6495" s="202"/>
      <c r="F6495" s="210"/>
      <c r="G6495" s="210"/>
      <c r="H6495" s="206" t="s">
        <v>121</v>
      </c>
      <c r="I6495" s="206" t="s">
        <v>121</v>
      </c>
      <c r="J6495" s="206" t="s">
        <v>121</v>
      </c>
      <c r="K6495" s="206" t="s">
        <v>121</v>
      </c>
      <c r="L6495" s="206" t="str">
        <v/>
      </c>
      <c r="M6495" s="206" t="str">
        <v/>
      </c>
    </row>
    <row r="6496" spans="1:13" ht="14.4">
      <c r="A6496" s="201"/>
      <c r="B6496" s="209"/>
      <c r="C6496" s="201"/>
      <c r="D6496" s="201"/>
      <c r="E6496" s="202"/>
      <c r="F6496" s="210"/>
      <c r="G6496" s="210"/>
      <c r="H6496" s="206" t="s">
        <v>121</v>
      </c>
      <c r="I6496" s="206" t="s">
        <v>121</v>
      </c>
      <c r="J6496" s="206" t="s">
        <v>121</v>
      </c>
      <c r="K6496" s="206" t="s">
        <v>121</v>
      </c>
      <c r="L6496" s="206" t="str">
        <v/>
      </c>
      <c r="M6496" s="206" t="str">
        <v/>
      </c>
    </row>
    <row r="6497" spans="1:13" ht="14.4">
      <c r="A6497" s="201"/>
      <c r="B6497" s="209"/>
      <c r="C6497" s="201"/>
      <c r="D6497" s="201"/>
      <c r="E6497" s="202"/>
      <c r="F6497" s="210"/>
      <c r="G6497" s="210"/>
      <c r="H6497" s="206" t="s">
        <v>121</v>
      </c>
      <c r="I6497" s="206" t="s">
        <v>121</v>
      </c>
      <c r="J6497" s="206" t="s">
        <v>121</v>
      </c>
      <c r="K6497" s="206" t="s">
        <v>121</v>
      </c>
      <c r="L6497" s="206" t="str">
        <v/>
      </c>
      <c r="M6497" s="206" t="str">
        <v/>
      </c>
    </row>
    <row r="6498" spans="1:13" ht="14.4">
      <c r="A6498" s="201"/>
      <c r="B6498" s="209"/>
      <c r="C6498" s="201"/>
      <c r="D6498" s="201"/>
      <c r="E6498" s="202"/>
      <c r="F6498" s="210"/>
      <c r="G6498" s="210"/>
      <c r="H6498" s="206" t="s">
        <v>121</v>
      </c>
      <c r="I6498" s="206" t="s">
        <v>121</v>
      </c>
      <c r="J6498" s="206" t="s">
        <v>121</v>
      </c>
      <c r="K6498" s="206" t="s">
        <v>121</v>
      </c>
      <c r="L6498" s="206" t="str">
        <v/>
      </c>
      <c r="M6498" s="206" t="str">
        <v/>
      </c>
    </row>
    <row r="6499" spans="1:13" ht="14.4">
      <c r="A6499" s="201"/>
      <c r="B6499" s="209"/>
      <c r="C6499" s="201"/>
      <c r="D6499" s="201"/>
      <c r="E6499" s="202"/>
      <c r="F6499" s="210"/>
      <c r="G6499" s="210"/>
      <c r="H6499" s="206" t="s">
        <v>121</v>
      </c>
      <c r="I6499" s="206" t="s">
        <v>121</v>
      </c>
      <c r="J6499" s="206" t="s">
        <v>121</v>
      </c>
      <c r="K6499" s="206" t="s">
        <v>121</v>
      </c>
      <c r="L6499" s="206" t="str">
        <v/>
      </c>
      <c r="M6499" s="206" t="str">
        <v/>
      </c>
    </row>
    <row r="6500" spans="1:13" ht="14.4">
      <c r="A6500" s="201"/>
      <c r="B6500" s="209"/>
      <c r="C6500" s="201"/>
      <c r="D6500" s="201"/>
      <c r="E6500" s="202"/>
      <c r="F6500" s="210"/>
      <c r="G6500" s="210"/>
      <c r="H6500" s="206" t="s">
        <v>121</v>
      </c>
      <c r="I6500" s="206" t="s">
        <v>121</v>
      </c>
      <c r="J6500" s="206" t="s">
        <v>121</v>
      </c>
      <c r="K6500" s="206" t="s">
        <v>121</v>
      </c>
      <c r="L6500" s="206" t="str">
        <v/>
      </c>
      <c r="M6500" s="206" t="str">
        <v/>
      </c>
    </row>
    <row r="6501" spans="1:13" ht="14.4">
      <c r="A6501" s="201"/>
      <c r="B6501" s="209"/>
      <c r="C6501" s="201"/>
      <c r="D6501" s="201"/>
      <c r="E6501" s="202"/>
      <c r="F6501" s="210"/>
      <c r="G6501" s="210"/>
      <c r="H6501" s="206" t="s">
        <v>121</v>
      </c>
      <c r="I6501" s="206" t="s">
        <v>121</v>
      </c>
      <c r="J6501" s="206" t="s">
        <v>121</v>
      </c>
      <c r="K6501" s="206" t="s">
        <v>121</v>
      </c>
      <c r="L6501" s="206" t="str">
        <v/>
      </c>
      <c r="M6501" s="206" t="str">
        <v/>
      </c>
    </row>
    <row r="6502" spans="1:13" ht="14.4">
      <c r="A6502" s="201"/>
      <c r="B6502" s="209"/>
      <c r="C6502" s="201"/>
      <c r="D6502" s="201"/>
      <c r="E6502" s="202"/>
      <c r="F6502" s="210"/>
      <c r="G6502" s="210"/>
      <c r="H6502" s="206" t="s">
        <v>121</v>
      </c>
      <c r="I6502" s="206" t="s">
        <v>121</v>
      </c>
      <c r="J6502" s="206" t="s">
        <v>121</v>
      </c>
      <c r="K6502" s="206" t="s">
        <v>121</v>
      </c>
      <c r="L6502" s="206" t="str">
        <v/>
      </c>
      <c r="M6502" s="206" t="str">
        <v/>
      </c>
    </row>
    <row r="6503" spans="1:13" ht="14.4">
      <c r="A6503" s="201"/>
      <c r="B6503" s="209"/>
      <c r="C6503" s="201"/>
      <c r="D6503" s="201"/>
      <c r="E6503" s="202"/>
      <c r="F6503" s="210"/>
      <c r="G6503" s="210"/>
      <c r="H6503" s="206" t="s">
        <v>121</v>
      </c>
      <c r="I6503" s="206" t="s">
        <v>121</v>
      </c>
      <c r="J6503" s="206" t="s">
        <v>121</v>
      </c>
      <c r="K6503" s="206" t="s">
        <v>121</v>
      </c>
      <c r="L6503" s="206" t="str">
        <v/>
      </c>
      <c r="M6503" s="206" t="str">
        <v/>
      </c>
    </row>
    <row r="6504" spans="1:13" ht="14.4">
      <c r="A6504" s="201"/>
      <c r="B6504" s="209"/>
      <c r="C6504" s="201"/>
      <c r="D6504" s="201"/>
      <c r="E6504" s="202"/>
      <c r="F6504" s="210"/>
      <c r="G6504" s="210"/>
      <c r="H6504" s="206" t="s">
        <v>121</v>
      </c>
      <c r="I6504" s="206" t="s">
        <v>121</v>
      </c>
      <c r="J6504" s="206" t="s">
        <v>121</v>
      </c>
      <c r="K6504" s="206" t="s">
        <v>121</v>
      </c>
      <c r="L6504" s="206" t="str">
        <v/>
      </c>
      <c r="M6504" s="206" t="str">
        <v/>
      </c>
    </row>
    <row r="6505" spans="1:13" ht="14.4">
      <c r="A6505" s="201"/>
      <c r="B6505" s="209"/>
      <c r="C6505" s="201"/>
      <c r="D6505" s="201"/>
      <c r="E6505" s="202"/>
      <c r="F6505" s="210"/>
      <c r="G6505" s="210"/>
      <c r="H6505" s="206" t="s">
        <v>121</v>
      </c>
      <c r="I6505" s="206" t="s">
        <v>121</v>
      </c>
      <c r="J6505" s="206" t="s">
        <v>121</v>
      </c>
      <c r="K6505" s="206" t="s">
        <v>121</v>
      </c>
      <c r="L6505" s="206" t="str">
        <v/>
      </c>
      <c r="M6505" s="206" t="str">
        <v/>
      </c>
    </row>
    <row r="6506" spans="1:13" ht="14.4">
      <c r="A6506" s="201"/>
      <c r="B6506" s="209"/>
      <c r="C6506" s="201"/>
      <c r="D6506" s="201"/>
      <c r="E6506" s="202"/>
      <c r="F6506" s="210"/>
      <c r="G6506" s="210"/>
      <c r="H6506" s="206" t="s">
        <v>121</v>
      </c>
      <c r="I6506" s="206" t="s">
        <v>121</v>
      </c>
      <c r="J6506" s="206" t="s">
        <v>121</v>
      </c>
      <c r="K6506" s="206" t="s">
        <v>121</v>
      </c>
      <c r="L6506" s="206" t="str">
        <v/>
      </c>
      <c r="M6506" s="206" t="str">
        <v/>
      </c>
    </row>
    <row r="6507" spans="1:13" ht="14.4">
      <c r="A6507" s="201"/>
      <c r="B6507" s="209"/>
      <c r="C6507" s="201"/>
      <c r="D6507" s="201"/>
      <c r="E6507" s="202"/>
      <c r="F6507" s="210"/>
      <c r="G6507" s="210"/>
      <c r="H6507" s="206" t="s">
        <v>121</v>
      </c>
      <c r="I6507" s="206" t="s">
        <v>121</v>
      </c>
      <c r="J6507" s="206" t="s">
        <v>121</v>
      </c>
      <c r="K6507" s="206" t="s">
        <v>121</v>
      </c>
      <c r="L6507" s="206" t="str">
        <v/>
      </c>
      <c r="M6507" s="206" t="str">
        <v/>
      </c>
    </row>
    <row r="6508" spans="1:13" ht="14.4">
      <c r="A6508" s="201"/>
      <c r="B6508" s="209"/>
      <c r="C6508" s="201"/>
      <c r="D6508" s="201"/>
      <c r="E6508" s="202"/>
      <c r="F6508" s="210"/>
      <c r="G6508" s="210"/>
      <c r="H6508" s="206" t="s">
        <v>121</v>
      </c>
      <c r="I6508" s="206" t="s">
        <v>121</v>
      </c>
      <c r="J6508" s="206" t="s">
        <v>121</v>
      </c>
      <c r="K6508" s="206" t="s">
        <v>121</v>
      </c>
      <c r="L6508" s="206" t="str">
        <v/>
      </c>
      <c r="M6508" s="206" t="str">
        <v/>
      </c>
    </row>
    <row r="6509" spans="1:13" ht="14.4">
      <c r="A6509" s="201"/>
      <c r="B6509" s="209"/>
      <c r="C6509" s="201"/>
      <c r="D6509" s="201"/>
      <c r="E6509" s="202"/>
      <c r="F6509" s="210"/>
      <c r="G6509" s="210"/>
      <c r="H6509" s="206" t="s">
        <v>121</v>
      </c>
      <c r="I6509" s="206" t="s">
        <v>121</v>
      </c>
      <c r="J6509" s="206" t="s">
        <v>121</v>
      </c>
      <c r="K6509" s="206" t="s">
        <v>121</v>
      </c>
      <c r="L6509" s="206" t="str">
        <v/>
      </c>
      <c r="M6509" s="206" t="str">
        <v/>
      </c>
    </row>
    <row r="6510" spans="1:13" ht="14.4">
      <c r="A6510" s="201"/>
      <c r="B6510" s="209"/>
      <c r="C6510" s="201"/>
      <c r="D6510" s="201"/>
      <c r="E6510" s="202"/>
      <c r="F6510" s="210"/>
      <c r="G6510" s="210"/>
      <c r="H6510" s="206" t="s">
        <v>121</v>
      </c>
      <c r="I6510" s="206" t="s">
        <v>121</v>
      </c>
      <c r="J6510" s="206" t="s">
        <v>121</v>
      </c>
      <c r="K6510" s="206" t="s">
        <v>121</v>
      </c>
      <c r="L6510" s="206" t="str">
        <v/>
      </c>
      <c r="M6510" s="206" t="str">
        <v/>
      </c>
    </row>
    <row r="6511" spans="1:13" ht="14.4">
      <c r="A6511" s="201"/>
      <c r="B6511" s="209"/>
      <c r="C6511" s="201"/>
      <c r="D6511" s="201"/>
      <c r="E6511" s="202"/>
      <c r="F6511" s="210"/>
      <c r="G6511" s="210"/>
      <c r="H6511" s="206" t="s">
        <v>121</v>
      </c>
      <c r="I6511" s="206" t="s">
        <v>121</v>
      </c>
      <c r="J6511" s="206" t="s">
        <v>121</v>
      </c>
      <c r="K6511" s="206" t="s">
        <v>121</v>
      </c>
      <c r="L6511" s="206" t="str">
        <v/>
      </c>
      <c r="M6511" s="206" t="str">
        <v/>
      </c>
    </row>
    <row r="6512" spans="1:13" ht="14.4">
      <c r="A6512" s="201"/>
      <c r="B6512" s="209"/>
      <c r="C6512" s="201"/>
      <c r="D6512" s="201"/>
      <c r="E6512" s="202"/>
      <c r="F6512" s="210"/>
      <c r="G6512" s="210"/>
      <c r="H6512" s="206" t="s">
        <v>121</v>
      </c>
      <c r="I6512" s="206" t="s">
        <v>121</v>
      </c>
      <c r="J6512" s="206" t="s">
        <v>121</v>
      </c>
      <c r="K6512" s="206" t="s">
        <v>121</v>
      </c>
      <c r="L6512" s="206" t="str">
        <v/>
      </c>
      <c r="M6512" s="206" t="str">
        <v/>
      </c>
    </row>
    <row r="6513" spans="1:13" ht="14.4">
      <c r="A6513" s="201"/>
      <c r="B6513" s="209"/>
      <c r="C6513" s="201"/>
      <c r="D6513" s="201"/>
      <c r="E6513" s="202"/>
      <c r="F6513" s="210"/>
      <c r="G6513" s="210"/>
      <c r="H6513" s="206" t="s">
        <v>121</v>
      </c>
      <c r="I6513" s="206" t="s">
        <v>121</v>
      </c>
      <c r="J6513" s="206" t="s">
        <v>121</v>
      </c>
      <c r="K6513" s="206" t="s">
        <v>121</v>
      </c>
      <c r="L6513" s="206" t="str">
        <v/>
      </c>
      <c r="M6513" s="206" t="str">
        <v/>
      </c>
    </row>
    <row r="6514" spans="1:13" ht="14.4">
      <c r="A6514" s="201"/>
      <c r="B6514" s="209"/>
      <c r="C6514" s="201"/>
      <c r="D6514" s="201"/>
      <c r="E6514" s="202"/>
      <c r="F6514" s="210"/>
      <c r="G6514" s="210"/>
      <c r="H6514" s="206" t="s">
        <v>121</v>
      </c>
      <c r="I6514" s="206" t="s">
        <v>121</v>
      </c>
      <c r="J6514" s="206" t="s">
        <v>121</v>
      </c>
      <c r="K6514" s="206" t="s">
        <v>121</v>
      </c>
      <c r="L6514" s="206" t="str">
        <v/>
      </c>
      <c r="M6514" s="206" t="str">
        <v/>
      </c>
    </row>
    <row r="6515" spans="1:13" ht="14.4">
      <c r="A6515" s="201"/>
      <c r="B6515" s="209"/>
      <c r="C6515" s="201"/>
      <c r="D6515" s="201"/>
      <c r="E6515" s="202"/>
      <c r="F6515" s="210"/>
      <c r="G6515" s="210"/>
      <c r="H6515" s="206" t="s">
        <v>121</v>
      </c>
      <c r="I6515" s="206" t="s">
        <v>121</v>
      </c>
      <c r="J6515" s="206" t="s">
        <v>121</v>
      </c>
      <c r="K6515" s="206" t="s">
        <v>121</v>
      </c>
      <c r="L6515" s="206" t="str">
        <v/>
      </c>
      <c r="M6515" s="206" t="str">
        <v/>
      </c>
    </row>
    <row r="6516" spans="1:13" ht="14.4">
      <c r="A6516" s="201"/>
      <c r="B6516" s="209"/>
      <c r="C6516" s="201"/>
      <c r="D6516" s="201"/>
      <c r="E6516" s="202"/>
      <c r="F6516" s="210"/>
      <c r="G6516" s="210"/>
      <c r="H6516" s="206" t="s">
        <v>121</v>
      </c>
      <c r="I6516" s="206" t="s">
        <v>121</v>
      </c>
      <c r="J6516" s="206" t="s">
        <v>121</v>
      </c>
      <c r="K6516" s="206" t="s">
        <v>121</v>
      </c>
      <c r="L6516" s="206" t="str">
        <v/>
      </c>
      <c r="M6516" s="206" t="str">
        <v/>
      </c>
    </row>
    <row r="6517" spans="1:13" ht="14.4">
      <c r="A6517" s="201"/>
      <c r="B6517" s="209"/>
      <c r="C6517" s="201"/>
      <c r="D6517" s="201"/>
      <c r="E6517" s="202"/>
      <c r="F6517" s="210"/>
      <c r="G6517" s="210"/>
      <c r="H6517" s="206" t="s">
        <v>121</v>
      </c>
      <c r="I6517" s="206" t="s">
        <v>121</v>
      </c>
      <c r="J6517" s="206" t="s">
        <v>121</v>
      </c>
      <c r="K6517" s="206" t="s">
        <v>121</v>
      </c>
      <c r="L6517" s="206" t="str">
        <v/>
      </c>
      <c r="M6517" s="206" t="str">
        <v/>
      </c>
    </row>
    <row r="6518" spans="1:13" ht="14.4">
      <c r="A6518" s="201"/>
      <c r="B6518" s="209"/>
      <c r="C6518" s="201"/>
      <c r="D6518" s="201"/>
      <c r="E6518" s="202"/>
      <c r="F6518" s="210"/>
      <c r="G6518" s="210"/>
      <c r="H6518" s="206" t="s">
        <v>121</v>
      </c>
      <c r="I6518" s="206" t="s">
        <v>121</v>
      </c>
      <c r="J6518" s="206" t="s">
        <v>121</v>
      </c>
      <c r="K6518" s="206" t="s">
        <v>121</v>
      </c>
      <c r="L6518" s="206" t="str">
        <v/>
      </c>
      <c r="M6518" s="206" t="str">
        <v/>
      </c>
    </row>
    <row r="6519" spans="1:13" ht="14.4">
      <c r="A6519" s="201"/>
      <c r="B6519" s="209"/>
      <c r="C6519" s="201"/>
      <c r="D6519" s="201"/>
      <c r="E6519" s="202"/>
      <c r="F6519" s="210"/>
      <c r="G6519" s="210"/>
      <c r="H6519" s="206" t="s">
        <v>121</v>
      </c>
      <c r="I6519" s="206" t="s">
        <v>121</v>
      </c>
      <c r="J6519" s="206" t="s">
        <v>121</v>
      </c>
      <c r="K6519" s="206" t="s">
        <v>121</v>
      </c>
      <c r="L6519" s="206" t="str">
        <v/>
      </c>
      <c r="M6519" s="206" t="str">
        <v/>
      </c>
    </row>
    <row r="6520" spans="1:13" ht="14.4">
      <c r="A6520" s="201"/>
      <c r="B6520" s="209"/>
      <c r="C6520" s="201"/>
      <c r="D6520" s="201"/>
      <c r="E6520" s="202"/>
      <c r="F6520" s="210"/>
      <c r="G6520" s="210"/>
      <c r="H6520" s="206" t="s">
        <v>121</v>
      </c>
      <c r="I6520" s="206" t="s">
        <v>121</v>
      </c>
      <c r="J6520" s="206" t="s">
        <v>121</v>
      </c>
      <c r="K6520" s="206" t="s">
        <v>121</v>
      </c>
      <c r="L6520" s="206" t="str">
        <v/>
      </c>
      <c r="M6520" s="206" t="str">
        <v/>
      </c>
    </row>
    <row r="6521" spans="1:13" ht="14.4">
      <c r="A6521" s="201"/>
      <c r="B6521" s="209"/>
      <c r="C6521" s="201"/>
      <c r="D6521" s="201"/>
      <c r="E6521" s="202"/>
      <c r="F6521" s="210"/>
      <c r="G6521" s="210"/>
      <c r="H6521" s="206" t="s">
        <v>121</v>
      </c>
      <c r="I6521" s="206" t="s">
        <v>121</v>
      </c>
      <c r="J6521" s="206" t="s">
        <v>121</v>
      </c>
      <c r="K6521" s="206" t="s">
        <v>121</v>
      </c>
      <c r="L6521" s="206" t="str">
        <v/>
      </c>
      <c r="M6521" s="206" t="str">
        <v/>
      </c>
    </row>
    <row r="6522" spans="1:13" ht="14.4">
      <c r="A6522" s="201"/>
      <c r="B6522" s="209"/>
      <c r="C6522" s="201"/>
      <c r="D6522" s="201"/>
      <c r="E6522" s="202"/>
      <c r="F6522" s="210"/>
      <c r="G6522" s="210"/>
      <c r="H6522" s="206" t="s">
        <v>121</v>
      </c>
      <c r="I6522" s="206" t="s">
        <v>121</v>
      </c>
      <c r="J6522" s="206" t="s">
        <v>121</v>
      </c>
      <c r="K6522" s="206" t="s">
        <v>121</v>
      </c>
      <c r="L6522" s="206" t="str">
        <v/>
      </c>
      <c r="M6522" s="206" t="str">
        <v/>
      </c>
    </row>
    <row r="6523" spans="1:13" ht="14.4">
      <c r="A6523" s="201"/>
      <c r="B6523" s="209"/>
      <c r="C6523" s="201"/>
      <c r="D6523" s="201"/>
      <c r="E6523" s="202"/>
      <c r="F6523" s="210"/>
      <c r="G6523" s="210"/>
      <c r="H6523" s="206" t="s">
        <v>121</v>
      </c>
      <c r="I6523" s="206" t="s">
        <v>121</v>
      </c>
      <c r="J6523" s="206" t="s">
        <v>121</v>
      </c>
      <c r="K6523" s="206" t="s">
        <v>121</v>
      </c>
      <c r="L6523" s="206" t="str">
        <v/>
      </c>
      <c r="M6523" s="206" t="str">
        <v/>
      </c>
    </row>
    <row r="6524" spans="1:13" ht="14.4">
      <c r="A6524" s="201"/>
      <c r="B6524" s="209"/>
      <c r="C6524" s="201"/>
      <c r="D6524" s="201"/>
      <c r="E6524" s="202"/>
      <c r="F6524" s="210"/>
      <c r="G6524" s="210"/>
      <c r="H6524" s="206" t="s">
        <v>121</v>
      </c>
      <c r="I6524" s="206" t="s">
        <v>121</v>
      </c>
      <c r="J6524" s="206" t="s">
        <v>121</v>
      </c>
      <c r="K6524" s="206" t="s">
        <v>121</v>
      </c>
      <c r="L6524" s="206" t="str">
        <v/>
      </c>
      <c r="M6524" s="206" t="str">
        <v/>
      </c>
    </row>
    <row r="6525" spans="1:13" ht="14.4">
      <c r="A6525" s="201"/>
      <c r="B6525" s="209"/>
      <c r="C6525" s="201"/>
      <c r="D6525" s="201"/>
      <c r="E6525" s="202"/>
      <c r="F6525" s="210"/>
      <c r="G6525" s="210"/>
      <c r="H6525" s="206" t="s">
        <v>121</v>
      </c>
      <c r="I6525" s="206" t="s">
        <v>121</v>
      </c>
      <c r="J6525" s="206" t="s">
        <v>121</v>
      </c>
      <c r="K6525" s="206" t="s">
        <v>121</v>
      </c>
      <c r="L6525" s="206" t="str">
        <v/>
      </c>
      <c r="M6525" s="206" t="str">
        <v/>
      </c>
    </row>
    <row r="6526" spans="1:13" ht="14.4">
      <c r="A6526" s="201"/>
      <c r="B6526" s="209"/>
      <c r="C6526" s="201"/>
      <c r="D6526" s="201"/>
      <c r="E6526" s="202"/>
      <c r="F6526" s="210"/>
      <c r="G6526" s="210"/>
      <c r="H6526" s="206" t="s">
        <v>121</v>
      </c>
      <c r="I6526" s="206" t="s">
        <v>121</v>
      </c>
      <c r="J6526" s="206" t="s">
        <v>121</v>
      </c>
      <c r="K6526" s="206" t="s">
        <v>121</v>
      </c>
      <c r="L6526" s="206" t="str">
        <v/>
      </c>
      <c r="M6526" s="206" t="str">
        <v/>
      </c>
    </row>
    <row r="6527" spans="1:13" ht="14.4">
      <c r="A6527" s="201"/>
      <c r="B6527" s="209"/>
      <c r="C6527" s="201"/>
      <c r="D6527" s="201"/>
      <c r="E6527" s="202"/>
      <c r="F6527" s="210"/>
      <c r="G6527" s="210"/>
      <c r="H6527" s="206" t="s">
        <v>121</v>
      </c>
      <c r="I6527" s="206" t="s">
        <v>121</v>
      </c>
      <c r="J6527" s="206" t="s">
        <v>121</v>
      </c>
      <c r="K6527" s="206" t="s">
        <v>121</v>
      </c>
      <c r="L6527" s="206" t="str">
        <v/>
      </c>
      <c r="M6527" s="206" t="str">
        <v/>
      </c>
    </row>
    <row r="6528" spans="1:13" ht="14.4">
      <c r="A6528" s="201"/>
      <c r="B6528" s="209"/>
      <c r="C6528" s="201"/>
      <c r="D6528" s="201"/>
      <c r="E6528" s="202"/>
      <c r="F6528" s="210"/>
      <c r="G6528" s="210"/>
      <c r="H6528" s="206" t="s">
        <v>121</v>
      </c>
      <c r="I6528" s="206" t="s">
        <v>121</v>
      </c>
      <c r="J6528" s="206" t="s">
        <v>121</v>
      </c>
      <c r="K6528" s="206" t="s">
        <v>121</v>
      </c>
      <c r="L6528" s="206" t="str">
        <v/>
      </c>
      <c r="M6528" s="206" t="str">
        <v/>
      </c>
    </row>
    <row r="6529" spans="1:13" ht="14.4">
      <c r="A6529" s="201"/>
      <c r="B6529" s="209"/>
      <c r="C6529" s="201"/>
      <c r="D6529" s="201"/>
      <c r="E6529" s="202"/>
      <c r="F6529" s="210"/>
      <c r="G6529" s="210"/>
      <c r="H6529" s="206" t="s">
        <v>121</v>
      </c>
      <c r="I6529" s="206" t="s">
        <v>121</v>
      </c>
      <c r="J6529" s="206" t="s">
        <v>121</v>
      </c>
      <c r="K6529" s="206" t="s">
        <v>121</v>
      </c>
      <c r="L6529" s="206" t="str">
        <v/>
      </c>
      <c r="M6529" s="206" t="str">
        <v/>
      </c>
    </row>
    <row r="6530" spans="1:13" ht="14.4">
      <c r="A6530" s="201"/>
      <c r="B6530" s="209"/>
      <c r="C6530" s="201"/>
      <c r="D6530" s="201"/>
      <c r="E6530" s="202"/>
      <c r="F6530" s="210"/>
      <c r="G6530" s="210"/>
      <c r="H6530" s="206" t="s">
        <v>121</v>
      </c>
      <c r="I6530" s="206" t="s">
        <v>121</v>
      </c>
      <c r="J6530" s="206" t="s">
        <v>121</v>
      </c>
      <c r="K6530" s="206" t="s">
        <v>121</v>
      </c>
      <c r="L6530" s="206" t="str">
        <v/>
      </c>
      <c r="M6530" s="206" t="str">
        <v/>
      </c>
    </row>
    <row r="6531" spans="1:13" ht="14.4">
      <c r="A6531" s="201"/>
      <c r="B6531" s="209"/>
      <c r="C6531" s="201"/>
      <c r="D6531" s="201"/>
      <c r="E6531" s="202"/>
      <c r="F6531" s="210"/>
      <c r="G6531" s="210"/>
      <c r="H6531" s="206" t="s">
        <v>121</v>
      </c>
      <c r="I6531" s="206" t="s">
        <v>121</v>
      </c>
      <c r="J6531" s="206" t="s">
        <v>121</v>
      </c>
      <c r="K6531" s="206" t="s">
        <v>121</v>
      </c>
      <c r="L6531" s="206" t="str">
        <v/>
      </c>
      <c r="M6531" s="206" t="str">
        <v/>
      </c>
    </row>
    <row r="6532" spans="1:13" ht="14.4">
      <c r="A6532" s="201"/>
      <c r="B6532" s="209"/>
      <c r="C6532" s="201"/>
      <c r="D6532" s="201"/>
      <c r="E6532" s="202"/>
      <c r="F6532" s="210"/>
      <c r="G6532" s="210"/>
      <c r="H6532" s="206" t="s">
        <v>121</v>
      </c>
      <c r="I6532" s="206" t="s">
        <v>121</v>
      </c>
      <c r="J6532" s="206" t="s">
        <v>121</v>
      </c>
      <c r="K6532" s="206" t="s">
        <v>121</v>
      </c>
      <c r="L6532" s="206" t="str">
        <v/>
      </c>
      <c r="M6532" s="206" t="str">
        <v/>
      </c>
    </row>
    <row r="6533" spans="1:13" ht="14.4">
      <c r="A6533" s="201"/>
      <c r="B6533" s="209"/>
      <c r="C6533" s="201"/>
      <c r="D6533" s="201"/>
      <c r="E6533" s="202"/>
      <c r="F6533" s="210"/>
      <c r="G6533" s="210"/>
      <c r="H6533" s="206" t="s">
        <v>121</v>
      </c>
      <c r="I6533" s="206" t="s">
        <v>121</v>
      </c>
      <c r="J6533" s="206" t="s">
        <v>121</v>
      </c>
      <c r="K6533" s="206" t="s">
        <v>121</v>
      </c>
      <c r="L6533" s="206" t="str">
        <v/>
      </c>
      <c r="M6533" s="206" t="str">
        <v/>
      </c>
    </row>
    <row r="6534" spans="1:13" ht="14.4">
      <c r="A6534" s="201"/>
      <c r="B6534" s="209"/>
      <c r="C6534" s="201"/>
      <c r="D6534" s="201"/>
      <c r="E6534" s="202"/>
      <c r="F6534" s="210"/>
      <c r="G6534" s="210"/>
      <c r="H6534" s="206" t="s">
        <v>121</v>
      </c>
      <c r="I6534" s="206" t="s">
        <v>121</v>
      </c>
      <c r="J6534" s="206" t="s">
        <v>121</v>
      </c>
      <c r="K6534" s="206" t="s">
        <v>121</v>
      </c>
      <c r="L6534" s="206" t="str">
        <v/>
      </c>
      <c r="M6534" s="206" t="str">
        <v/>
      </c>
    </row>
    <row r="6535" spans="1:13" ht="14.4">
      <c r="A6535" s="201"/>
      <c r="B6535" s="209"/>
      <c r="C6535" s="201"/>
      <c r="D6535" s="201"/>
      <c r="E6535" s="202"/>
      <c r="F6535" s="210"/>
      <c r="G6535" s="210"/>
      <c r="H6535" s="206" t="s">
        <v>121</v>
      </c>
      <c r="I6535" s="206" t="s">
        <v>121</v>
      </c>
      <c r="J6535" s="206" t="s">
        <v>121</v>
      </c>
      <c r="K6535" s="206" t="s">
        <v>121</v>
      </c>
      <c r="L6535" s="206" t="str">
        <v/>
      </c>
      <c r="M6535" s="206" t="str">
        <v/>
      </c>
    </row>
    <row r="6536" spans="1:13" ht="14.4">
      <c r="A6536" s="201"/>
      <c r="B6536" s="209"/>
      <c r="C6536" s="201"/>
      <c r="D6536" s="201"/>
      <c r="E6536" s="202"/>
      <c r="F6536" s="210"/>
      <c r="G6536" s="210"/>
      <c r="H6536" s="206" t="s">
        <v>121</v>
      </c>
      <c r="I6536" s="206" t="s">
        <v>121</v>
      </c>
      <c r="J6536" s="206" t="s">
        <v>121</v>
      </c>
      <c r="K6536" s="206" t="s">
        <v>121</v>
      </c>
      <c r="L6536" s="206" t="str">
        <v/>
      </c>
      <c r="M6536" s="206" t="str">
        <v/>
      </c>
    </row>
    <row r="6537" spans="1:13" ht="14.4">
      <c r="A6537" s="201"/>
      <c r="B6537" s="209"/>
      <c r="C6537" s="201"/>
      <c r="D6537" s="201"/>
      <c r="E6537" s="202"/>
      <c r="F6537" s="210"/>
      <c r="G6537" s="210"/>
      <c r="H6537" s="206" t="s">
        <v>121</v>
      </c>
      <c r="I6537" s="206" t="s">
        <v>121</v>
      </c>
      <c r="J6537" s="206" t="s">
        <v>121</v>
      </c>
      <c r="K6537" s="206" t="s">
        <v>121</v>
      </c>
      <c r="L6537" s="206" t="str">
        <v/>
      </c>
      <c r="M6537" s="206" t="str">
        <v/>
      </c>
    </row>
    <row r="6538" spans="1:13" ht="14.4">
      <c r="A6538" s="201"/>
      <c r="B6538" s="209"/>
      <c r="C6538" s="201"/>
      <c r="D6538" s="201"/>
      <c r="E6538" s="202"/>
      <c r="F6538" s="210"/>
      <c r="G6538" s="210"/>
      <c r="H6538" s="206" t="s">
        <v>121</v>
      </c>
      <c r="I6538" s="206" t="s">
        <v>121</v>
      </c>
      <c r="J6538" s="206" t="s">
        <v>121</v>
      </c>
      <c r="K6538" s="206" t="s">
        <v>121</v>
      </c>
      <c r="L6538" s="206" t="str">
        <v/>
      </c>
      <c r="M6538" s="206" t="str">
        <v/>
      </c>
    </row>
    <row r="6539" spans="1:13" ht="14.4">
      <c r="A6539" s="201"/>
      <c r="B6539" s="209"/>
      <c r="C6539" s="201"/>
      <c r="D6539" s="201"/>
      <c r="E6539" s="202"/>
      <c r="F6539" s="210"/>
      <c r="G6539" s="210"/>
      <c r="H6539" s="206" t="s">
        <v>121</v>
      </c>
      <c r="I6539" s="206" t="s">
        <v>121</v>
      </c>
      <c r="J6539" s="206" t="s">
        <v>121</v>
      </c>
      <c r="K6539" s="206" t="s">
        <v>121</v>
      </c>
      <c r="L6539" s="206" t="str">
        <v/>
      </c>
      <c r="M6539" s="206" t="str">
        <v/>
      </c>
    </row>
    <row r="6540" spans="1:13" ht="14.4">
      <c r="A6540" s="201"/>
      <c r="B6540" s="209"/>
      <c r="C6540" s="201"/>
      <c r="D6540" s="201"/>
      <c r="E6540" s="202"/>
      <c r="F6540" s="210"/>
      <c r="G6540" s="210"/>
      <c r="H6540" s="206" t="s">
        <v>121</v>
      </c>
      <c r="I6540" s="206" t="s">
        <v>121</v>
      </c>
      <c r="J6540" s="206" t="s">
        <v>121</v>
      </c>
      <c r="K6540" s="206" t="s">
        <v>121</v>
      </c>
      <c r="L6540" s="206" t="str">
        <v/>
      </c>
      <c r="M6540" s="206" t="str">
        <v/>
      </c>
    </row>
    <row r="6541" spans="1:13" ht="14.4">
      <c r="A6541" s="201"/>
      <c r="B6541" s="209"/>
      <c r="C6541" s="201"/>
      <c r="D6541" s="201"/>
      <c r="E6541" s="202"/>
      <c r="F6541" s="210"/>
      <c r="G6541" s="210"/>
      <c r="H6541" s="206" t="s">
        <v>121</v>
      </c>
      <c r="I6541" s="206" t="s">
        <v>121</v>
      </c>
      <c r="J6541" s="206" t="s">
        <v>121</v>
      </c>
      <c r="K6541" s="206" t="s">
        <v>121</v>
      </c>
      <c r="L6541" s="206" t="str">
        <v/>
      </c>
      <c r="M6541" s="206" t="str">
        <v/>
      </c>
    </row>
    <row r="6542" spans="1:13" ht="14.4">
      <c r="A6542" s="201"/>
      <c r="B6542" s="209"/>
      <c r="C6542" s="201"/>
      <c r="D6542" s="201"/>
      <c r="E6542" s="202"/>
      <c r="F6542" s="210"/>
      <c r="G6542" s="210"/>
      <c r="H6542" s="206" t="s">
        <v>121</v>
      </c>
      <c r="I6542" s="206" t="s">
        <v>121</v>
      </c>
      <c r="J6542" s="206" t="s">
        <v>121</v>
      </c>
      <c r="K6542" s="206" t="s">
        <v>121</v>
      </c>
      <c r="L6542" s="206" t="str">
        <v/>
      </c>
      <c r="M6542" s="206" t="str">
        <v/>
      </c>
    </row>
    <row r="6543" spans="1:13" ht="14.4">
      <c r="A6543" s="201"/>
      <c r="B6543" s="209"/>
      <c r="C6543" s="201"/>
      <c r="D6543" s="201"/>
      <c r="E6543" s="202"/>
      <c r="F6543" s="210"/>
      <c r="G6543" s="210"/>
      <c r="H6543" s="206" t="s">
        <v>121</v>
      </c>
      <c r="I6543" s="206" t="s">
        <v>121</v>
      </c>
      <c r="J6543" s="206" t="s">
        <v>121</v>
      </c>
      <c r="K6543" s="206" t="s">
        <v>121</v>
      </c>
      <c r="L6543" s="206" t="str">
        <v/>
      </c>
      <c r="M6543" s="206" t="str">
        <v/>
      </c>
    </row>
    <row r="6544" spans="1:13" ht="14.4">
      <c r="A6544" s="201"/>
      <c r="B6544" s="209"/>
      <c r="C6544" s="201"/>
      <c r="D6544" s="201"/>
      <c r="E6544" s="202"/>
      <c r="F6544" s="210"/>
      <c r="G6544" s="210"/>
      <c r="H6544" s="206" t="s">
        <v>121</v>
      </c>
      <c r="I6544" s="206" t="s">
        <v>121</v>
      </c>
      <c r="J6544" s="206" t="s">
        <v>121</v>
      </c>
      <c r="K6544" s="206" t="s">
        <v>121</v>
      </c>
      <c r="L6544" s="206" t="str">
        <v/>
      </c>
      <c r="M6544" s="206" t="str">
        <v/>
      </c>
    </row>
    <row r="6545" spans="1:13" ht="14.4">
      <c r="A6545" s="201"/>
      <c r="B6545" s="209"/>
      <c r="C6545" s="201"/>
      <c r="D6545" s="201"/>
      <c r="E6545" s="202"/>
      <c r="F6545" s="210"/>
      <c r="G6545" s="210"/>
      <c r="H6545" s="206" t="s">
        <v>121</v>
      </c>
      <c r="I6545" s="206" t="s">
        <v>121</v>
      </c>
      <c r="J6545" s="206" t="s">
        <v>121</v>
      </c>
      <c r="K6545" s="206" t="s">
        <v>121</v>
      </c>
      <c r="L6545" s="206" t="str">
        <v/>
      </c>
      <c r="M6545" s="206" t="str">
        <v/>
      </c>
    </row>
    <row r="6546" spans="1:13" ht="14.4">
      <c r="A6546" s="201"/>
      <c r="B6546" s="209"/>
      <c r="C6546" s="201"/>
      <c r="D6546" s="201"/>
      <c r="E6546" s="202"/>
      <c r="F6546" s="210"/>
      <c r="G6546" s="210"/>
      <c r="H6546" s="206" t="s">
        <v>121</v>
      </c>
      <c r="I6546" s="206" t="s">
        <v>121</v>
      </c>
      <c r="J6546" s="206" t="s">
        <v>121</v>
      </c>
      <c r="K6546" s="206" t="s">
        <v>121</v>
      </c>
      <c r="L6546" s="206" t="str">
        <v/>
      </c>
      <c r="M6546" s="206" t="str">
        <v/>
      </c>
    </row>
    <row r="6547" spans="1:13" ht="14.4">
      <c r="A6547" s="201"/>
      <c r="B6547" s="209"/>
      <c r="C6547" s="201"/>
      <c r="D6547" s="201"/>
      <c r="E6547" s="202"/>
      <c r="F6547" s="210"/>
      <c r="G6547" s="210"/>
      <c r="H6547" s="206" t="s">
        <v>121</v>
      </c>
      <c r="I6547" s="206" t="s">
        <v>121</v>
      </c>
      <c r="J6547" s="206" t="s">
        <v>121</v>
      </c>
      <c r="K6547" s="206" t="s">
        <v>121</v>
      </c>
      <c r="L6547" s="206" t="str">
        <v/>
      </c>
      <c r="M6547" s="206" t="str">
        <v/>
      </c>
    </row>
    <row r="6548" spans="1:13" ht="14.4">
      <c r="A6548" s="201"/>
      <c r="B6548" s="209"/>
      <c r="C6548" s="201"/>
      <c r="D6548" s="201"/>
      <c r="E6548" s="202"/>
      <c r="F6548" s="210"/>
      <c r="G6548" s="210"/>
      <c r="H6548" s="206" t="s">
        <v>121</v>
      </c>
      <c r="I6548" s="206" t="s">
        <v>121</v>
      </c>
      <c r="J6548" s="206" t="s">
        <v>121</v>
      </c>
      <c r="K6548" s="206" t="s">
        <v>121</v>
      </c>
      <c r="L6548" s="206" t="str">
        <v/>
      </c>
      <c r="M6548" s="206" t="str">
        <v/>
      </c>
    </row>
    <row r="6549" spans="1:13" ht="14.4">
      <c r="A6549" s="201"/>
      <c r="B6549" s="209"/>
      <c r="C6549" s="201"/>
      <c r="D6549" s="201"/>
      <c r="E6549" s="202"/>
      <c r="F6549" s="210"/>
      <c r="G6549" s="210"/>
      <c r="H6549" s="206" t="s">
        <v>121</v>
      </c>
      <c r="I6549" s="206" t="s">
        <v>121</v>
      </c>
      <c r="J6549" s="206" t="s">
        <v>121</v>
      </c>
      <c r="K6549" s="206" t="s">
        <v>121</v>
      </c>
      <c r="L6549" s="206" t="str">
        <v/>
      </c>
      <c r="M6549" s="206" t="str">
        <v/>
      </c>
    </row>
    <row r="6550" spans="1:13" ht="14.4">
      <c r="A6550" s="201"/>
      <c r="B6550" s="209"/>
      <c r="C6550" s="201"/>
      <c r="D6550" s="201"/>
      <c r="E6550" s="202"/>
      <c r="F6550" s="210"/>
      <c r="G6550" s="210"/>
      <c r="H6550" s="206" t="s">
        <v>121</v>
      </c>
      <c r="I6550" s="206" t="s">
        <v>121</v>
      </c>
      <c r="J6550" s="206" t="s">
        <v>121</v>
      </c>
      <c r="K6550" s="206" t="s">
        <v>121</v>
      </c>
      <c r="L6550" s="206" t="str">
        <v/>
      </c>
      <c r="M6550" s="206" t="str">
        <v/>
      </c>
    </row>
    <row r="6551" spans="1:13" ht="14.4">
      <c r="A6551" s="201"/>
      <c r="B6551" s="209"/>
      <c r="C6551" s="201"/>
      <c r="D6551" s="201"/>
      <c r="E6551" s="202"/>
      <c r="F6551" s="210"/>
      <c r="G6551" s="210"/>
      <c r="H6551" s="206" t="s">
        <v>121</v>
      </c>
      <c r="I6551" s="206" t="s">
        <v>121</v>
      </c>
      <c r="J6551" s="206" t="s">
        <v>121</v>
      </c>
      <c r="K6551" s="206" t="s">
        <v>121</v>
      </c>
      <c r="L6551" s="206" t="str">
        <v/>
      </c>
      <c r="M6551" s="206" t="str">
        <v/>
      </c>
    </row>
    <row r="6552" spans="1:13" ht="14.4">
      <c r="A6552" s="201"/>
      <c r="B6552" s="209"/>
      <c r="C6552" s="201"/>
      <c r="D6552" s="201"/>
      <c r="E6552" s="202"/>
      <c r="F6552" s="210"/>
      <c r="G6552" s="210"/>
      <c r="H6552" s="206" t="s">
        <v>121</v>
      </c>
      <c r="I6552" s="206" t="s">
        <v>121</v>
      </c>
      <c r="J6552" s="206" t="s">
        <v>121</v>
      </c>
      <c r="K6552" s="206" t="s">
        <v>121</v>
      </c>
      <c r="L6552" s="206" t="str">
        <v/>
      </c>
      <c r="M6552" s="206" t="str">
        <v/>
      </c>
    </row>
    <row r="6553" spans="1:13" ht="14.4">
      <c r="A6553" s="201"/>
      <c r="B6553" s="209"/>
      <c r="C6553" s="201"/>
      <c r="D6553" s="201"/>
      <c r="E6553" s="202"/>
      <c r="F6553" s="210"/>
      <c r="G6553" s="210"/>
      <c r="H6553" s="206" t="s">
        <v>121</v>
      </c>
      <c r="I6553" s="206" t="s">
        <v>121</v>
      </c>
      <c r="J6553" s="206" t="s">
        <v>121</v>
      </c>
      <c r="K6553" s="206" t="s">
        <v>121</v>
      </c>
      <c r="L6553" s="206" t="str">
        <v/>
      </c>
      <c r="M6553" s="206" t="str">
        <v/>
      </c>
    </row>
    <row r="6554" spans="1:13" ht="14.4">
      <c r="A6554" s="201"/>
      <c r="B6554" s="209"/>
      <c r="C6554" s="201"/>
      <c r="D6554" s="201"/>
      <c r="E6554" s="202"/>
      <c r="F6554" s="210"/>
      <c r="G6554" s="210"/>
      <c r="H6554" s="206" t="s">
        <v>121</v>
      </c>
      <c r="I6554" s="206" t="s">
        <v>121</v>
      </c>
      <c r="J6554" s="206" t="s">
        <v>121</v>
      </c>
      <c r="K6554" s="206" t="s">
        <v>121</v>
      </c>
      <c r="L6554" s="206" t="str">
        <v/>
      </c>
      <c r="M6554" s="206" t="str">
        <v/>
      </c>
    </row>
    <row r="6555" spans="1:13" ht="14.4">
      <c r="A6555" s="201"/>
      <c r="B6555" s="209"/>
      <c r="C6555" s="201"/>
      <c r="D6555" s="201"/>
      <c r="E6555" s="202"/>
      <c r="F6555" s="210"/>
      <c r="G6555" s="210"/>
      <c r="H6555" s="206" t="s">
        <v>121</v>
      </c>
      <c r="I6555" s="206" t="s">
        <v>121</v>
      </c>
      <c r="J6555" s="206" t="s">
        <v>121</v>
      </c>
      <c r="K6555" s="206" t="s">
        <v>121</v>
      </c>
      <c r="L6555" s="206" t="str">
        <v/>
      </c>
      <c r="M6555" s="206" t="str">
        <v/>
      </c>
    </row>
    <row r="6556" spans="1:13" ht="14.4">
      <c r="A6556" s="201"/>
      <c r="B6556" s="209"/>
      <c r="C6556" s="201"/>
      <c r="D6556" s="201"/>
      <c r="E6556" s="202"/>
      <c r="F6556" s="210"/>
      <c r="G6556" s="210"/>
      <c r="H6556" s="206" t="s">
        <v>121</v>
      </c>
      <c r="I6556" s="206" t="s">
        <v>121</v>
      </c>
      <c r="J6556" s="206" t="s">
        <v>121</v>
      </c>
      <c r="K6556" s="206" t="s">
        <v>121</v>
      </c>
      <c r="L6556" s="206" t="str">
        <v/>
      </c>
      <c r="M6556" s="206" t="str">
        <v/>
      </c>
    </row>
    <row r="6557" spans="1:13" ht="14.4">
      <c r="A6557" s="201"/>
      <c r="B6557" s="209"/>
      <c r="C6557" s="201"/>
      <c r="D6557" s="201"/>
      <c r="E6557" s="202"/>
      <c r="F6557" s="210"/>
      <c r="G6557" s="210"/>
      <c r="H6557" s="206" t="s">
        <v>121</v>
      </c>
      <c r="I6557" s="206" t="s">
        <v>121</v>
      </c>
      <c r="J6557" s="206" t="s">
        <v>121</v>
      </c>
      <c r="K6557" s="206" t="s">
        <v>121</v>
      </c>
      <c r="L6557" s="206" t="str">
        <v/>
      </c>
      <c r="M6557" s="206" t="str">
        <v/>
      </c>
    </row>
    <row r="6558" spans="1:13" ht="14.4">
      <c r="A6558" s="201"/>
      <c r="B6558" s="209"/>
      <c r="C6558" s="201"/>
      <c r="D6558" s="201"/>
      <c r="E6558" s="202"/>
      <c r="F6558" s="210"/>
      <c r="G6558" s="210"/>
      <c r="H6558" s="206" t="s">
        <v>121</v>
      </c>
      <c r="I6558" s="206" t="s">
        <v>121</v>
      </c>
      <c r="J6558" s="206" t="s">
        <v>121</v>
      </c>
      <c r="K6558" s="206" t="s">
        <v>121</v>
      </c>
      <c r="L6558" s="206" t="str">
        <v/>
      </c>
      <c r="M6558" s="206" t="str">
        <v/>
      </c>
    </row>
    <row r="6559" spans="1:13" ht="14.4">
      <c r="A6559" s="201"/>
      <c r="B6559" s="209"/>
      <c r="C6559" s="201"/>
      <c r="D6559" s="201"/>
      <c r="E6559" s="202"/>
      <c r="F6559" s="210"/>
      <c r="G6559" s="210"/>
      <c r="H6559" s="206" t="s">
        <v>121</v>
      </c>
      <c r="I6559" s="206" t="s">
        <v>121</v>
      </c>
      <c r="J6559" s="206" t="s">
        <v>121</v>
      </c>
      <c r="K6559" s="206" t="s">
        <v>121</v>
      </c>
      <c r="L6559" s="206" t="str">
        <v/>
      </c>
      <c r="M6559" s="206" t="str">
        <v/>
      </c>
    </row>
    <row r="6560" spans="1:13" ht="14.4">
      <c r="A6560" s="201"/>
      <c r="B6560" s="209"/>
      <c r="C6560" s="201"/>
      <c r="D6560" s="201"/>
      <c r="E6560" s="202"/>
      <c r="F6560" s="210"/>
      <c r="G6560" s="210"/>
      <c r="H6560" s="206" t="s">
        <v>121</v>
      </c>
      <c r="I6560" s="206" t="s">
        <v>121</v>
      </c>
      <c r="J6560" s="206" t="s">
        <v>121</v>
      </c>
      <c r="K6560" s="206" t="s">
        <v>121</v>
      </c>
      <c r="L6560" s="206" t="str">
        <v/>
      </c>
      <c r="M6560" s="206" t="str">
        <v/>
      </c>
    </row>
    <row r="6561" spans="1:13" ht="14.4">
      <c r="A6561" s="201"/>
      <c r="B6561" s="209"/>
      <c r="C6561" s="201"/>
      <c r="D6561" s="201"/>
      <c r="E6561" s="202"/>
      <c r="F6561" s="210"/>
      <c r="G6561" s="210"/>
      <c r="H6561" s="206" t="s">
        <v>121</v>
      </c>
      <c r="I6561" s="206" t="s">
        <v>121</v>
      </c>
      <c r="J6561" s="206" t="s">
        <v>121</v>
      </c>
      <c r="K6561" s="206" t="s">
        <v>121</v>
      </c>
      <c r="L6561" s="206" t="str">
        <v/>
      </c>
      <c r="M6561" s="206" t="str">
        <v/>
      </c>
    </row>
    <row r="6562" spans="1:13" ht="14.4">
      <c r="A6562" s="201"/>
      <c r="B6562" s="209"/>
      <c r="C6562" s="201"/>
      <c r="D6562" s="201"/>
      <c r="E6562" s="202"/>
      <c r="F6562" s="210"/>
      <c r="G6562" s="210"/>
      <c r="H6562" s="206" t="s">
        <v>121</v>
      </c>
      <c r="I6562" s="206" t="s">
        <v>121</v>
      </c>
      <c r="J6562" s="206" t="s">
        <v>121</v>
      </c>
      <c r="K6562" s="206" t="s">
        <v>121</v>
      </c>
      <c r="L6562" s="206" t="str">
        <v/>
      </c>
      <c r="M6562" s="206" t="str">
        <v/>
      </c>
    </row>
    <row r="6563" spans="1:13" ht="14.4">
      <c r="A6563" s="201"/>
      <c r="B6563" s="209"/>
      <c r="C6563" s="201"/>
      <c r="D6563" s="201"/>
      <c r="E6563" s="202"/>
      <c r="F6563" s="210"/>
      <c r="G6563" s="210"/>
      <c r="H6563" s="206" t="s">
        <v>121</v>
      </c>
      <c r="I6563" s="206" t="s">
        <v>121</v>
      </c>
      <c r="J6563" s="206" t="s">
        <v>121</v>
      </c>
      <c r="K6563" s="206" t="s">
        <v>121</v>
      </c>
      <c r="L6563" s="206" t="str">
        <v/>
      </c>
      <c r="M6563" s="206" t="str">
        <v/>
      </c>
    </row>
    <row r="6564" spans="1:13" ht="14.4">
      <c r="A6564" s="201"/>
      <c r="B6564" s="209"/>
      <c r="C6564" s="201"/>
      <c r="D6564" s="201"/>
      <c r="E6564" s="202"/>
      <c r="F6564" s="210"/>
      <c r="G6564" s="210"/>
      <c r="H6564" s="206" t="s">
        <v>121</v>
      </c>
      <c r="I6564" s="206" t="s">
        <v>121</v>
      </c>
      <c r="J6564" s="206" t="s">
        <v>121</v>
      </c>
      <c r="K6564" s="206" t="s">
        <v>121</v>
      </c>
      <c r="L6564" s="206" t="str">
        <v/>
      </c>
      <c r="M6564" s="206" t="str">
        <v/>
      </c>
    </row>
    <row r="6565" spans="1:13" ht="14.4">
      <c r="A6565" s="201"/>
      <c r="B6565" s="209"/>
      <c r="C6565" s="201"/>
      <c r="D6565" s="201"/>
      <c r="E6565" s="202"/>
      <c r="F6565" s="210"/>
      <c r="G6565" s="210"/>
      <c r="H6565" s="206" t="s">
        <v>121</v>
      </c>
      <c r="I6565" s="206" t="s">
        <v>121</v>
      </c>
      <c r="J6565" s="206" t="s">
        <v>121</v>
      </c>
      <c r="K6565" s="206" t="s">
        <v>121</v>
      </c>
      <c r="L6565" s="206" t="str">
        <v/>
      </c>
      <c r="M6565" s="206" t="str">
        <v/>
      </c>
    </row>
    <row r="6566" spans="1:13" ht="14.4">
      <c r="A6566" s="201"/>
      <c r="B6566" s="209"/>
      <c r="C6566" s="201"/>
      <c r="D6566" s="201"/>
      <c r="E6566" s="202"/>
      <c r="F6566" s="210"/>
      <c r="G6566" s="210"/>
      <c r="H6566" s="206" t="s">
        <v>121</v>
      </c>
      <c r="I6566" s="206" t="s">
        <v>121</v>
      </c>
      <c r="J6566" s="206" t="s">
        <v>121</v>
      </c>
      <c r="K6566" s="206" t="s">
        <v>121</v>
      </c>
      <c r="L6566" s="206" t="str">
        <v/>
      </c>
      <c r="M6566" s="206" t="str">
        <v/>
      </c>
    </row>
    <row r="6567" spans="1:13" ht="14.4">
      <c r="A6567" s="201"/>
      <c r="B6567" s="209"/>
      <c r="C6567" s="201"/>
      <c r="D6567" s="201"/>
      <c r="E6567" s="202"/>
      <c r="F6567" s="210"/>
      <c r="G6567" s="210"/>
      <c r="H6567" s="206" t="s">
        <v>121</v>
      </c>
      <c r="I6567" s="206" t="s">
        <v>121</v>
      </c>
      <c r="J6567" s="206" t="s">
        <v>121</v>
      </c>
      <c r="K6567" s="206" t="s">
        <v>121</v>
      </c>
      <c r="L6567" s="206" t="str">
        <v/>
      </c>
      <c r="M6567" s="206" t="str">
        <v/>
      </c>
    </row>
    <row r="6568" spans="1:13" ht="14.4">
      <c r="A6568" s="201"/>
      <c r="B6568" s="209"/>
      <c r="C6568" s="201"/>
      <c r="D6568" s="201"/>
      <c r="E6568" s="202"/>
      <c r="F6568" s="210"/>
      <c r="G6568" s="210"/>
      <c r="H6568" s="206" t="s">
        <v>121</v>
      </c>
      <c r="I6568" s="206" t="s">
        <v>121</v>
      </c>
      <c r="J6568" s="206" t="s">
        <v>121</v>
      </c>
      <c r="K6568" s="206" t="s">
        <v>121</v>
      </c>
      <c r="L6568" s="206" t="str">
        <v/>
      </c>
      <c r="M6568" s="206" t="str">
        <v/>
      </c>
    </row>
    <row r="6569" spans="1:13" ht="14.4">
      <c r="A6569" s="201"/>
      <c r="B6569" s="209"/>
      <c r="C6569" s="201"/>
      <c r="D6569" s="201"/>
      <c r="E6569" s="202"/>
      <c r="F6569" s="210"/>
      <c r="G6569" s="210"/>
      <c r="H6569" s="206" t="s">
        <v>121</v>
      </c>
      <c r="I6569" s="206" t="s">
        <v>121</v>
      </c>
      <c r="J6569" s="206" t="s">
        <v>121</v>
      </c>
      <c r="K6569" s="206" t="s">
        <v>121</v>
      </c>
      <c r="L6569" s="206" t="str">
        <v/>
      </c>
      <c r="M6569" s="206" t="str">
        <v/>
      </c>
    </row>
    <row r="6570" spans="1:13" ht="14.4">
      <c r="A6570" s="201"/>
      <c r="B6570" s="209"/>
      <c r="C6570" s="201"/>
      <c r="D6570" s="201"/>
      <c r="E6570" s="202"/>
      <c r="F6570" s="210"/>
      <c r="G6570" s="210"/>
      <c r="H6570" s="206" t="s">
        <v>121</v>
      </c>
      <c r="I6570" s="206" t="s">
        <v>121</v>
      </c>
      <c r="J6570" s="206" t="s">
        <v>121</v>
      </c>
      <c r="K6570" s="206" t="s">
        <v>121</v>
      </c>
      <c r="L6570" s="206" t="str">
        <v/>
      </c>
      <c r="M6570" s="206" t="str">
        <v/>
      </c>
    </row>
    <row r="6571" spans="1:13" ht="14.4">
      <c r="A6571" s="201"/>
      <c r="B6571" s="209"/>
      <c r="C6571" s="201"/>
      <c r="D6571" s="201"/>
      <c r="E6571" s="202"/>
      <c r="F6571" s="210"/>
      <c r="G6571" s="210"/>
      <c r="H6571" s="206" t="s">
        <v>121</v>
      </c>
      <c r="I6571" s="206" t="s">
        <v>121</v>
      </c>
      <c r="J6571" s="206" t="s">
        <v>121</v>
      </c>
      <c r="K6571" s="206" t="s">
        <v>121</v>
      </c>
      <c r="L6571" s="206" t="str">
        <v/>
      </c>
      <c r="M6571" s="206" t="str">
        <v/>
      </c>
    </row>
    <row r="6572" spans="1:13" ht="14.4">
      <c r="A6572" s="201"/>
      <c r="B6572" s="209"/>
      <c r="C6572" s="201"/>
      <c r="D6572" s="201"/>
      <c r="E6572" s="202"/>
      <c r="F6572" s="210"/>
      <c r="G6572" s="210"/>
      <c r="H6572" s="206" t="s">
        <v>121</v>
      </c>
      <c r="I6572" s="206" t="s">
        <v>121</v>
      </c>
      <c r="J6572" s="206" t="s">
        <v>121</v>
      </c>
      <c r="K6572" s="206" t="s">
        <v>121</v>
      </c>
      <c r="L6572" s="206" t="str">
        <v/>
      </c>
      <c r="M6572" s="206" t="str">
        <v/>
      </c>
    </row>
    <row r="6573" spans="1:13" ht="14.4">
      <c r="A6573" s="201"/>
      <c r="B6573" s="209"/>
      <c r="C6573" s="201"/>
      <c r="D6573" s="201"/>
      <c r="E6573" s="202"/>
      <c r="F6573" s="210"/>
      <c r="G6573" s="210"/>
      <c r="H6573" s="206" t="s">
        <v>121</v>
      </c>
      <c r="I6573" s="206" t="s">
        <v>121</v>
      </c>
      <c r="J6573" s="206" t="s">
        <v>121</v>
      </c>
      <c r="K6573" s="206" t="s">
        <v>121</v>
      </c>
      <c r="L6573" s="206" t="str">
        <v/>
      </c>
      <c r="M6573" s="206" t="str">
        <v/>
      </c>
    </row>
    <row r="6574" spans="1:13" ht="14.4">
      <c r="A6574" s="201"/>
      <c r="B6574" s="209"/>
      <c r="C6574" s="201"/>
      <c r="D6574" s="201"/>
      <c r="E6574" s="202"/>
      <c r="F6574" s="210"/>
      <c r="G6574" s="210"/>
      <c r="H6574" s="206" t="s">
        <v>121</v>
      </c>
      <c r="I6574" s="206" t="s">
        <v>121</v>
      </c>
      <c r="J6574" s="206" t="s">
        <v>121</v>
      </c>
      <c r="K6574" s="206" t="s">
        <v>121</v>
      </c>
      <c r="L6574" s="206" t="str">
        <v/>
      </c>
      <c r="M6574" s="206" t="str">
        <v/>
      </c>
    </row>
    <row r="6575" spans="1:13" ht="14.4">
      <c r="A6575" s="201"/>
      <c r="B6575" s="209"/>
      <c r="C6575" s="201"/>
      <c r="D6575" s="201"/>
      <c r="E6575" s="202"/>
      <c r="F6575" s="210"/>
      <c r="G6575" s="210"/>
      <c r="H6575" s="206" t="s">
        <v>121</v>
      </c>
      <c r="I6575" s="206" t="s">
        <v>121</v>
      </c>
      <c r="J6575" s="206" t="s">
        <v>121</v>
      </c>
      <c r="K6575" s="206" t="s">
        <v>121</v>
      </c>
      <c r="L6575" s="206" t="str">
        <v/>
      </c>
      <c r="M6575" s="206" t="str">
        <v/>
      </c>
    </row>
    <row r="6576" spans="1:13" ht="14.4">
      <c r="A6576" s="201"/>
      <c r="B6576" s="209"/>
      <c r="C6576" s="201"/>
      <c r="D6576" s="201"/>
      <c r="E6576" s="202"/>
      <c r="F6576" s="210"/>
      <c r="G6576" s="210"/>
      <c r="H6576" s="206" t="s">
        <v>121</v>
      </c>
      <c r="I6576" s="206" t="s">
        <v>121</v>
      </c>
      <c r="J6576" s="206" t="s">
        <v>121</v>
      </c>
      <c r="K6576" s="206" t="s">
        <v>121</v>
      </c>
      <c r="L6576" s="206" t="str">
        <v/>
      </c>
      <c r="M6576" s="206" t="str">
        <v/>
      </c>
    </row>
    <row r="6577" spans="1:13" ht="14.4">
      <c r="A6577" s="201"/>
      <c r="B6577" s="209"/>
      <c r="C6577" s="201"/>
      <c r="D6577" s="201"/>
      <c r="E6577" s="202"/>
      <c r="F6577" s="210"/>
      <c r="G6577" s="210"/>
      <c r="H6577" s="206" t="s">
        <v>121</v>
      </c>
      <c r="I6577" s="206" t="s">
        <v>121</v>
      </c>
      <c r="J6577" s="206" t="s">
        <v>121</v>
      </c>
      <c r="K6577" s="206" t="s">
        <v>121</v>
      </c>
      <c r="L6577" s="206" t="str">
        <v/>
      </c>
      <c r="M6577" s="206" t="str">
        <v/>
      </c>
    </row>
    <row r="6578" spans="1:13" ht="14.4">
      <c r="A6578" s="201"/>
      <c r="B6578" s="209"/>
      <c r="C6578" s="201"/>
      <c r="D6578" s="201"/>
      <c r="E6578" s="202"/>
      <c r="F6578" s="210"/>
      <c r="G6578" s="210"/>
      <c r="H6578" s="206" t="s">
        <v>121</v>
      </c>
      <c r="I6578" s="206" t="s">
        <v>121</v>
      </c>
      <c r="J6578" s="206" t="s">
        <v>121</v>
      </c>
      <c r="K6578" s="206" t="s">
        <v>121</v>
      </c>
      <c r="L6578" s="206" t="str">
        <v/>
      </c>
      <c r="M6578" s="206" t="str">
        <v/>
      </c>
    </row>
    <row r="6579" spans="1:13" ht="14.4">
      <c r="A6579" s="201"/>
      <c r="B6579" s="209"/>
      <c r="C6579" s="201"/>
      <c r="D6579" s="201"/>
      <c r="E6579" s="202"/>
      <c r="F6579" s="210"/>
      <c r="G6579" s="210"/>
      <c r="H6579" s="206" t="s">
        <v>121</v>
      </c>
      <c r="I6579" s="206" t="s">
        <v>121</v>
      </c>
      <c r="J6579" s="206" t="s">
        <v>121</v>
      </c>
      <c r="K6579" s="206" t="s">
        <v>121</v>
      </c>
      <c r="L6579" s="206" t="str">
        <v/>
      </c>
      <c r="M6579" s="206" t="str">
        <v/>
      </c>
    </row>
    <row r="6580" spans="1:13" ht="14.4">
      <c r="A6580" s="201"/>
      <c r="B6580" s="209"/>
      <c r="C6580" s="201"/>
      <c r="D6580" s="201"/>
      <c r="E6580" s="202"/>
      <c r="F6580" s="210"/>
      <c r="G6580" s="210"/>
      <c r="H6580" s="206" t="s">
        <v>121</v>
      </c>
      <c r="I6580" s="206" t="s">
        <v>121</v>
      </c>
      <c r="J6580" s="206" t="s">
        <v>121</v>
      </c>
      <c r="K6580" s="206" t="s">
        <v>121</v>
      </c>
      <c r="L6580" s="206" t="str">
        <v/>
      </c>
      <c r="M6580" s="206" t="str">
        <v/>
      </c>
    </row>
    <row r="6581" spans="1:13" ht="14.4">
      <c r="A6581" s="201"/>
      <c r="B6581" s="209"/>
      <c r="C6581" s="201"/>
      <c r="D6581" s="201"/>
      <c r="E6581" s="202"/>
      <c r="F6581" s="210"/>
      <c r="G6581" s="210"/>
      <c r="H6581" s="206" t="s">
        <v>121</v>
      </c>
      <c r="I6581" s="206" t="s">
        <v>121</v>
      </c>
      <c r="J6581" s="206" t="s">
        <v>121</v>
      </c>
      <c r="K6581" s="206" t="s">
        <v>121</v>
      </c>
      <c r="L6581" s="206" t="str">
        <v/>
      </c>
      <c r="M6581" s="206" t="str">
        <v/>
      </c>
    </row>
    <row r="6582" spans="1:13" ht="14.4">
      <c r="A6582" s="201"/>
      <c r="B6582" s="209"/>
      <c r="C6582" s="201"/>
      <c r="D6582" s="201"/>
      <c r="E6582" s="202"/>
      <c r="F6582" s="210"/>
      <c r="G6582" s="210"/>
      <c r="H6582" s="206" t="s">
        <v>121</v>
      </c>
      <c r="I6582" s="206" t="s">
        <v>121</v>
      </c>
      <c r="J6582" s="206" t="s">
        <v>121</v>
      </c>
      <c r="K6582" s="206" t="s">
        <v>121</v>
      </c>
      <c r="L6582" s="206" t="str">
        <v/>
      </c>
      <c r="M6582" s="206" t="str">
        <v/>
      </c>
    </row>
    <row r="6583" spans="1:13" ht="14.4">
      <c r="A6583" s="201"/>
      <c r="B6583" s="209"/>
      <c r="C6583" s="201"/>
      <c r="D6583" s="201"/>
      <c r="E6583" s="202"/>
      <c r="F6583" s="210"/>
      <c r="G6583" s="210"/>
      <c r="H6583" s="206" t="s">
        <v>121</v>
      </c>
      <c r="I6583" s="206" t="s">
        <v>121</v>
      </c>
      <c r="J6583" s="206" t="s">
        <v>121</v>
      </c>
      <c r="K6583" s="206" t="s">
        <v>121</v>
      </c>
      <c r="L6583" s="206" t="str">
        <v/>
      </c>
      <c r="M6583" s="206" t="str">
        <v/>
      </c>
    </row>
    <row r="6584" spans="1:13" ht="14.4">
      <c r="A6584" s="201"/>
      <c r="B6584" s="209"/>
      <c r="C6584" s="201"/>
      <c r="D6584" s="201"/>
      <c r="E6584" s="202"/>
      <c r="F6584" s="210"/>
      <c r="G6584" s="210"/>
      <c r="H6584" s="206" t="s">
        <v>121</v>
      </c>
      <c r="I6584" s="206" t="s">
        <v>121</v>
      </c>
      <c r="J6584" s="206" t="s">
        <v>121</v>
      </c>
      <c r="K6584" s="206" t="s">
        <v>121</v>
      </c>
      <c r="L6584" s="206" t="str">
        <v/>
      </c>
      <c r="M6584" s="206" t="str">
        <v/>
      </c>
    </row>
    <row r="6585" spans="1:13" ht="14.4">
      <c r="A6585" s="201"/>
      <c r="B6585" s="209"/>
      <c r="C6585" s="201"/>
      <c r="D6585" s="201"/>
      <c r="E6585" s="202"/>
      <c r="F6585" s="210"/>
      <c r="G6585" s="210"/>
      <c r="H6585" s="206" t="s">
        <v>121</v>
      </c>
      <c r="I6585" s="206" t="s">
        <v>121</v>
      </c>
      <c r="J6585" s="206" t="s">
        <v>121</v>
      </c>
      <c r="K6585" s="206" t="s">
        <v>121</v>
      </c>
      <c r="L6585" s="206" t="str">
        <v/>
      </c>
      <c r="M6585" s="206" t="str">
        <v/>
      </c>
    </row>
    <row r="6586" spans="1:13" ht="14.4">
      <c r="A6586" s="201"/>
      <c r="B6586" s="209"/>
      <c r="C6586" s="201"/>
      <c r="D6586" s="201"/>
      <c r="E6586" s="202"/>
      <c r="F6586" s="210"/>
      <c r="G6586" s="210"/>
      <c r="H6586" s="206" t="s">
        <v>121</v>
      </c>
      <c r="I6586" s="206" t="s">
        <v>121</v>
      </c>
      <c r="J6586" s="206" t="s">
        <v>121</v>
      </c>
      <c r="K6586" s="206" t="s">
        <v>121</v>
      </c>
      <c r="L6586" s="206" t="str">
        <v/>
      </c>
      <c r="M6586" s="206" t="str">
        <v/>
      </c>
    </row>
    <row r="6587" spans="1:13" ht="14.4">
      <c r="A6587" s="201"/>
      <c r="B6587" s="209"/>
      <c r="C6587" s="201"/>
      <c r="D6587" s="201"/>
      <c r="E6587" s="202"/>
      <c r="F6587" s="210"/>
      <c r="G6587" s="210"/>
      <c r="H6587" s="206" t="s">
        <v>121</v>
      </c>
      <c r="I6587" s="206" t="s">
        <v>121</v>
      </c>
      <c r="J6587" s="206" t="s">
        <v>121</v>
      </c>
      <c r="K6587" s="206" t="s">
        <v>121</v>
      </c>
      <c r="L6587" s="206" t="str">
        <v/>
      </c>
      <c r="M6587" s="206" t="str">
        <v/>
      </c>
    </row>
    <row r="6588" spans="1:13" ht="14.4">
      <c r="A6588" s="201"/>
      <c r="B6588" s="209"/>
      <c r="C6588" s="201"/>
      <c r="D6588" s="201"/>
      <c r="E6588" s="202"/>
      <c r="F6588" s="210"/>
      <c r="G6588" s="210"/>
      <c r="H6588" s="206" t="s">
        <v>121</v>
      </c>
      <c r="I6588" s="206" t="s">
        <v>121</v>
      </c>
      <c r="J6588" s="206" t="s">
        <v>121</v>
      </c>
      <c r="K6588" s="206" t="s">
        <v>121</v>
      </c>
      <c r="L6588" s="206" t="str">
        <v/>
      </c>
      <c r="M6588" s="206" t="str">
        <v/>
      </c>
    </row>
    <row r="6589" spans="1:13" ht="14.4">
      <c r="A6589" s="201"/>
      <c r="B6589" s="209"/>
      <c r="C6589" s="201"/>
      <c r="D6589" s="201"/>
      <c r="E6589" s="202"/>
      <c r="F6589" s="210"/>
      <c r="G6589" s="210"/>
      <c r="H6589" s="206" t="s">
        <v>121</v>
      </c>
      <c r="I6589" s="206" t="s">
        <v>121</v>
      </c>
      <c r="J6589" s="206" t="s">
        <v>121</v>
      </c>
      <c r="K6589" s="206" t="s">
        <v>121</v>
      </c>
      <c r="L6589" s="206" t="str">
        <v/>
      </c>
      <c r="M6589" s="206" t="str">
        <v/>
      </c>
    </row>
    <row r="6590" spans="1:13" ht="14.4">
      <c r="A6590" s="201"/>
      <c r="B6590" s="209"/>
      <c r="C6590" s="201"/>
      <c r="D6590" s="201"/>
      <c r="E6590" s="202"/>
      <c r="F6590" s="210"/>
      <c r="G6590" s="210"/>
      <c r="H6590" s="206" t="s">
        <v>121</v>
      </c>
      <c r="I6590" s="206" t="s">
        <v>121</v>
      </c>
      <c r="J6590" s="206" t="s">
        <v>121</v>
      </c>
      <c r="K6590" s="206" t="s">
        <v>121</v>
      </c>
      <c r="L6590" s="206" t="str">
        <v/>
      </c>
      <c r="M6590" s="206" t="str">
        <v/>
      </c>
    </row>
    <row r="6591" spans="1:13" ht="14.4">
      <c r="A6591" s="201"/>
      <c r="B6591" s="209"/>
      <c r="C6591" s="201"/>
      <c r="D6591" s="201"/>
      <c r="E6591" s="202"/>
      <c r="F6591" s="210"/>
      <c r="G6591" s="210"/>
      <c r="H6591" s="206" t="s">
        <v>121</v>
      </c>
      <c r="I6591" s="206" t="s">
        <v>121</v>
      </c>
      <c r="J6591" s="206" t="s">
        <v>121</v>
      </c>
      <c r="K6591" s="206" t="s">
        <v>121</v>
      </c>
      <c r="L6591" s="206" t="str">
        <v/>
      </c>
      <c r="M6591" s="206" t="str">
        <v/>
      </c>
    </row>
    <row r="6592" spans="1:13" ht="14.4">
      <c r="A6592" s="201"/>
      <c r="B6592" s="209"/>
      <c r="C6592" s="201"/>
      <c r="D6592" s="201"/>
      <c r="E6592" s="202"/>
      <c r="F6592" s="210"/>
      <c r="G6592" s="210"/>
      <c r="H6592" s="206" t="s">
        <v>121</v>
      </c>
      <c r="I6592" s="206" t="s">
        <v>121</v>
      </c>
      <c r="J6592" s="206" t="s">
        <v>121</v>
      </c>
      <c r="K6592" s="206" t="s">
        <v>121</v>
      </c>
      <c r="L6592" s="206" t="str">
        <v/>
      </c>
      <c r="M6592" s="206" t="str">
        <v/>
      </c>
    </row>
    <row r="6593" spans="1:13" ht="14.4">
      <c r="A6593" s="201"/>
      <c r="B6593" s="209"/>
      <c r="C6593" s="201"/>
      <c r="D6593" s="201"/>
      <c r="E6593" s="202"/>
      <c r="F6593" s="210"/>
      <c r="G6593" s="210"/>
      <c r="H6593" s="206" t="s">
        <v>121</v>
      </c>
      <c r="I6593" s="206" t="s">
        <v>121</v>
      </c>
      <c r="J6593" s="206" t="s">
        <v>121</v>
      </c>
      <c r="K6593" s="206" t="s">
        <v>121</v>
      </c>
      <c r="L6593" s="206" t="str">
        <v/>
      </c>
      <c r="M6593" s="206" t="str">
        <v/>
      </c>
    </row>
    <row r="6594" spans="1:13" ht="14.4">
      <c r="A6594" s="201"/>
      <c r="B6594" s="209"/>
      <c r="C6594" s="201"/>
      <c r="D6594" s="201"/>
      <c r="E6594" s="202"/>
      <c r="F6594" s="210"/>
      <c r="G6594" s="210"/>
      <c r="H6594" s="206" t="s">
        <v>121</v>
      </c>
      <c r="I6594" s="206" t="s">
        <v>121</v>
      </c>
      <c r="J6594" s="206" t="s">
        <v>121</v>
      </c>
      <c r="K6594" s="206" t="s">
        <v>121</v>
      </c>
      <c r="L6594" s="206" t="str">
        <v/>
      </c>
      <c r="M6594" s="206" t="str">
        <v/>
      </c>
    </row>
    <row r="6595" spans="1:13" ht="14.4">
      <c r="A6595" s="201"/>
      <c r="B6595" s="209"/>
      <c r="C6595" s="201"/>
      <c r="D6595" s="201"/>
      <c r="E6595" s="202"/>
      <c r="F6595" s="210"/>
      <c r="G6595" s="210"/>
      <c r="H6595" s="206" t="s">
        <v>121</v>
      </c>
      <c r="I6595" s="206" t="s">
        <v>121</v>
      </c>
      <c r="J6595" s="206" t="s">
        <v>121</v>
      </c>
      <c r="K6595" s="206" t="s">
        <v>121</v>
      </c>
      <c r="L6595" s="206" t="str">
        <v/>
      </c>
      <c r="M6595" s="206" t="str">
        <v/>
      </c>
    </row>
    <row r="6596" spans="1:13" ht="14.4">
      <c r="A6596" s="201"/>
      <c r="B6596" s="209"/>
      <c r="C6596" s="201"/>
      <c r="D6596" s="201"/>
      <c r="E6596" s="202"/>
      <c r="F6596" s="210"/>
      <c r="G6596" s="210"/>
      <c r="H6596" s="206" t="s">
        <v>121</v>
      </c>
      <c r="I6596" s="206" t="s">
        <v>121</v>
      </c>
      <c r="J6596" s="206" t="s">
        <v>121</v>
      </c>
      <c r="K6596" s="206" t="s">
        <v>121</v>
      </c>
      <c r="L6596" s="206" t="str">
        <v/>
      </c>
      <c r="M6596" s="206" t="str">
        <v/>
      </c>
    </row>
    <row r="6597" spans="1:13" ht="14.4">
      <c r="A6597" s="201"/>
      <c r="B6597" s="209"/>
      <c r="C6597" s="201"/>
      <c r="D6597" s="201"/>
      <c r="E6597" s="202"/>
      <c r="F6597" s="210"/>
      <c r="G6597" s="210"/>
      <c r="H6597" s="206" t="s">
        <v>121</v>
      </c>
      <c r="I6597" s="206" t="s">
        <v>121</v>
      </c>
      <c r="J6597" s="206" t="s">
        <v>121</v>
      </c>
      <c r="K6597" s="206" t="s">
        <v>121</v>
      </c>
      <c r="L6597" s="206" t="str">
        <v/>
      </c>
      <c r="M6597" s="206" t="str">
        <v/>
      </c>
    </row>
    <row r="6598" spans="1:13" ht="14.4">
      <c r="A6598" s="201"/>
      <c r="B6598" s="209"/>
      <c r="C6598" s="201"/>
      <c r="D6598" s="201"/>
      <c r="E6598" s="202"/>
      <c r="F6598" s="210"/>
      <c r="G6598" s="210"/>
      <c r="H6598" s="206" t="s">
        <v>121</v>
      </c>
      <c r="I6598" s="206" t="s">
        <v>121</v>
      </c>
      <c r="J6598" s="206" t="s">
        <v>121</v>
      </c>
      <c r="K6598" s="206" t="s">
        <v>121</v>
      </c>
      <c r="L6598" s="206" t="str">
        <v/>
      </c>
      <c r="M6598" s="206" t="str">
        <v/>
      </c>
    </row>
    <row r="6599" spans="1:13" ht="14.4">
      <c r="A6599" s="201"/>
      <c r="B6599" s="209"/>
      <c r="C6599" s="201"/>
      <c r="D6599" s="201"/>
      <c r="E6599" s="202"/>
      <c r="F6599" s="210"/>
      <c r="G6599" s="210"/>
      <c r="H6599" s="206" t="s">
        <v>121</v>
      </c>
      <c r="I6599" s="206" t="s">
        <v>121</v>
      </c>
      <c r="J6599" s="206" t="s">
        <v>121</v>
      </c>
      <c r="K6599" s="206" t="s">
        <v>121</v>
      </c>
      <c r="L6599" s="206" t="str">
        <v/>
      </c>
      <c r="M6599" s="206" t="str">
        <v/>
      </c>
    </row>
    <row r="6600" spans="1:13" ht="14.4">
      <c r="A6600" s="201"/>
      <c r="B6600" s="209"/>
      <c r="C6600" s="201"/>
      <c r="D6600" s="201"/>
      <c r="E6600" s="202"/>
      <c r="F6600" s="210"/>
      <c r="G6600" s="210"/>
      <c r="H6600" s="206" t="s">
        <v>121</v>
      </c>
      <c r="I6600" s="206" t="s">
        <v>121</v>
      </c>
      <c r="J6600" s="206" t="s">
        <v>121</v>
      </c>
      <c r="K6600" s="206" t="s">
        <v>121</v>
      </c>
      <c r="L6600" s="206" t="str">
        <v/>
      </c>
      <c r="M6600" s="206" t="str">
        <v/>
      </c>
    </row>
    <row r="6601" spans="1:13" ht="14.4">
      <c r="A6601" s="201"/>
      <c r="B6601" s="209"/>
      <c r="C6601" s="201"/>
      <c r="D6601" s="201"/>
      <c r="E6601" s="202"/>
      <c r="F6601" s="210"/>
      <c r="G6601" s="210"/>
      <c r="H6601" s="206" t="s">
        <v>121</v>
      </c>
      <c r="I6601" s="206" t="s">
        <v>121</v>
      </c>
      <c r="J6601" s="206" t="s">
        <v>121</v>
      </c>
      <c r="K6601" s="206" t="s">
        <v>121</v>
      </c>
      <c r="L6601" s="206" t="str">
        <v/>
      </c>
      <c r="M6601" s="206" t="str">
        <v/>
      </c>
    </row>
    <row r="6602" spans="1:13" ht="14.4">
      <c r="A6602" s="201"/>
      <c r="B6602" s="209"/>
      <c r="C6602" s="201"/>
      <c r="D6602" s="201"/>
      <c r="E6602" s="202"/>
      <c r="F6602" s="210"/>
      <c r="G6602" s="210"/>
      <c r="H6602" s="206" t="s">
        <v>121</v>
      </c>
      <c r="I6602" s="206" t="s">
        <v>121</v>
      </c>
      <c r="J6602" s="206" t="s">
        <v>121</v>
      </c>
      <c r="K6602" s="206" t="s">
        <v>121</v>
      </c>
      <c r="L6602" s="206" t="str">
        <v/>
      </c>
      <c r="M6602" s="206" t="str">
        <v/>
      </c>
    </row>
    <row r="6603" spans="1:13" ht="14.4">
      <c r="A6603" s="201"/>
      <c r="B6603" s="209"/>
      <c r="C6603" s="201"/>
      <c r="D6603" s="201"/>
      <c r="E6603" s="202"/>
      <c r="F6603" s="210"/>
      <c r="G6603" s="210"/>
      <c r="H6603" s="206" t="s">
        <v>121</v>
      </c>
      <c r="I6603" s="206" t="s">
        <v>121</v>
      </c>
      <c r="J6603" s="206" t="s">
        <v>121</v>
      </c>
      <c r="K6603" s="206" t="s">
        <v>121</v>
      </c>
      <c r="L6603" s="206" t="str">
        <v/>
      </c>
      <c r="M6603" s="206" t="str">
        <v/>
      </c>
    </row>
    <row r="6604" spans="1:13" ht="14.4">
      <c r="A6604" s="201"/>
      <c r="B6604" s="209"/>
      <c r="C6604" s="201"/>
      <c r="D6604" s="201"/>
      <c r="E6604" s="202"/>
      <c r="F6604" s="210"/>
      <c r="G6604" s="210"/>
      <c r="H6604" s="206" t="s">
        <v>121</v>
      </c>
      <c r="I6604" s="206" t="s">
        <v>121</v>
      </c>
      <c r="J6604" s="206" t="s">
        <v>121</v>
      </c>
      <c r="K6604" s="206" t="s">
        <v>121</v>
      </c>
      <c r="L6604" s="206" t="str">
        <v/>
      </c>
      <c r="M6604" s="206" t="str">
        <v/>
      </c>
    </row>
    <row r="6605" spans="1:13" ht="14.4">
      <c r="A6605" s="201"/>
      <c r="B6605" s="209"/>
      <c r="C6605" s="201"/>
      <c r="D6605" s="201"/>
      <c r="E6605" s="202"/>
      <c r="F6605" s="210"/>
      <c r="G6605" s="210"/>
      <c r="H6605" s="206" t="s">
        <v>121</v>
      </c>
      <c r="I6605" s="206" t="s">
        <v>121</v>
      </c>
      <c r="J6605" s="206" t="s">
        <v>121</v>
      </c>
      <c r="K6605" s="206" t="s">
        <v>121</v>
      </c>
      <c r="L6605" s="206" t="str">
        <v/>
      </c>
      <c r="M6605" s="206" t="str">
        <v/>
      </c>
    </row>
    <row r="6606" spans="1:13" ht="14.4">
      <c r="A6606" s="201"/>
      <c r="B6606" s="209"/>
      <c r="C6606" s="201"/>
      <c r="D6606" s="201"/>
      <c r="E6606" s="202"/>
      <c r="F6606" s="210"/>
      <c r="G6606" s="210"/>
      <c r="H6606" s="206" t="s">
        <v>121</v>
      </c>
      <c r="I6606" s="206" t="s">
        <v>121</v>
      </c>
      <c r="J6606" s="206" t="s">
        <v>121</v>
      </c>
      <c r="K6606" s="206" t="s">
        <v>121</v>
      </c>
      <c r="L6606" s="206" t="str">
        <v/>
      </c>
      <c r="M6606" s="206" t="str">
        <v/>
      </c>
    </row>
    <row r="6607" spans="1:13" ht="14.4">
      <c r="A6607" s="201"/>
      <c r="B6607" s="209"/>
      <c r="C6607" s="201"/>
      <c r="D6607" s="201"/>
      <c r="E6607" s="202"/>
      <c r="F6607" s="210"/>
      <c r="G6607" s="210"/>
      <c r="H6607" s="206" t="s">
        <v>121</v>
      </c>
      <c r="I6607" s="206" t="s">
        <v>121</v>
      </c>
      <c r="J6607" s="206" t="s">
        <v>121</v>
      </c>
      <c r="K6607" s="206" t="s">
        <v>121</v>
      </c>
      <c r="L6607" s="206" t="str">
        <v/>
      </c>
      <c r="M6607" s="206" t="str">
        <v/>
      </c>
    </row>
    <row r="6608" spans="1:13" ht="14.4">
      <c r="A6608" s="201"/>
      <c r="B6608" s="209"/>
      <c r="C6608" s="201"/>
      <c r="D6608" s="201"/>
      <c r="E6608" s="202"/>
      <c r="F6608" s="210"/>
      <c r="G6608" s="210"/>
      <c r="H6608" s="206" t="s">
        <v>121</v>
      </c>
      <c r="I6608" s="206" t="s">
        <v>121</v>
      </c>
      <c r="J6608" s="206" t="s">
        <v>121</v>
      </c>
      <c r="K6608" s="206" t="s">
        <v>121</v>
      </c>
      <c r="L6608" s="206" t="str">
        <v/>
      </c>
      <c r="M6608" s="206" t="str">
        <v/>
      </c>
    </row>
    <row r="6609" spans="1:13" ht="14.4">
      <c r="A6609" s="201"/>
      <c r="B6609" s="209"/>
      <c r="C6609" s="201"/>
      <c r="D6609" s="201"/>
      <c r="E6609" s="202"/>
      <c r="F6609" s="210"/>
      <c r="G6609" s="210"/>
      <c r="H6609" s="206" t="s">
        <v>121</v>
      </c>
      <c r="I6609" s="206" t="s">
        <v>121</v>
      </c>
      <c r="J6609" s="206" t="s">
        <v>121</v>
      </c>
      <c r="K6609" s="206" t="s">
        <v>121</v>
      </c>
      <c r="L6609" s="206" t="str">
        <v/>
      </c>
      <c r="M6609" s="206" t="str">
        <v/>
      </c>
    </row>
    <row r="6610" spans="1:13" ht="14.4">
      <c r="A6610" s="201"/>
      <c r="B6610" s="209"/>
      <c r="C6610" s="201"/>
      <c r="D6610" s="201"/>
      <c r="E6610" s="202"/>
      <c r="F6610" s="210"/>
      <c r="G6610" s="210"/>
      <c r="H6610" s="206" t="s">
        <v>121</v>
      </c>
      <c r="I6610" s="206" t="s">
        <v>121</v>
      </c>
      <c r="J6610" s="206" t="s">
        <v>121</v>
      </c>
      <c r="K6610" s="206" t="s">
        <v>121</v>
      </c>
      <c r="L6610" s="206" t="str">
        <v/>
      </c>
      <c r="M6610" s="206" t="str">
        <v/>
      </c>
    </row>
    <row r="6611" spans="1:13" ht="14.4">
      <c r="A6611" s="201"/>
      <c r="B6611" s="209"/>
      <c r="C6611" s="201"/>
      <c r="D6611" s="201"/>
      <c r="E6611" s="202"/>
      <c r="F6611" s="210"/>
      <c r="G6611" s="210"/>
      <c r="H6611" s="206" t="s">
        <v>121</v>
      </c>
      <c r="I6611" s="206" t="s">
        <v>121</v>
      </c>
      <c r="J6611" s="206" t="s">
        <v>121</v>
      </c>
      <c r="K6611" s="206" t="s">
        <v>121</v>
      </c>
      <c r="L6611" s="206" t="str">
        <v/>
      </c>
      <c r="M6611" s="206" t="str">
        <v/>
      </c>
    </row>
    <row r="6612" spans="1:13" ht="14.4">
      <c r="A6612" s="201"/>
      <c r="B6612" s="209"/>
      <c r="C6612" s="201"/>
      <c r="D6612" s="201"/>
      <c r="E6612" s="202"/>
      <c r="F6612" s="210"/>
      <c r="G6612" s="210"/>
      <c r="H6612" s="206" t="s">
        <v>121</v>
      </c>
      <c r="I6612" s="206" t="s">
        <v>121</v>
      </c>
      <c r="J6612" s="206" t="s">
        <v>121</v>
      </c>
      <c r="K6612" s="206" t="s">
        <v>121</v>
      </c>
      <c r="L6612" s="206" t="str">
        <v/>
      </c>
      <c r="M6612" s="206" t="str">
        <v/>
      </c>
    </row>
    <row r="6613" spans="1:13" ht="14.4">
      <c r="A6613" s="201"/>
      <c r="B6613" s="209"/>
      <c r="C6613" s="201"/>
      <c r="D6613" s="201"/>
      <c r="E6613" s="202"/>
      <c r="F6613" s="210"/>
      <c r="G6613" s="210"/>
      <c r="H6613" s="206" t="s">
        <v>121</v>
      </c>
      <c r="I6613" s="206" t="s">
        <v>121</v>
      </c>
      <c r="J6613" s="206" t="s">
        <v>121</v>
      </c>
      <c r="K6613" s="206" t="s">
        <v>121</v>
      </c>
      <c r="L6613" s="206" t="str">
        <v/>
      </c>
      <c r="M6613" s="206" t="str">
        <v/>
      </c>
    </row>
    <row r="6614" spans="1:13" ht="14.4">
      <c r="A6614" s="201"/>
      <c r="B6614" s="209"/>
      <c r="C6614" s="201"/>
      <c r="D6614" s="201"/>
      <c r="E6614" s="202"/>
      <c r="F6614" s="210"/>
      <c r="G6614" s="210"/>
      <c r="H6614" s="206" t="s">
        <v>121</v>
      </c>
      <c r="I6614" s="206" t="s">
        <v>121</v>
      </c>
      <c r="J6614" s="206" t="s">
        <v>121</v>
      </c>
      <c r="K6614" s="206" t="s">
        <v>121</v>
      </c>
      <c r="L6614" s="206" t="str">
        <v/>
      </c>
      <c r="M6614" s="206" t="str">
        <v/>
      </c>
    </row>
    <row r="6615" spans="1:13" ht="14.4">
      <c r="A6615" s="201"/>
      <c r="B6615" s="209"/>
      <c r="C6615" s="201"/>
      <c r="D6615" s="201"/>
      <c r="E6615" s="202"/>
      <c r="F6615" s="210"/>
      <c r="G6615" s="210"/>
      <c r="H6615" s="206" t="s">
        <v>121</v>
      </c>
      <c r="I6615" s="206" t="s">
        <v>121</v>
      </c>
      <c r="J6615" s="206" t="s">
        <v>121</v>
      </c>
      <c r="K6615" s="206" t="s">
        <v>121</v>
      </c>
      <c r="L6615" s="206" t="str">
        <v/>
      </c>
      <c r="M6615" s="206" t="str">
        <v/>
      </c>
    </row>
    <row r="6616" spans="1:13" ht="14.4">
      <c r="A6616" s="201"/>
      <c r="B6616" s="209"/>
      <c r="C6616" s="201"/>
      <c r="D6616" s="201"/>
      <c r="E6616" s="202"/>
      <c r="F6616" s="210"/>
      <c r="G6616" s="210"/>
      <c r="H6616" s="206" t="s">
        <v>121</v>
      </c>
      <c r="I6616" s="206" t="s">
        <v>121</v>
      </c>
      <c r="J6616" s="206" t="s">
        <v>121</v>
      </c>
      <c r="K6616" s="206" t="s">
        <v>121</v>
      </c>
      <c r="L6616" s="206" t="str">
        <v/>
      </c>
      <c r="M6616" s="206" t="str">
        <v/>
      </c>
    </row>
    <row r="6617" spans="1:13" ht="14.4">
      <c r="A6617" s="201"/>
      <c r="B6617" s="209"/>
      <c r="C6617" s="201"/>
      <c r="D6617" s="201"/>
      <c r="E6617" s="202"/>
      <c r="F6617" s="210"/>
      <c r="G6617" s="210"/>
      <c r="H6617" s="206" t="s">
        <v>121</v>
      </c>
      <c r="I6617" s="206" t="s">
        <v>121</v>
      </c>
      <c r="J6617" s="206" t="s">
        <v>121</v>
      </c>
      <c r="K6617" s="206" t="s">
        <v>121</v>
      </c>
      <c r="L6617" s="206" t="str">
        <v/>
      </c>
      <c r="M6617" s="206" t="str">
        <v/>
      </c>
    </row>
    <row r="6618" spans="1:13" ht="14.4">
      <c r="A6618" s="201"/>
      <c r="B6618" s="209"/>
      <c r="C6618" s="201"/>
      <c r="D6618" s="201"/>
      <c r="E6618" s="202"/>
      <c r="F6618" s="210"/>
      <c r="G6618" s="210"/>
      <c r="H6618" s="206" t="s">
        <v>121</v>
      </c>
      <c r="I6618" s="206" t="s">
        <v>121</v>
      </c>
      <c r="J6618" s="206" t="s">
        <v>121</v>
      </c>
      <c r="K6618" s="206" t="s">
        <v>121</v>
      </c>
      <c r="L6618" s="206" t="str">
        <v/>
      </c>
      <c r="M6618" s="206" t="str">
        <v/>
      </c>
    </row>
    <row r="6619" spans="1:13" ht="14.4">
      <c r="A6619" s="201"/>
      <c r="B6619" s="209"/>
      <c r="C6619" s="201"/>
      <c r="D6619" s="201"/>
      <c r="E6619" s="202"/>
      <c r="F6619" s="210"/>
      <c r="G6619" s="210"/>
      <c r="H6619" s="206" t="s">
        <v>121</v>
      </c>
      <c r="I6619" s="206" t="s">
        <v>121</v>
      </c>
      <c r="J6619" s="206" t="s">
        <v>121</v>
      </c>
      <c r="K6619" s="206" t="s">
        <v>121</v>
      </c>
      <c r="L6619" s="206" t="str">
        <v/>
      </c>
      <c r="M6619" s="206" t="str">
        <v/>
      </c>
    </row>
    <row r="6620" spans="1:13" ht="14.4">
      <c r="A6620" s="201"/>
      <c r="B6620" s="209"/>
      <c r="C6620" s="201"/>
      <c r="D6620" s="201"/>
      <c r="E6620" s="202"/>
      <c r="F6620" s="210"/>
      <c r="G6620" s="210"/>
      <c r="H6620" s="206" t="s">
        <v>121</v>
      </c>
      <c r="I6620" s="206" t="s">
        <v>121</v>
      </c>
      <c r="J6620" s="206" t="s">
        <v>121</v>
      </c>
      <c r="K6620" s="206" t="s">
        <v>121</v>
      </c>
      <c r="L6620" s="206" t="str">
        <v/>
      </c>
      <c r="M6620" s="206" t="str">
        <v/>
      </c>
    </row>
    <row r="6621" spans="1:13" ht="14.4">
      <c r="A6621" s="201"/>
      <c r="B6621" s="209"/>
      <c r="C6621" s="201"/>
      <c r="D6621" s="201"/>
      <c r="E6621" s="202"/>
      <c r="F6621" s="210"/>
      <c r="G6621" s="210"/>
      <c r="H6621" s="206" t="s">
        <v>121</v>
      </c>
      <c r="I6621" s="206" t="s">
        <v>121</v>
      </c>
      <c r="J6621" s="206" t="s">
        <v>121</v>
      </c>
      <c r="K6621" s="206" t="s">
        <v>121</v>
      </c>
      <c r="L6621" s="206" t="str">
        <v/>
      </c>
      <c r="M6621" s="206" t="str">
        <v/>
      </c>
    </row>
    <row r="6622" spans="1:13" ht="14.4">
      <c r="A6622" s="201"/>
      <c r="B6622" s="209"/>
      <c r="C6622" s="201"/>
      <c r="D6622" s="201"/>
      <c r="E6622" s="202"/>
      <c r="F6622" s="210"/>
      <c r="G6622" s="210"/>
      <c r="H6622" s="206" t="s">
        <v>121</v>
      </c>
      <c r="I6622" s="206" t="s">
        <v>121</v>
      </c>
      <c r="J6622" s="206" t="s">
        <v>121</v>
      </c>
      <c r="K6622" s="206" t="s">
        <v>121</v>
      </c>
      <c r="L6622" s="206" t="str">
        <v/>
      </c>
      <c r="M6622" s="206" t="str">
        <v/>
      </c>
    </row>
    <row r="6623" spans="1:13" ht="14.4">
      <c r="A6623" s="201"/>
      <c r="B6623" s="209"/>
      <c r="C6623" s="201"/>
      <c r="D6623" s="201"/>
      <c r="E6623" s="202"/>
      <c r="F6623" s="210"/>
      <c r="G6623" s="210"/>
      <c r="H6623" s="206" t="s">
        <v>121</v>
      </c>
      <c r="I6623" s="206" t="s">
        <v>121</v>
      </c>
      <c r="J6623" s="206" t="s">
        <v>121</v>
      </c>
      <c r="K6623" s="206" t="s">
        <v>121</v>
      </c>
      <c r="L6623" s="206" t="str">
        <v/>
      </c>
      <c r="M6623" s="206" t="str">
        <v/>
      </c>
    </row>
    <row r="6624" spans="1:13" ht="14.4">
      <c r="A6624" s="201"/>
      <c r="B6624" s="209"/>
      <c r="C6624" s="201"/>
      <c r="D6624" s="201"/>
      <c r="E6624" s="202"/>
      <c r="F6624" s="210"/>
      <c r="G6624" s="210"/>
      <c r="H6624" s="206" t="s">
        <v>121</v>
      </c>
      <c r="I6624" s="206" t="s">
        <v>121</v>
      </c>
      <c r="J6624" s="206" t="s">
        <v>121</v>
      </c>
      <c r="K6624" s="206" t="s">
        <v>121</v>
      </c>
      <c r="L6624" s="206" t="str">
        <v/>
      </c>
      <c r="M6624" s="206" t="str">
        <v/>
      </c>
    </row>
    <row r="6625" spans="1:13" ht="14.4">
      <c r="A6625" s="201"/>
      <c r="B6625" s="209"/>
      <c r="C6625" s="201"/>
      <c r="D6625" s="201"/>
      <c r="E6625" s="202"/>
      <c r="F6625" s="210"/>
      <c r="G6625" s="210"/>
      <c r="H6625" s="206" t="s">
        <v>121</v>
      </c>
      <c r="I6625" s="206" t="s">
        <v>121</v>
      </c>
      <c r="J6625" s="206" t="s">
        <v>121</v>
      </c>
      <c r="K6625" s="206" t="s">
        <v>121</v>
      </c>
      <c r="L6625" s="206" t="str">
        <v/>
      </c>
      <c r="M6625" s="206" t="str">
        <v/>
      </c>
    </row>
    <row r="6626" spans="1:13" ht="14.4">
      <c r="A6626" s="201"/>
      <c r="B6626" s="209"/>
      <c r="C6626" s="201"/>
      <c r="D6626" s="201"/>
      <c r="E6626" s="202"/>
      <c r="F6626" s="210"/>
      <c r="G6626" s="210"/>
      <c r="H6626" s="206" t="s">
        <v>121</v>
      </c>
      <c r="I6626" s="206" t="s">
        <v>121</v>
      </c>
      <c r="J6626" s="206" t="s">
        <v>121</v>
      </c>
      <c r="K6626" s="206" t="s">
        <v>121</v>
      </c>
      <c r="L6626" s="206" t="str">
        <v/>
      </c>
      <c r="M6626" s="206" t="str">
        <v/>
      </c>
    </row>
    <row r="6627" spans="1:13" ht="14.4">
      <c r="A6627" s="201"/>
      <c r="B6627" s="209"/>
      <c r="C6627" s="201"/>
      <c r="D6627" s="201"/>
      <c r="E6627" s="202"/>
      <c r="F6627" s="210"/>
      <c r="G6627" s="210"/>
      <c r="H6627" s="206" t="s">
        <v>121</v>
      </c>
      <c r="I6627" s="206" t="s">
        <v>121</v>
      </c>
      <c r="J6627" s="206" t="s">
        <v>121</v>
      </c>
      <c r="K6627" s="206" t="s">
        <v>121</v>
      </c>
      <c r="L6627" s="206" t="str">
        <v/>
      </c>
      <c r="M6627" s="206" t="str">
        <v/>
      </c>
    </row>
    <row r="6628" spans="1:13" ht="14.4">
      <c r="A6628" s="201"/>
      <c r="B6628" s="209"/>
      <c r="C6628" s="201"/>
      <c r="D6628" s="201"/>
      <c r="E6628" s="202"/>
      <c r="F6628" s="210"/>
      <c r="G6628" s="210"/>
      <c r="H6628" s="206" t="s">
        <v>121</v>
      </c>
      <c r="I6628" s="206" t="s">
        <v>121</v>
      </c>
      <c r="J6628" s="206" t="s">
        <v>121</v>
      </c>
      <c r="K6628" s="206" t="s">
        <v>121</v>
      </c>
      <c r="L6628" s="206" t="str">
        <v/>
      </c>
      <c r="M6628" s="206" t="str">
        <v/>
      </c>
    </row>
    <row r="6629" spans="1:13" ht="14.4">
      <c r="A6629" s="201"/>
      <c r="B6629" s="209"/>
      <c r="C6629" s="201"/>
      <c r="D6629" s="201"/>
      <c r="E6629" s="202"/>
      <c r="F6629" s="210"/>
      <c r="G6629" s="210"/>
      <c r="H6629" s="206" t="s">
        <v>121</v>
      </c>
      <c r="I6629" s="206" t="s">
        <v>121</v>
      </c>
      <c r="J6629" s="206" t="s">
        <v>121</v>
      </c>
      <c r="K6629" s="206" t="s">
        <v>121</v>
      </c>
      <c r="L6629" s="206" t="str">
        <v/>
      </c>
      <c r="M6629" s="206" t="str">
        <v/>
      </c>
    </row>
    <row r="6630" spans="1:13" ht="14.4">
      <c r="A6630" s="201"/>
      <c r="B6630" s="209"/>
      <c r="C6630" s="201"/>
      <c r="D6630" s="201"/>
      <c r="E6630" s="202"/>
      <c r="F6630" s="210"/>
      <c r="G6630" s="210"/>
      <c r="H6630" s="206" t="s">
        <v>121</v>
      </c>
      <c r="I6630" s="206" t="s">
        <v>121</v>
      </c>
      <c r="J6630" s="206" t="s">
        <v>121</v>
      </c>
      <c r="K6630" s="206" t="s">
        <v>121</v>
      </c>
      <c r="L6630" s="206" t="str">
        <v/>
      </c>
      <c r="M6630" s="206" t="str">
        <v/>
      </c>
    </row>
    <row r="6631" spans="1:13" ht="14.4">
      <c r="A6631" s="201"/>
      <c r="B6631" s="209"/>
      <c r="C6631" s="201"/>
      <c r="D6631" s="201"/>
      <c r="E6631" s="202"/>
      <c r="F6631" s="210"/>
      <c r="G6631" s="210"/>
      <c r="H6631" s="206" t="s">
        <v>121</v>
      </c>
      <c r="I6631" s="206" t="s">
        <v>121</v>
      </c>
      <c r="J6631" s="206" t="s">
        <v>121</v>
      </c>
      <c r="K6631" s="206" t="s">
        <v>121</v>
      </c>
      <c r="L6631" s="206" t="str">
        <v/>
      </c>
      <c r="M6631" s="206" t="str">
        <v/>
      </c>
    </row>
    <row r="6632" spans="1:13" ht="14.4">
      <c r="A6632" s="201"/>
      <c r="B6632" s="209"/>
      <c r="C6632" s="201"/>
      <c r="D6632" s="201"/>
      <c r="E6632" s="202"/>
      <c r="F6632" s="210"/>
      <c r="G6632" s="210"/>
      <c r="H6632" s="206" t="s">
        <v>121</v>
      </c>
      <c r="I6632" s="206" t="s">
        <v>121</v>
      </c>
      <c r="J6632" s="206" t="s">
        <v>121</v>
      </c>
      <c r="K6632" s="206" t="s">
        <v>121</v>
      </c>
      <c r="L6632" s="206" t="str">
        <v/>
      </c>
      <c r="M6632" s="206" t="str">
        <v/>
      </c>
    </row>
    <row r="6633" spans="1:13" ht="14.4">
      <c r="A6633" s="201"/>
      <c r="B6633" s="209"/>
      <c r="C6633" s="201"/>
      <c r="D6633" s="201"/>
      <c r="E6633" s="202"/>
      <c r="F6633" s="210"/>
      <c r="G6633" s="210"/>
      <c r="H6633" s="206" t="s">
        <v>121</v>
      </c>
      <c r="I6633" s="206" t="s">
        <v>121</v>
      </c>
      <c r="J6633" s="206" t="s">
        <v>121</v>
      </c>
      <c r="K6633" s="206" t="s">
        <v>121</v>
      </c>
      <c r="L6633" s="206" t="str">
        <v/>
      </c>
      <c r="M6633" s="206" t="str">
        <v/>
      </c>
    </row>
    <row r="6634" spans="1:13" ht="14.4">
      <c r="A6634" s="201"/>
      <c r="B6634" s="209"/>
      <c r="C6634" s="201"/>
      <c r="D6634" s="201"/>
      <c r="E6634" s="202"/>
      <c r="F6634" s="210"/>
      <c r="G6634" s="210"/>
      <c r="H6634" s="206" t="s">
        <v>121</v>
      </c>
      <c r="I6634" s="206" t="s">
        <v>121</v>
      </c>
      <c r="J6634" s="206" t="s">
        <v>121</v>
      </c>
      <c r="K6634" s="206" t="s">
        <v>121</v>
      </c>
      <c r="L6634" s="206" t="str">
        <v/>
      </c>
      <c r="M6634" s="206" t="str">
        <v/>
      </c>
    </row>
    <row r="6635" spans="1:13" ht="14.4">
      <c r="A6635" s="201"/>
      <c r="B6635" s="209"/>
      <c r="C6635" s="201"/>
      <c r="D6635" s="201"/>
      <c r="E6635" s="202"/>
      <c r="F6635" s="210"/>
      <c r="G6635" s="210"/>
      <c r="H6635" s="206" t="s">
        <v>121</v>
      </c>
      <c r="I6635" s="206" t="s">
        <v>121</v>
      </c>
      <c r="J6635" s="206" t="s">
        <v>121</v>
      </c>
      <c r="K6635" s="206" t="s">
        <v>121</v>
      </c>
      <c r="L6635" s="206" t="str">
        <v/>
      </c>
      <c r="M6635" s="206" t="str">
        <v/>
      </c>
    </row>
    <row r="6636" spans="1:13" ht="14.4">
      <c r="A6636" s="201"/>
      <c r="B6636" s="209"/>
      <c r="C6636" s="201"/>
      <c r="D6636" s="201"/>
      <c r="E6636" s="202"/>
      <c r="F6636" s="210"/>
      <c r="G6636" s="210"/>
      <c r="H6636" s="206" t="s">
        <v>121</v>
      </c>
      <c r="I6636" s="206" t="s">
        <v>121</v>
      </c>
      <c r="J6636" s="206" t="s">
        <v>121</v>
      </c>
      <c r="K6636" s="206" t="s">
        <v>121</v>
      </c>
      <c r="L6636" s="206" t="str">
        <v/>
      </c>
      <c r="M6636" s="206" t="str">
        <v/>
      </c>
    </row>
    <row r="6637" spans="1:13" ht="14.4">
      <c r="A6637" s="201"/>
      <c r="B6637" s="209"/>
      <c r="C6637" s="201"/>
      <c r="D6637" s="201"/>
      <c r="E6637" s="202"/>
      <c r="F6637" s="210"/>
      <c r="G6637" s="210"/>
      <c r="H6637" s="206" t="s">
        <v>121</v>
      </c>
      <c r="I6637" s="206" t="s">
        <v>121</v>
      </c>
      <c r="J6637" s="206" t="s">
        <v>121</v>
      </c>
      <c r="K6637" s="206" t="s">
        <v>121</v>
      </c>
      <c r="L6637" s="206" t="str">
        <v/>
      </c>
      <c r="M6637" s="206" t="str">
        <v/>
      </c>
    </row>
    <row r="6638" spans="1:13" ht="14.4">
      <c r="A6638" s="201"/>
      <c r="B6638" s="209"/>
      <c r="C6638" s="201"/>
      <c r="D6638" s="201"/>
      <c r="E6638" s="202"/>
      <c r="F6638" s="210"/>
      <c r="G6638" s="210"/>
      <c r="H6638" s="206" t="s">
        <v>121</v>
      </c>
      <c r="I6638" s="206" t="s">
        <v>121</v>
      </c>
      <c r="J6638" s="206" t="s">
        <v>121</v>
      </c>
      <c r="K6638" s="206" t="s">
        <v>121</v>
      </c>
      <c r="L6638" s="206" t="str">
        <v/>
      </c>
      <c r="M6638" s="206" t="str">
        <v/>
      </c>
    </row>
    <row r="6639" spans="1:13" ht="14.4">
      <c r="A6639" s="201"/>
      <c r="B6639" s="209"/>
      <c r="C6639" s="201"/>
      <c r="D6639" s="201"/>
      <c r="E6639" s="202"/>
      <c r="F6639" s="210"/>
      <c r="G6639" s="210"/>
      <c r="H6639" s="206" t="s">
        <v>121</v>
      </c>
      <c r="I6639" s="206" t="s">
        <v>121</v>
      </c>
      <c r="J6639" s="206" t="s">
        <v>121</v>
      </c>
      <c r="K6639" s="206" t="s">
        <v>121</v>
      </c>
      <c r="L6639" s="206" t="str">
        <v/>
      </c>
      <c r="M6639" s="206" t="str">
        <v/>
      </c>
    </row>
    <row r="6640" spans="1:13" ht="14.4">
      <c r="A6640" s="201"/>
      <c r="B6640" s="209"/>
      <c r="C6640" s="201"/>
      <c r="D6640" s="201"/>
      <c r="E6640" s="202"/>
      <c r="F6640" s="210"/>
      <c r="G6640" s="210"/>
      <c r="H6640" s="206" t="s">
        <v>121</v>
      </c>
      <c r="I6640" s="206" t="s">
        <v>121</v>
      </c>
      <c r="J6640" s="206" t="s">
        <v>121</v>
      </c>
      <c r="K6640" s="206" t="s">
        <v>121</v>
      </c>
      <c r="L6640" s="206" t="str">
        <v/>
      </c>
      <c r="M6640" s="206" t="str">
        <v/>
      </c>
    </row>
    <row r="6641" spans="1:13" ht="14.4">
      <c r="A6641" s="201"/>
      <c r="B6641" s="209"/>
      <c r="C6641" s="201"/>
      <c r="D6641" s="201"/>
      <c r="E6641" s="202"/>
      <c r="F6641" s="210"/>
      <c r="G6641" s="210"/>
      <c r="H6641" s="206" t="s">
        <v>121</v>
      </c>
      <c r="I6641" s="206" t="s">
        <v>121</v>
      </c>
      <c r="J6641" s="206" t="s">
        <v>121</v>
      </c>
      <c r="K6641" s="206" t="s">
        <v>121</v>
      </c>
      <c r="L6641" s="206" t="str">
        <v/>
      </c>
      <c r="M6641" s="206" t="str">
        <v/>
      </c>
    </row>
    <row r="6642" spans="1:13" ht="14.4">
      <c r="A6642" s="201"/>
      <c r="B6642" s="209"/>
      <c r="C6642" s="201"/>
      <c r="D6642" s="201"/>
      <c r="E6642" s="202"/>
      <c r="F6642" s="210"/>
      <c r="G6642" s="210"/>
      <c r="H6642" s="206" t="s">
        <v>121</v>
      </c>
      <c r="I6642" s="206" t="s">
        <v>121</v>
      </c>
      <c r="J6642" s="206" t="s">
        <v>121</v>
      </c>
      <c r="K6642" s="206" t="s">
        <v>121</v>
      </c>
      <c r="L6642" s="206" t="str">
        <v/>
      </c>
      <c r="M6642" s="206" t="str">
        <v/>
      </c>
    </row>
    <row r="6643" spans="1:13" ht="14.4">
      <c r="A6643" s="201"/>
      <c r="B6643" s="209"/>
      <c r="C6643" s="201"/>
      <c r="D6643" s="201"/>
      <c r="E6643" s="202"/>
      <c r="F6643" s="210"/>
      <c r="G6643" s="210"/>
      <c r="H6643" s="206" t="s">
        <v>121</v>
      </c>
      <c r="I6643" s="206" t="s">
        <v>121</v>
      </c>
      <c r="J6643" s="206" t="s">
        <v>121</v>
      </c>
      <c r="K6643" s="206" t="s">
        <v>121</v>
      </c>
      <c r="L6643" s="206" t="str">
        <v/>
      </c>
      <c r="M6643" s="206" t="str">
        <v/>
      </c>
    </row>
    <row r="6644" spans="1:13" ht="14.4">
      <c r="A6644" s="201"/>
      <c r="B6644" s="209"/>
      <c r="C6644" s="201"/>
      <c r="D6644" s="201"/>
      <c r="E6644" s="202"/>
      <c r="F6644" s="210"/>
      <c r="G6644" s="210"/>
      <c r="H6644" s="206" t="s">
        <v>121</v>
      </c>
      <c r="I6644" s="206" t="s">
        <v>121</v>
      </c>
      <c r="J6644" s="206" t="s">
        <v>121</v>
      </c>
      <c r="K6644" s="206" t="s">
        <v>121</v>
      </c>
      <c r="L6644" s="206" t="str">
        <v/>
      </c>
      <c r="M6644" s="206" t="str">
        <v/>
      </c>
    </row>
    <row r="6645" spans="1:13" ht="14.4">
      <c r="A6645" s="201"/>
      <c r="B6645" s="209"/>
      <c r="C6645" s="201"/>
      <c r="D6645" s="201"/>
      <c r="E6645" s="202"/>
      <c r="F6645" s="210"/>
      <c r="G6645" s="210"/>
      <c r="H6645" s="206" t="s">
        <v>121</v>
      </c>
      <c r="I6645" s="206" t="s">
        <v>121</v>
      </c>
      <c r="J6645" s="206" t="s">
        <v>121</v>
      </c>
      <c r="K6645" s="206" t="s">
        <v>121</v>
      </c>
      <c r="L6645" s="206" t="str">
        <v/>
      </c>
      <c r="M6645" s="206" t="str">
        <v/>
      </c>
    </row>
    <row r="6646" spans="1:13" ht="14.4">
      <c r="A6646" s="201"/>
      <c r="B6646" s="209"/>
      <c r="C6646" s="201"/>
      <c r="D6646" s="201"/>
      <c r="E6646" s="202"/>
      <c r="F6646" s="210"/>
      <c r="G6646" s="210"/>
      <c r="H6646" s="206" t="s">
        <v>121</v>
      </c>
      <c r="I6646" s="206" t="s">
        <v>121</v>
      </c>
      <c r="J6646" s="206" t="s">
        <v>121</v>
      </c>
      <c r="K6646" s="206" t="s">
        <v>121</v>
      </c>
      <c r="L6646" s="206" t="str">
        <v/>
      </c>
      <c r="M6646" s="206" t="str">
        <v/>
      </c>
    </row>
    <row r="6647" spans="1:13" ht="14.4">
      <c r="A6647" s="201"/>
      <c r="B6647" s="209"/>
      <c r="C6647" s="201"/>
      <c r="D6647" s="201"/>
      <c r="E6647" s="202"/>
      <c r="F6647" s="210"/>
      <c r="G6647" s="210"/>
      <c r="H6647" s="206" t="s">
        <v>121</v>
      </c>
      <c r="I6647" s="206" t="s">
        <v>121</v>
      </c>
      <c r="J6647" s="206" t="s">
        <v>121</v>
      </c>
      <c r="K6647" s="206" t="s">
        <v>121</v>
      </c>
      <c r="L6647" s="206" t="str">
        <v/>
      </c>
      <c r="M6647" s="206" t="str">
        <v/>
      </c>
    </row>
    <row r="6648" spans="1:13" ht="14.4">
      <c r="A6648" s="201"/>
      <c r="B6648" s="209"/>
      <c r="C6648" s="201"/>
      <c r="D6648" s="201"/>
      <c r="E6648" s="202"/>
      <c r="F6648" s="210"/>
      <c r="G6648" s="210"/>
      <c r="H6648" s="206" t="s">
        <v>121</v>
      </c>
      <c r="I6648" s="206" t="s">
        <v>121</v>
      </c>
      <c r="J6648" s="206" t="s">
        <v>121</v>
      </c>
      <c r="K6648" s="206" t="s">
        <v>121</v>
      </c>
      <c r="L6648" s="206" t="str">
        <v/>
      </c>
      <c r="M6648" s="206" t="str">
        <v/>
      </c>
    </row>
    <row r="6649" spans="1:13" ht="14.4">
      <c r="A6649" s="201"/>
      <c r="B6649" s="209"/>
      <c r="C6649" s="201"/>
      <c r="D6649" s="201"/>
      <c r="E6649" s="202"/>
      <c r="F6649" s="210"/>
      <c r="G6649" s="210"/>
      <c r="H6649" s="206" t="s">
        <v>121</v>
      </c>
      <c r="I6649" s="206" t="s">
        <v>121</v>
      </c>
      <c r="J6649" s="206" t="s">
        <v>121</v>
      </c>
      <c r="K6649" s="206" t="s">
        <v>121</v>
      </c>
      <c r="L6649" s="206" t="str">
        <v/>
      </c>
      <c r="M6649" s="206" t="str">
        <v/>
      </c>
    </row>
    <row r="6650" spans="1:13" ht="14.4">
      <c r="A6650" s="201"/>
      <c r="B6650" s="209"/>
      <c r="C6650" s="201"/>
      <c r="D6650" s="201"/>
      <c r="E6650" s="202"/>
      <c r="F6650" s="210"/>
      <c r="G6650" s="210"/>
      <c r="H6650" s="206" t="s">
        <v>121</v>
      </c>
      <c r="I6650" s="206" t="s">
        <v>121</v>
      </c>
      <c r="J6650" s="206" t="s">
        <v>121</v>
      </c>
      <c r="K6650" s="206" t="s">
        <v>121</v>
      </c>
      <c r="L6650" s="206" t="str">
        <v/>
      </c>
      <c r="M6650" s="206" t="str">
        <v/>
      </c>
    </row>
    <row r="6651" spans="1:13" ht="14.4">
      <c r="A6651" s="201"/>
      <c r="B6651" s="209"/>
      <c r="C6651" s="201"/>
      <c r="D6651" s="201"/>
      <c r="E6651" s="202"/>
      <c r="F6651" s="210"/>
      <c r="G6651" s="210"/>
      <c r="H6651" s="206" t="s">
        <v>121</v>
      </c>
      <c r="I6651" s="206" t="s">
        <v>121</v>
      </c>
      <c r="J6651" s="206" t="s">
        <v>121</v>
      </c>
      <c r="K6651" s="206" t="s">
        <v>121</v>
      </c>
      <c r="L6651" s="206" t="str">
        <v/>
      </c>
      <c r="M6651" s="206" t="str">
        <v/>
      </c>
    </row>
    <row r="6652" spans="1:13" ht="14.4">
      <c r="A6652" s="201"/>
      <c r="B6652" s="209"/>
      <c r="C6652" s="201"/>
      <c r="D6652" s="201"/>
      <c r="E6652" s="202"/>
      <c r="F6652" s="210"/>
      <c r="G6652" s="210"/>
      <c r="H6652" s="206" t="s">
        <v>121</v>
      </c>
      <c r="I6652" s="206" t="s">
        <v>121</v>
      </c>
      <c r="J6652" s="206" t="s">
        <v>121</v>
      </c>
      <c r="K6652" s="206" t="s">
        <v>121</v>
      </c>
      <c r="L6652" s="206" t="str">
        <v/>
      </c>
      <c r="M6652" s="206" t="str">
        <v/>
      </c>
    </row>
    <row r="6653" spans="1:13" ht="14.4">
      <c r="A6653" s="201"/>
      <c r="B6653" s="209"/>
      <c r="C6653" s="201"/>
      <c r="D6653" s="201"/>
      <c r="E6653" s="202"/>
      <c r="F6653" s="210"/>
      <c r="G6653" s="210"/>
      <c r="H6653" s="206" t="s">
        <v>121</v>
      </c>
      <c r="I6653" s="206" t="s">
        <v>121</v>
      </c>
      <c r="J6653" s="206" t="s">
        <v>121</v>
      </c>
      <c r="K6653" s="206" t="s">
        <v>121</v>
      </c>
      <c r="L6653" s="206" t="str">
        <v/>
      </c>
      <c r="M6653" s="206" t="str">
        <v/>
      </c>
    </row>
    <row r="6654" spans="1:13" ht="14.4">
      <c r="A6654" s="201"/>
      <c r="B6654" s="209"/>
      <c r="C6654" s="201"/>
      <c r="D6654" s="201"/>
      <c r="E6654" s="202"/>
      <c r="F6654" s="210"/>
      <c r="G6654" s="210"/>
      <c r="H6654" s="206" t="s">
        <v>121</v>
      </c>
      <c r="I6654" s="206" t="s">
        <v>121</v>
      </c>
      <c r="J6654" s="206" t="s">
        <v>121</v>
      </c>
      <c r="K6654" s="206" t="s">
        <v>121</v>
      </c>
      <c r="L6654" s="206" t="str">
        <v/>
      </c>
      <c r="M6654" s="206" t="str">
        <v/>
      </c>
    </row>
    <row r="6655" spans="1:13" ht="14.4">
      <c r="A6655" s="201"/>
      <c r="B6655" s="209"/>
      <c r="C6655" s="201"/>
      <c r="D6655" s="201"/>
      <c r="E6655" s="202"/>
      <c r="F6655" s="210"/>
      <c r="G6655" s="210"/>
      <c r="H6655" s="206" t="s">
        <v>121</v>
      </c>
      <c r="I6655" s="206" t="s">
        <v>121</v>
      </c>
      <c r="J6655" s="206" t="s">
        <v>121</v>
      </c>
      <c r="K6655" s="206" t="s">
        <v>121</v>
      </c>
      <c r="L6655" s="206" t="str">
        <v/>
      </c>
      <c r="M6655" s="206" t="str">
        <v/>
      </c>
    </row>
    <row r="6656" spans="1:13" ht="14.4">
      <c r="A6656" s="201"/>
      <c r="B6656" s="209"/>
      <c r="C6656" s="201"/>
      <c r="D6656" s="201"/>
      <c r="E6656" s="202"/>
      <c r="F6656" s="210"/>
      <c r="G6656" s="210"/>
      <c r="H6656" s="206" t="s">
        <v>121</v>
      </c>
      <c r="I6656" s="206" t="s">
        <v>121</v>
      </c>
      <c r="J6656" s="206" t="s">
        <v>121</v>
      </c>
      <c r="K6656" s="206" t="s">
        <v>121</v>
      </c>
      <c r="L6656" s="206" t="str">
        <v/>
      </c>
      <c r="M6656" s="206" t="str">
        <v/>
      </c>
    </row>
    <row r="6657" spans="1:13" ht="14.4">
      <c r="A6657" s="201"/>
      <c r="B6657" s="209"/>
      <c r="C6657" s="201"/>
      <c r="D6657" s="201"/>
      <c r="E6657" s="202"/>
      <c r="F6657" s="210"/>
      <c r="G6657" s="210"/>
      <c r="H6657" s="206" t="s">
        <v>121</v>
      </c>
      <c r="I6657" s="206" t="s">
        <v>121</v>
      </c>
      <c r="J6657" s="206" t="s">
        <v>121</v>
      </c>
      <c r="K6657" s="206" t="s">
        <v>121</v>
      </c>
      <c r="L6657" s="206" t="str">
        <v/>
      </c>
      <c r="M6657" s="206" t="str">
        <v/>
      </c>
    </row>
    <row r="6658" spans="1:13" ht="14.4">
      <c r="A6658" s="201"/>
      <c r="B6658" s="209"/>
      <c r="C6658" s="201"/>
      <c r="D6658" s="201"/>
      <c r="E6658" s="202"/>
      <c r="F6658" s="210"/>
      <c r="G6658" s="210"/>
      <c r="H6658" s="206" t="s">
        <v>121</v>
      </c>
      <c r="I6658" s="206" t="s">
        <v>121</v>
      </c>
      <c r="J6658" s="206" t="s">
        <v>121</v>
      </c>
      <c r="K6658" s="206" t="s">
        <v>121</v>
      </c>
      <c r="L6658" s="206" t="str">
        <v/>
      </c>
      <c r="M6658" s="206" t="str">
        <v/>
      </c>
    </row>
    <row r="6659" spans="1:13" ht="14.4">
      <c r="A6659" s="201"/>
      <c r="B6659" s="209"/>
      <c r="C6659" s="201"/>
      <c r="D6659" s="201"/>
      <c r="E6659" s="202"/>
      <c r="F6659" s="210"/>
      <c r="G6659" s="210"/>
      <c r="H6659" s="206" t="s">
        <v>121</v>
      </c>
      <c r="I6659" s="206" t="s">
        <v>121</v>
      </c>
      <c r="J6659" s="206" t="s">
        <v>121</v>
      </c>
      <c r="K6659" s="206" t="s">
        <v>121</v>
      </c>
      <c r="L6659" s="206" t="str">
        <v/>
      </c>
      <c r="M6659" s="206" t="str">
        <v/>
      </c>
    </row>
    <row r="6660" spans="1:13" ht="14.4">
      <c r="A6660" s="201"/>
      <c r="B6660" s="209"/>
      <c r="C6660" s="201"/>
      <c r="D6660" s="201"/>
      <c r="E6660" s="202"/>
      <c r="F6660" s="210"/>
      <c r="G6660" s="210"/>
      <c r="H6660" s="206" t="s">
        <v>121</v>
      </c>
      <c r="I6660" s="206" t="s">
        <v>121</v>
      </c>
      <c r="J6660" s="206" t="s">
        <v>121</v>
      </c>
      <c r="K6660" s="206" t="s">
        <v>121</v>
      </c>
      <c r="L6660" s="206" t="str">
        <v/>
      </c>
      <c r="M6660" s="206" t="str">
        <v/>
      </c>
    </row>
    <row r="6661" spans="1:13" ht="14.4">
      <c r="A6661" s="201"/>
      <c r="B6661" s="209"/>
      <c r="C6661" s="201"/>
      <c r="D6661" s="201"/>
      <c r="E6661" s="202"/>
      <c r="F6661" s="210"/>
      <c r="G6661" s="210"/>
      <c r="H6661" s="206" t="s">
        <v>121</v>
      </c>
      <c r="I6661" s="206" t="s">
        <v>121</v>
      </c>
      <c r="J6661" s="206" t="s">
        <v>121</v>
      </c>
      <c r="K6661" s="206" t="s">
        <v>121</v>
      </c>
      <c r="L6661" s="206" t="str">
        <v/>
      </c>
      <c r="M6661" s="206" t="str">
        <v/>
      </c>
    </row>
    <row r="6662" spans="1:13" ht="14.4">
      <c r="A6662" s="201"/>
      <c r="B6662" s="209"/>
      <c r="C6662" s="201"/>
      <c r="D6662" s="201"/>
      <c r="E6662" s="202"/>
      <c r="F6662" s="210"/>
      <c r="G6662" s="210"/>
      <c r="H6662" s="206" t="s">
        <v>121</v>
      </c>
      <c r="I6662" s="206" t="s">
        <v>121</v>
      </c>
      <c r="J6662" s="206" t="s">
        <v>121</v>
      </c>
      <c r="K6662" s="206" t="s">
        <v>121</v>
      </c>
      <c r="L6662" s="206" t="str">
        <v/>
      </c>
      <c r="M6662" s="206" t="str">
        <v/>
      </c>
    </row>
    <row r="6663" spans="1:13" ht="14.4">
      <c r="A6663" s="201"/>
      <c r="B6663" s="209"/>
      <c r="C6663" s="201"/>
      <c r="D6663" s="201"/>
      <c r="E6663" s="202"/>
      <c r="F6663" s="210"/>
      <c r="G6663" s="210"/>
      <c r="H6663" s="206" t="s">
        <v>121</v>
      </c>
      <c r="I6663" s="206" t="s">
        <v>121</v>
      </c>
      <c r="J6663" s="206" t="s">
        <v>121</v>
      </c>
      <c r="K6663" s="206" t="s">
        <v>121</v>
      </c>
      <c r="L6663" s="206" t="str">
        <v/>
      </c>
      <c r="M6663" s="206" t="str">
        <v/>
      </c>
    </row>
    <row r="6664" spans="1:13" ht="14.4">
      <c r="A6664" s="201"/>
      <c r="B6664" s="209"/>
      <c r="C6664" s="201"/>
      <c r="D6664" s="201"/>
      <c r="E6664" s="202"/>
      <c r="F6664" s="210"/>
      <c r="G6664" s="210"/>
      <c r="H6664" s="206" t="s">
        <v>121</v>
      </c>
      <c r="I6664" s="206" t="s">
        <v>121</v>
      </c>
      <c r="J6664" s="206" t="s">
        <v>121</v>
      </c>
      <c r="K6664" s="206" t="s">
        <v>121</v>
      </c>
      <c r="L6664" s="206" t="str">
        <v/>
      </c>
      <c r="M6664" s="206" t="str">
        <v/>
      </c>
    </row>
    <row r="6665" spans="1:13" ht="14.4">
      <c r="A6665" s="201"/>
      <c r="B6665" s="209"/>
      <c r="C6665" s="201"/>
      <c r="D6665" s="201"/>
      <c r="E6665" s="202"/>
      <c r="F6665" s="210"/>
      <c r="G6665" s="210"/>
      <c r="H6665" s="206" t="s">
        <v>121</v>
      </c>
      <c r="I6665" s="206" t="s">
        <v>121</v>
      </c>
      <c r="J6665" s="206" t="s">
        <v>121</v>
      </c>
      <c r="K6665" s="206" t="s">
        <v>121</v>
      </c>
      <c r="L6665" s="206" t="str">
        <v/>
      </c>
      <c r="M6665" s="206" t="str">
        <v/>
      </c>
    </row>
    <row r="6666" spans="1:13" ht="14.4">
      <c r="A6666" s="201"/>
      <c r="B6666" s="209"/>
      <c r="C6666" s="201"/>
      <c r="D6666" s="201"/>
      <c r="E6666" s="202"/>
      <c r="F6666" s="210"/>
      <c r="G6666" s="210"/>
      <c r="H6666" s="206" t="s">
        <v>121</v>
      </c>
      <c r="I6666" s="206" t="s">
        <v>121</v>
      </c>
      <c r="J6666" s="206" t="s">
        <v>121</v>
      </c>
      <c r="K6666" s="206" t="s">
        <v>121</v>
      </c>
      <c r="L6666" s="206" t="str">
        <v/>
      </c>
      <c r="M6666" s="206" t="str">
        <v/>
      </c>
    </row>
    <row r="6667" spans="1:13" ht="14.4">
      <c r="A6667" s="201"/>
      <c r="B6667" s="209"/>
      <c r="C6667" s="201"/>
      <c r="D6667" s="201"/>
      <c r="E6667" s="202"/>
      <c r="F6667" s="210"/>
      <c r="G6667" s="210"/>
      <c r="H6667" s="206" t="s">
        <v>121</v>
      </c>
      <c r="I6667" s="206" t="s">
        <v>121</v>
      </c>
      <c r="J6667" s="206" t="s">
        <v>121</v>
      </c>
      <c r="K6667" s="206" t="s">
        <v>121</v>
      </c>
      <c r="L6667" s="206" t="str">
        <v/>
      </c>
      <c r="M6667" s="206" t="str">
        <v/>
      </c>
    </row>
    <row r="6668" spans="1:13" ht="14.4">
      <c r="A6668" s="201"/>
      <c r="B6668" s="209"/>
      <c r="C6668" s="201"/>
      <c r="D6668" s="201"/>
      <c r="E6668" s="202"/>
      <c r="F6668" s="210"/>
      <c r="G6668" s="210"/>
      <c r="H6668" s="206" t="s">
        <v>121</v>
      </c>
      <c r="I6668" s="206" t="s">
        <v>121</v>
      </c>
      <c r="J6668" s="206" t="s">
        <v>121</v>
      </c>
      <c r="K6668" s="206" t="s">
        <v>121</v>
      </c>
      <c r="L6668" s="206" t="str">
        <v/>
      </c>
      <c r="M6668" s="206" t="str">
        <v/>
      </c>
    </row>
    <row r="6669" spans="1:13" ht="14.4">
      <c r="A6669" s="201"/>
      <c r="B6669" s="209"/>
      <c r="C6669" s="201"/>
      <c r="D6669" s="201"/>
      <c r="E6669" s="202"/>
      <c r="F6669" s="210"/>
      <c r="G6669" s="210"/>
      <c r="H6669" s="206" t="s">
        <v>121</v>
      </c>
      <c r="I6669" s="206" t="s">
        <v>121</v>
      </c>
      <c r="J6669" s="206" t="s">
        <v>121</v>
      </c>
      <c r="K6669" s="206" t="s">
        <v>121</v>
      </c>
      <c r="L6669" s="206" t="str">
        <v/>
      </c>
      <c r="M6669" s="206" t="str">
        <v/>
      </c>
    </row>
    <row r="6670" spans="1:13" ht="14.4">
      <c r="A6670" s="201"/>
      <c r="B6670" s="209"/>
      <c r="C6670" s="201"/>
      <c r="D6670" s="201"/>
      <c r="E6670" s="202"/>
      <c r="F6670" s="210"/>
      <c r="G6670" s="210"/>
      <c r="H6670" s="206" t="s">
        <v>121</v>
      </c>
      <c r="I6670" s="206" t="s">
        <v>121</v>
      </c>
      <c r="J6670" s="206" t="s">
        <v>121</v>
      </c>
      <c r="K6670" s="206" t="s">
        <v>121</v>
      </c>
      <c r="L6670" s="206" t="str">
        <v/>
      </c>
      <c r="M6670" s="206" t="str">
        <v/>
      </c>
    </row>
    <row r="6671" spans="1:13" ht="14.4">
      <c r="A6671" s="201"/>
      <c r="B6671" s="209"/>
      <c r="C6671" s="201"/>
      <c r="D6671" s="201"/>
      <c r="E6671" s="202"/>
      <c r="F6671" s="210"/>
      <c r="G6671" s="210"/>
      <c r="H6671" s="206" t="s">
        <v>121</v>
      </c>
      <c r="I6671" s="206" t="s">
        <v>121</v>
      </c>
      <c r="J6671" s="206" t="s">
        <v>121</v>
      </c>
      <c r="K6671" s="206" t="s">
        <v>121</v>
      </c>
      <c r="L6671" s="206" t="str">
        <v/>
      </c>
      <c r="M6671" s="206" t="str">
        <v/>
      </c>
    </row>
    <row r="6672" spans="1:13" ht="14.4">
      <c r="A6672" s="201"/>
      <c r="B6672" s="209"/>
      <c r="C6672" s="201"/>
      <c r="D6672" s="201"/>
      <c r="E6672" s="202"/>
      <c r="F6672" s="210"/>
      <c r="G6672" s="210"/>
      <c r="H6672" s="206" t="s">
        <v>121</v>
      </c>
      <c r="I6672" s="206" t="s">
        <v>121</v>
      </c>
      <c r="J6672" s="206" t="s">
        <v>121</v>
      </c>
      <c r="K6672" s="206" t="s">
        <v>121</v>
      </c>
      <c r="L6672" s="206" t="str">
        <v/>
      </c>
      <c r="M6672" s="206" t="str">
        <v/>
      </c>
    </row>
    <row r="6673" spans="1:13" ht="14.4">
      <c r="A6673" s="201"/>
      <c r="B6673" s="209"/>
      <c r="C6673" s="201"/>
      <c r="D6673" s="201"/>
      <c r="E6673" s="202"/>
      <c r="F6673" s="210"/>
      <c r="G6673" s="210"/>
      <c r="H6673" s="206" t="s">
        <v>121</v>
      </c>
      <c r="I6673" s="206" t="s">
        <v>121</v>
      </c>
      <c r="J6673" s="206" t="s">
        <v>121</v>
      </c>
      <c r="K6673" s="206" t="s">
        <v>121</v>
      </c>
      <c r="L6673" s="206" t="str">
        <v/>
      </c>
      <c r="M6673" s="206" t="str">
        <v/>
      </c>
    </row>
    <row r="6674" spans="1:13" ht="14.4">
      <c r="A6674" s="201"/>
      <c r="B6674" s="209"/>
      <c r="C6674" s="201"/>
      <c r="D6674" s="201"/>
      <c r="E6674" s="202"/>
      <c r="F6674" s="210"/>
      <c r="G6674" s="210"/>
      <c r="H6674" s="206" t="s">
        <v>121</v>
      </c>
      <c r="I6674" s="206" t="s">
        <v>121</v>
      </c>
      <c r="J6674" s="206" t="s">
        <v>121</v>
      </c>
      <c r="K6674" s="206" t="s">
        <v>121</v>
      </c>
      <c r="L6674" s="206" t="str">
        <v/>
      </c>
      <c r="M6674" s="206" t="str">
        <v/>
      </c>
    </row>
    <row r="6675" spans="1:13" ht="14.4">
      <c r="A6675" s="201"/>
      <c r="B6675" s="209"/>
      <c r="C6675" s="201"/>
      <c r="D6675" s="201"/>
      <c r="E6675" s="202"/>
      <c r="F6675" s="210"/>
      <c r="G6675" s="210"/>
      <c r="H6675" s="206" t="s">
        <v>121</v>
      </c>
      <c r="I6675" s="206" t="s">
        <v>121</v>
      </c>
      <c r="J6675" s="206" t="s">
        <v>121</v>
      </c>
      <c r="K6675" s="206" t="s">
        <v>121</v>
      </c>
      <c r="L6675" s="206" t="str">
        <v/>
      </c>
      <c r="M6675" s="206" t="str">
        <v/>
      </c>
    </row>
    <row r="6676" spans="1:13" ht="14.4">
      <c r="A6676" s="201"/>
      <c r="B6676" s="209"/>
      <c r="C6676" s="201"/>
      <c r="D6676" s="201"/>
      <c r="E6676" s="202"/>
      <c r="F6676" s="210"/>
      <c r="G6676" s="210"/>
      <c r="H6676" s="206" t="s">
        <v>121</v>
      </c>
      <c r="I6676" s="206" t="s">
        <v>121</v>
      </c>
      <c r="J6676" s="206" t="s">
        <v>121</v>
      </c>
      <c r="K6676" s="206" t="s">
        <v>121</v>
      </c>
      <c r="L6676" s="206" t="str">
        <v/>
      </c>
      <c r="M6676" s="206" t="str">
        <v/>
      </c>
    </row>
    <row r="6677" spans="1:13" ht="14.4">
      <c r="A6677" s="201"/>
      <c r="B6677" s="209"/>
      <c r="C6677" s="201"/>
      <c r="D6677" s="201"/>
      <c r="E6677" s="202"/>
      <c r="F6677" s="210"/>
      <c r="G6677" s="210"/>
      <c r="H6677" s="206" t="s">
        <v>121</v>
      </c>
      <c r="I6677" s="206" t="s">
        <v>121</v>
      </c>
      <c r="J6677" s="206" t="s">
        <v>121</v>
      </c>
      <c r="K6677" s="206" t="s">
        <v>121</v>
      </c>
      <c r="L6677" s="206" t="str">
        <v/>
      </c>
      <c r="M6677" s="206" t="str">
        <v/>
      </c>
    </row>
    <row r="6678" spans="1:13" ht="14.4">
      <c r="A6678" s="201"/>
      <c r="B6678" s="209"/>
      <c r="C6678" s="201"/>
      <c r="D6678" s="201"/>
      <c r="E6678" s="202"/>
      <c r="F6678" s="210"/>
      <c r="G6678" s="210"/>
      <c r="H6678" s="206" t="s">
        <v>121</v>
      </c>
      <c r="I6678" s="206" t="s">
        <v>121</v>
      </c>
      <c r="J6678" s="206" t="s">
        <v>121</v>
      </c>
      <c r="K6678" s="206" t="s">
        <v>121</v>
      </c>
      <c r="L6678" s="206" t="str">
        <v/>
      </c>
      <c r="M6678" s="206" t="str">
        <v/>
      </c>
    </row>
    <row r="6679" spans="1:13" ht="14.4">
      <c r="A6679" s="201"/>
      <c r="B6679" s="209"/>
      <c r="C6679" s="201"/>
      <c r="D6679" s="201"/>
      <c r="E6679" s="202"/>
      <c r="F6679" s="210"/>
      <c r="G6679" s="210"/>
      <c r="H6679" s="206" t="s">
        <v>121</v>
      </c>
      <c r="I6679" s="206" t="s">
        <v>121</v>
      </c>
      <c r="J6679" s="206" t="s">
        <v>121</v>
      </c>
      <c r="K6679" s="206" t="s">
        <v>121</v>
      </c>
      <c r="L6679" s="206" t="str">
        <v/>
      </c>
      <c r="M6679" s="206" t="str">
        <v/>
      </c>
    </row>
    <row r="6680" spans="1:13" ht="14.4">
      <c r="A6680" s="201"/>
      <c r="B6680" s="209"/>
      <c r="C6680" s="201"/>
      <c r="D6680" s="201"/>
      <c r="E6680" s="202"/>
      <c r="F6680" s="210"/>
      <c r="G6680" s="210"/>
      <c r="H6680" s="206" t="s">
        <v>121</v>
      </c>
      <c r="I6680" s="206" t="s">
        <v>121</v>
      </c>
      <c r="J6680" s="206" t="s">
        <v>121</v>
      </c>
      <c r="K6680" s="206" t="s">
        <v>121</v>
      </c>
      <c r="L6680" s="206" t="str">
        <v/>
      </c>
      <c r="M6680" s="206" t="str">
        <v/>
      </c>
    </row>
    <row r="6681" spans="1:13" ht="14.4">
      <c r="A6681" s="201"/>
      <c r="B6681" s="209"/>
      <c r="C6681" s="201"/>
      <c r="D6681" s="201"/>
      <c r="E6681" s="202"/>
      <c r="F6681" s="210"/>
      <c r="G6681" s="210"/>
      <c r="H6681" s="206" t="s">
        <v>121</v>
      </c>
      <c r="I6681" s="206" t="s">
        <v>121</v>
      </c>
      <c r="J6681" s="206" t="s">
        <v>121</v>
      </c>
      <c r="K6681" s="206" t="s">
        <v>121</v>
      </c>
      <c r="L6681" s="206" t="str">
        <v/>
      </c>
      <c r="M6681" s="206" t="str">
        <v/>
      </c>
    </row>
    <row r="6682" spans="1:13" ht="14.4">
      <c r="A6682" s="201"/>
      <c r="B6682" s="209"/>
      <c r="C6682" s="201"/>
      <c r="D6682" s="201"/>
      <c r="E6682" s="202"/>
      <c r="F6682" s="210"/>
      <c r="G6682" s="210"/>
      <c r="H6682" s="206" t="s">
        <v>121</v>
      </c>
      <c r="I6682" s="206" t="s">
        <v>121</v>
      </c>
      <c r="J6682" s="206" t="s">
        <v>121</v>
      </c>
      <c r="K6682" s="206" t="s">
        <v>121</v>
      </c>
      <c r="L6682" s="206" t="str">
        <v/>
      </c>
      <c r="M6682" s="206" t="str">
        <v/>
      </c>
    </row>
    <row r="6683" spans="1:13" ht="14.4">
      <c r="A6683" s="201"/>
      <c r="B6683" s="209"/>
      <c r="C6683" s="201"/>
      <c r="D6683" s="201"/>
      <c r="E6683" s="202"/>
      <c r="F6683" s="210"/>
      <c r="G6683" s="210"/>
      <c r="H6683" s="206" t="s">
        <v>121</v>
      </c>
      <c r="I6683" s="206" t="s">
        <v>121</v>
      </c>
      <c r="J6683" s="206" t="s">
        <v>121</v>
      </c>
      <c r="K6683" s="206" t="s">
        <v>121</v>
      </c>
      <c r="L6683" s="206" t="str">
        <v/>
      </c>
      <c r="M6683" s="206" t="str">
        <v/>
      </c>
    </row>
    <row r="6684" spans="1:13" ht="14.4">
      <c r="A6684" s="201"/>
      <c r="B6684" s="209"/>
      <c r="C6684" s="201"/>
      <c r="D6684" s="201"/>
      <c r="E6684" s="202"/>
      <c r="F6684" s="210"/>
      <c r="G6684" s="210"/>
      <c r="H6684" s="206" t="s">
        <v>121</v>
      </c>
      <c r="I6684" s="206" t="s">
        <v>121</v>
      </c>
      <c r="J6684" s="206" t="s">
        <v>121</v>
      </c>
      <c r="K6684" s="206" t="s">
        <v>121</v>
      </c>
      <c r="L6684" s="206" t="str">
        <v/>
      </c>
      <c r="M6684" s="206" t="str">
        <v/>
      </c>
    </row>
    <row r="6685" spans="1:13" ht="14.4">
      <c r="A6685" s="201"/>
      <c r="B6685" s="209"/>
      <c r="C6685" s="201"/>
      <c r="D6685" s="201"/>
      <c r="E6685" s="202"/>
      <c r="F6685" s="210"/>
      <c r="G6685" s="210"/>
      <c r="H6685" s="206" t="s">
        <v>121</v>
      </c>
      <c r="I6685" s="206" t="s">
        <v>121</v>
      </c>
      <c r="J6685" s="206" t="s">
        <v>121</v>
      </c>
      <c r="K6685" s="206" t="s">
        <v>121</v>
      </c>
      <c r="L6685" s="206" t="str">
        <v/>
      </c>
      <c r="M6685" s="206" t="str">
        <v/>
      </c>
    </row>
    <row r="6686" spans="1:13" ht="14.4">
      <c r="A6686" s="201"/>
      <c r="B6686" s="209"/>
      <c r="C6686" s="201"/>
      <c r="D6686" s="201"/>
      <c r="E6686" s="202"/>
      <c r="F6686" s="210"/>
      <c r="G6686" s="210"/>
      <c r="H6686" s="206" t="s">
        <v>121</v>
      </c>
      <c r="I6686" s="206" t="s">
        <v>121</v>
      </c>
      <c r="J6686" s="206" t="s">
        <v>121</v>
      </c>
      <c r="K6686" s="206" t="s">
        <v>121</v>
      </c>
      <c r="L6686" s="206" t="str">
        <v/>
      </c>
      <c r="M6686" s="206" t="str">
        <v/>
      </c>
    </row>
    <row r="6687" spans="1:13" ht="14.4">
      <c r="A6687" s="201"/>
      <c r="B6687" s="209"/>
      <c r="C6687" s="201"/>
      <c r="D6687" s="201"/>
      <c r="E6687" s="202"/>
      <c r="F6687" s="210"/>
      <c r="G6687" s="210"/>
      <c r="H6687" s="206" t="s">
        <v>121</v>
      </c>
      <c r="I6687" s="206" t="s">
        <v>121</v>
      </c>
      <c r="J6687" s="206" t="s">
        <v>121</v>
      </c>
      <c r="K6687" s="206" t="s">
        <v>121</v>
      </c>
      <c r="L6687" s="206" t="str">
        <v/>
      </c>
      <c r="M6687" s="206" t="str">
        <v/>
      </c>
    </row>
    <row r="6688" spans="1:13" ht="14.4">
      <c r="A6688" s="201"/>
      <c r="B6688" s="209"/>
      <c r="C6688" s="201"/>
      <c r="D6688" s="201"/>
      <c r="E6688" s="202"/>
      <c r="F6688" s="210"/>
      <c r="G6688" s="210"/>
      <c r="H6688" s="206" t="s">
        <v>121</v>
      </c>
      <c r="I6688" s="206" t="s">
        <v>121</v>
      </c>
      <c r="J6688" s="206" t="s">
        <v>121</v>
      </c>
      <c r="K6688" s="206" t="s">
        <v>121</v>
      </c>
      <c r="L6688" s="206" t="str">
        <v/>
      </c>
      <c r="M6688" s="206" t="str">
        <v/>
      </c>
    </row>
    <row r="6689" spans="1:13" ht="14.4">
      <c r="A6689" s="201"/>
      <c r="B6689" s="209"/>
      <c r="C6689" s="201"/>
      <c r="D6689" s="201"/>
      <c r="E6689" s="202"/>
      <c r="F6689" s="210"/>
      <c r="G6689" s="210"/>
      <c r="H6689" s="206" t="s">
        <v>121</v>
      </c>
      <c r="I6689" s="206" t="s">
        <v>121</v>
      </c>
      <c r="J6689" s="206" t="s">
        <v>121</v>
      </c>
      <c r="K6689" s="206" t="s">
        <v>121</v>
      </c>
      <c r="L6689" s="206" t="str">
        <v/>
      </c>
      <c r="M6689" s="206" t="str">
        <v/>
      </c>
    </row>
    <row r="6690" spans="1:13" ht="14.4">
      <c r="A6690" s="201"/>
      <c r="B6690" s="209"/>
      <c r="C6690" s="201"/>
      <c r="D6690" s="201"/>
      <c r="E6690" s="202"/>
      <c r="F6690" s="210"/>
      <c r="G6690" s="210"/>
      <c r="H6690" s="206" t="s">
        <v>121</v>
      </c>
      <c r="I6690" s="206" t="s">
        <v>121</v>
      </c>
      <c r="J6690" s="206" t="s">
        <v>121</v>
      </c>
      <c r="K6690" s="206" t="s">
        <v>121</v>
      </c>
      <c r="L6690" s="206" t="str">
        <v/>
      </c>
      <c r="M6690" s="206" t="str">
        <v/>
      </c>
    </row>
    <row r="6691" spans="1:13" ht="14.4">
      <c r="A6691" s="201"/>
      <c r="B6691" s="209"/>
      <c r="C6691" s="201"/>
      <c r="D6691" s="201"/>
      <c r="E6691" s="202"/>
      <c r="F6691" s="210"/>
      <c r="G6691" s="210"/>
      <c r="H6691" s="206" t="s">
        <v>121</v>
      </c>
      <c r="I6691" s="206" t="s">
        <v>121</v>
      </c>
      <c r="J6691" s="206" t="s">
        <v>121</v>
      </c>
      <c r="K6691" s="206" t="s">
        <v>121</v>
      </c>
      <c r="L6691" s="206" t="str">
        <v/>
      </c>
      <c r="M6691" s="206" t="str">
        <v/>
      </c>
    </row>
    <row r="6692" spans="1:13" ht="14.4">
      <c r="A6692" s="201"/>
      <c r="B6692" s="209"/>
      <c r="C6692" s="201"/>
      <c r="D6692" s="201"/>
      <c r="E6692" s="202"/>
      <c r="F6692" s="210"/>
      <c r="G6692" s="210"/>
      <c r="H6692" s="206" t="s">
        <v>121</v>
      </c>
      <c r="I6692" s="206" t="s">
        <v>121</v>
      </c>
      <c r="J6692" s="206" t="s">
        <v>121</v>
      </c>
      <c r="K6692" s="206" t="s">
        <v>121</v>
      </c>
      <c r="L6692" s="206" t="str">
        <v/>
      </c>
      <c r="M6692" s="206" t="str">
        <v/>
      </c>
    </row>
    <row r="6693" spans="1:13" ht="14.4">
      <c r="A6693" s="201"/>
      <c r="B6693" s="209"/>
      <c r="C6693" s="201"/>
      <c r="D6693" s="201"/>
      <c r="E6693" s="202"/>
      <c r="F6693" s="210"/>
      <c r="G6693" s="210"/>
      <c r="H6693" s="206" t="s">
        <v>121</v>
      </c>
      <c r="I6693" s="206" t="s">
        <v>121</v>
      </c>
      <c r="J6693" s="206" t="s">
        <v>121</v>
      </c>
      <c r="K6693" s="206" t="s">
        <v>121</v>
      </c>
      <c r="L6693" s="206" t="str">
        <v/>
      </c>
      <c r="M6693" s="206" t="str">
        <v/>
      </c>
    </row>
    <row r="6694" spans="1:13" ht="14.4">
      <c r="A6694" s="201"/>
      <c r="B6694" s="209"/>
      <c r="C6694" s="201"/>
      <c r="D6694" s="201"/>
      <c r="E6694" s="202"/>
      <c r="F6694" s="210"/>
      <c r="G6694" s="210"/>
      <c r="H6694" s="206" t="s">
        <v>121</v>
      </c>
      <c r="I6694" s="206" t="s">
        <v>121</v>
      </c>
      <c r="J6694" s="206" t="s">
        <v>121</v>
      </c>
      <c r="K6694" s="206" t="s">
        <v>121</v>
      </c>
      <c r="L6694" s="206" t="str">
        <v/>
      </c>
      <c r="M6694" s="206" t="str">
        <v/>
      </c>
    </row>
    <row r="6695" spans="1:13" ht="14.4">
      <c r="A6695" s="201"/>
      <c r="B6695" s="209"/>
      <c r="C6695" s="201"/>
      <c r="D6695" s="201"/>
      <c r="E6695" s="202"/>
      <c r="F6695" s="210"/>
      <c r="G6695" s="210"/>
      <c r="H6695" s="206" t="s">
        <v>121</v>
      </c>
      <c r="I6695" s="206" t="s">
        <v>121</v>
      </c>
      <c r="J6695" s="206" t="s">
        <v>121</v>
      </c>
      <c r="K6695" s="206" t="s">
        <v>121</v>
      </c>
      <c r="L6695" s="206" t="str">
        <v/>
      </c>
      <c r="M6695" s="206" t="str">
        <v/>
      </c>
    </row>
    <row r="6696" spans="1:13" ht="14.4">
      <c r="A6696" s="201"/>
      <c r="B6696" s="209"/>
      <c r="C6696" s="201"/>
      <c r="D6696" s="201"/>
      <c r="E6696" s="202"/>
      <c r="F6696" s="210"/>
      <c r="G6696" s="210"/>
      <c r="H6696" s="206" t="s">
        <v>121</v>
      </c>
      <c r="I6696" s="206" t="s">
        <v>121</v>
      </c>
      <c r="J6696" s="206" t="s">
        <v>121</v>
      </c>
      <c r="K6696" s="206" t="s">
        <v>121</v>
      </c>
      <c r="L6696" s="206" t="str">
        <v/>
      </c>
      <c r="M6696" s="206" t="str">
        <v/>
      </c>
    </row>
    <row r="6697" spans="1:13" ht="14.4">
      <c r="A6697" s="201"/>
      <c r="B6697" s="209"/>
      <c r="C6697" s="201"/>
      <c r="D6697" s="201"/>
      <c r="E6697" s="202"/>
      <c r="F6697" s="210"/>
      <c r="G6697" s="210"/>
      <c r="H6697" s="206" t="s">
        <v>121</v>
      </c>
      <c r="I6697" s="206" t="s">
        <v>121</v>
      </c>
      <c r="J6697" s="206" t="s">
        <v>121</v>
      </c>
      <c r="K6697" s="206" t="s">
        <v>121</v>
      </c>
      <c r="L6697" s="206" t="str">
        <v/>
      </c>
      <c r="M6697" s="206" t="str">
        <v/>
      </c>
    </row>
    <row r="6698" spans="1:13" ht="14.4">
      <c r="A6698" s="201"/>
      <c r="B6698" s="209"/>
      <c r="C6698" s="201"/>
      <c r="D6698" s="201"/>
      <c r="E6698" s="202"/>
      <c r="F6698" s="210"/>
      <c r="G6698" s="210"/>
      <c r="H6698" s="206" t="s">
        <v>121</v>
      </c>
      <c r="I6698" s="206" t="s">
        <v>121</v>
      </c>
      <c r="J6698" s="206" t="s">
        <v>121</v>
      </c>
      <c r="K6698" s="206" t="s">
        <v>121</v>
      </c>
      <c r="L6698" s="206" t="str">
        <v/>
      </c>
      <c r="M6698" s="206" t="str">
        <v/>
      </c>
    </row>
    <row r="6699" spans="1:13" ht="14.4">
      <c r="A6699" s="201"/>
      <c r="B6699" s="209"/>
      <c r="C6699" s="201"/>
      <c r="D6699" s="201"/>
      <c r="E6699" s="202"/>
      <c r="F6699" s="210"/>
      <c r="G6699" s="210"/>
      <c r="H6699" s="206" t="s">
        <v>121</v>
      </c>
      <c r="I6699" s="206" t="s">
        <v>121</v>
      </c>
      <c r="J6699" s="206" t="s">
        <v>121</v>
      </c>
      <c r="K6699" s="206" t="s">
        <v>121</v>
      </c>
      <c r="L6699" s="206" t="str">
        <v/>
      </c>
      <c r="M6699" s="206" t="str">
        <v/>
      </c>
    </row>
    <row r="6700" spans="1:13" ht="14.4">
      <c r="A6700" s="201"/>
      <c r="B6700" s="209"/>
      <c r="C6700" s="201"/>
      <c r="D6700" s="201"/>
      <c r="E6700" s="202"/>
      <c r="F6700" s="210"/>
      <c r="G6700" s="210"/>
      <c r="H6700" s="206" t="s">
        <v>121</v>
      </c>
      <c r="I6700" s="206" t="s">
        <v>121</v>
      </c>
      <c r="J6700" s="206" t="s">
        <v>121</v>
      </c>
      <c r="K6700" s="206" t="s">
        <v>121</v>
      </c>
      <c r="L6700" s="206" t="str">
        <v/>
      </c>
      <c r="M6700" s="206" t="str">
        <v/>
      </c>
    </row>
    <row r="6701" spans="1:13" ht="14.4">
      <c r="A6701" s="201"/>
      <c r="B6701" s="209"/>
      <c r="C6701" s="201"/>
      <c r="D6701" s="201"/>
      <c r="E6701" s="202"/>
      <c r="F6701" s="210"/>
      <c r="G6701" s="210"/>
      <c r="H6701" s="206" t="s">
        <v>121</v>
      </c>
      <c r="I6701" s="206" t="s">
        <v>121</v>
      </c>
      <c r="J6701" s="206" t="s">
        <v>121</v>
      </c>
      <c r="K6701" s="206" t="s">
        <v>121</v>
      </c>
      <c r="L6701" s="206" t="str">
        <v/>
      </c>
      <c r="M6701" s="206" t="str">
        <v/>
      </c>
    </row>
    <row r="6702" spans="1:13" ht="14.4">
      <c r="A6702" s="201"/>
      <c r="B6702" s="209"/>
      <c r="C6702" s="201"/>
      <c r="D6702" s="201"/>
      <c r="E6702" s="202"/>
      <c r="F6702" s="210"/>
      <c r="G6702" s="210"/>
      <c r="H6702" s="206" t="s">
        <v>121</v>
      </c>
      <c r="I6702" s="206" t="s">
        <v>121</v>
      </c>
      <c r="J6702" s="206" t="s">
        <v>121</v>
      </c>
      <c r="K6702" s="206" t="s">
        <v>121</v>
      </c>
      <c r="L6702" s="206" t="str">
        <v/>
      </c>
      <c r="M6702" s="206" t="str">
        <v/>
      </c>
    </row>
    <row r="6703" spans="1:13" ht="14.4">
      <c r="A6703" s="201"/>
      <c r="B6703" s="209"/>
      <c r="C6703" s="201"/>
      <c r="D6703" s="201"/>
      <c r="E6703" s="202"/>
      <c r="F6703" s="210"/>
      <c r="G6703" s="210"/>
      <c r="H6703" s="206" t="s">
        <v>121</v>
      </c>
      <c r="I6703" s="206" t="s">
        <v>121</v>
      </c>
      <c r="J6703" s="206" t="s">
        <v>121</v>
      </c>
      <c r="K6703" s="206" t="s">
        <v>121</v>
      </c>
      <c r="L6703" s="206" t="str">
        <v/>
      </c>
      <c r="M6703" s="206" t="str">
        <v/>
      </c>
    </row>
    <row r="6704" spans="1:13" ht="14.4">
      <c r="A6704" s="201"/>
      <c r="B6704" s="209"/>
      <c r="C6704" s="201"/>
      <c r="D6704" s="201"/>
      <c r="E6704" s="202"/>
      <c r="F6704" s="210"/>
      <c r="G6704" s="210"/>
      <c r="H6704" s="206" t="s">
        <v>121</v>
      </c>
      <c r="I6704" s="206" t="s">
        <v>121</v>
      </c>
      <c r="J6704" s="206" t="s">
        <v>121</v>
      </c>
      <c r="K6704" s="206" t="s">
        <v>121</v>
      </c>
      <c r="L6704" s="206" t="str">
        <v/>
      </c>
      <c r="M6704" s="206" t="str">
        <v/>
      </c>
    </row>
    <row r="6705" spans="1:13" ht="14.4">
      <c r="A6705" s="201"/>
      <c r="B6705" s="209"/>
      <c r="C6705" s="201"/>
      <c r="D6705" s="201"/>
      <c r="E6705" s="202"/>
      <c r="F6705" s="210"/>
      <c r="G6705" s="210"/>
      <c r="H6705" s="206" t="s">
        <v>121</v>
      </c>
      <c r="I6705" s="206" t="s">
        <v>121</v>
      </c>
      <c r="J6705" s="206" t="s">
        <v>121</v>
      </c>
      <c r="K6705" s="206" t="s">
        <v>121</v>
      </c>
      <c r="L6705" s="206" t="str">
        <v/>
      </c>
      <c r="M6705" s="206" t="str">
        <v/>
      </c>
    </row>
    <row r="6706" spans="1:13" ht="14.4">
      <c r="A6706" s="201"/>
      <c r="B6706" s="209"/>
      <c r="C6706" s="201"/>
      <c r="D6706" s="201"/>
      <c r="E6706" s="202"/>
      <c r="F6706" s="210"/>
      <c r="G6706" s="210"/>
      <c r="H6706" s="206" t="s">
        <v>121</v>
      </c>
      <c r="I6706" s="206" t="s">
        <v>121</v>
      </c>
      <c r="J6706" s="206" t="s">
        <v>121</v>
      </c>
      <c r="K6706" s="206" t="s">
        <v>121</v>
      </c>
      <c r="L6706" s="206" t="str">
        <v/>
      </c>
      <c r="M6706" s="206" t="str">
        <v/>
      </c>
    </row>
    <row r="6707" spans="1:13" ht="14.4">
      <c r="A6707" s="201"/>
      <c r="B6707" s="209"/>
      <c r="C6707" s="201"/>
      <c r="D6707" s="201"/>
      <c r="E6707" s="202"/>
      <c r="F6707" s="210"/>
      <c r="G6707" s="210"/>
      <c r="H6707" s="206" t="s">
        <v>121</v>
      </c>
      <c r="I6707" s="206" t="s">
        <v>121</v>
      </c>
      <c r="J6707" s="206" t="s">
        <v>121</v>
      </c>
      <c r="K6707" s="206" t="s">
        <v>121</v>
      </c>
      <c r="L6707" s="206" t="str">
        <v/>
      </c>
      <c r="M6707" s="206" t="str">
        <v/>
      </c>
    </row>
    <row r="6708" spans="1:13" ht="14.4">
      <c r="A6708" s="201"/>
      <c r="B6708" s="209"/>
      <c r="C6708" s="201"/>
      <c r="D6708" s="201"/>
      <c r="E6708" s="202"/>
      <c r="F6708" s="210"/>
      <c r="G6708" s="210"/>
      <c r="H6708" s="206" t="s">
        <v>121</v>
      </c>
      <c r="I6708" s="206" t="s">
        <v>121</v>
      </c>
      <c r="J6708" s="206" t="s">
        <v>121</v>
      </c>
      <c r="K6708" s="206" t="s">
        <v>121</v>
      </c>
      <c r="L6708" s="206" t="str">
        <v/>
      </c>
      <c r="M6708" s="206" t="str">
        <v/>
      </c>
    </row>
    <row r="6709" spans="1:13" ht="14.4">
      <c r="A6709" s="201"/>
      <c r="B6709" s="209"/>
      <c r="C6709" s="201"/>
      <c r="D6709" s="201"/>
      <c r="E6709" s="202"/>
      <c r="F6709" s="210"/>
      <c r="G6709" s="210"/>
      <c r="H6709" s="206" t="s">
        <v>121</v>
      </c>
      <c r="I6709" s="206" t="s">
        <v>121</v>
      </c>
      <c r="J6709" s="206" t="s">
        <v>121</v>
      </c>
      <c r="K6709" s="206" t="s">
        <v>121</v>
      </c>
      <c r="L6709" s="206" t="str">
        <v/>
      </c>
      <c r="M6709" s="206" t="str">
        <v/>
      </c>
    </row>
    <row r="6710" spans="1:13" ht="14.4">
      <c r="A6710" s="201"/>
      <c r="B6710" s="209"/>
      <c r="C6710" s="201"/>
      <c r="D6710" s="201"/>
      <c r="E6710" s="202"/>
      <c r="F6710" s="210"/>
      <c r="G6710" s="210"/>
      <c r="H6710" s="206" t="s">
        <v>121</v>
      </c>
      <c r="I6710" s="206" t="s">
        <v>121</v>
      </c>
      <c r="J6710" s="206" t="s">
        <v>121</v>
      </c>
      <c r="K6710" s="206" t="s">
        <v>121</v>
      </c>
      <c r="L6710" s="206" t="str">
        <v/>
      </c>
      <c r="M6710" s="206" t="str">
        <v/>
      </c>
    </row>
    <row r="6711" spans="1:13" ht="14.4">
      <c r="A6711" s="201"/>
      <c r="B6711" s="209"/>
      <c r="C6711" s="201"/>
      <c r="D6711" s="201"/>
      <c r="E6711" s="202"/>
      <c r="F6711" s="210"/>
      <c r="G6711" s="210"/>
      <c r="H6711" s="206" t="s">
        <v>121</v>
      </c>
      <c r="I6711" s="206" t="s">
        <v>121</v>
      </c>
      <c r="J6711" s="206" t="s">
        <v>121</v>
      </c>
      <c r="K6711" s="206" t="s">
        <v>121</v>
      </c>
      <c r="L6711" s="206" t="str">
        <v/>
      </c>
      <c r="M6711" s="206" t="str">
        <v/>
      </c>
    </row>
    <row r="6712" spans="1:13" ht="14.4">
      <c r="A6712" s="201"/>
      <c r="B6712" s="209"/>
      <c r="C6712" s="201"/>
      <c r="D6712" s="201"/>
      <c r="E6712" s="202"/>
      <c r="F6712" s="210"/>
      <c r="G6712" s="210"/>
      <c r="H6712" s="206" t="s">
        <v>121</v>
      </c>
      <c r="I6712" s="206" t="s">
        <v>121</v>
      </c>
      <c r="J6712" s="206" t="s">
        <v>121</v>
      </c>
      <c r="K6712" s="206" t="s">
        <v>121</v>
      </c>
      <c r="L6712" s="206" t="str">
        <v/>
      </c>
      <c r="M6712" s="206" t="str">
        <v/>
      </c>
    </row>
    <row r="6713" spans="1:13" ht="14.4">
      <c r="A6713" s="201"/>
      <c r="B6713" s="209"/>
      <c r="C6713" s="201"/>
      <c r="D6713" s="201"/>
      <c r="E6713" s="202"/>
      <c r="F6713" s="210"/>
      <c r="G6713" s="210"/>
      <c r="H6713" s="206" t="s">
        <v>121</v>
      </c>
      <c r="I6713" s="206" t="s">
        <v>121</v>
      </c>
      <c r="J6713" s="206" t="s">
        <v>121</v>
      </c>
      <c r="K6713" s="206" t="s">
        <v>121</v>
      </c>
      <c r="L6713" s="206" t="str">
        <v/>
      </c>
      <c r="M6713" s="206" t="str">
        <v/>
      </c>
    </row>
    <row r="6714" spans="1:13" ht="14.4">
      <c r="A6714" s="201"/>
      <c r="B6714" s="209"/>
      <c r="C6714" s="201"/>
      <c r="D6714" s="201"/>
      <c r="E6714" s="202"/>
      <c r="F6714" s="210"/>
      <c r="G6714" s="210"/>
      <c r="H6714" s="206" t="s">
        <v>121</v>
      </c>
      <c r="I6714" s="206" t="s">
        <v>121</v>
      </c>
      <c r="J6714" s="206" t="s">
        <v>121</v>
      </c>
      <c r="K6714" s="206" t="s">
        <v>121</v>
      </c>
      <c r="L6714" s="206" t="str">
        <v/>
      </c>
      <c r="M6714" s="206" t="str">
        <v/>
      </c>
    </row>
    <row r="6715" spans="1:13" ht="14.4">
      <c r="A6715" s="201"/>
      <c r="B6715" s="209"/>
      <c r="C6715" s="201"/>
      <c r="D6715" s="201"/>
      <c r="E6715" s="202"/>
      <c r="F6715" s="210"/>
      <c r="G6715" s="210"/>
      <c r="H6715" s="206" t="s">
        <v>121</v>
      </c>
      <c r="I6715" s="206" t="s">
        <v>121</v>
      </c>
      <c r="J6715" s="206" t="s">
        <v>121</v>
      </c>
      <c r="K6715" s="206" t="s">
        <v>121</v>
      </c>
      <c r="L6715" s="206" t="str">
        <v/>
      </c>
      <c r="M6715" s="206" t="str">
        <v/>
      </c>
    </row>
    <row r="6716" spans="1:13" ht="14.4">
      <c r="A6716" s="201"/>
      <c r="B6716" s="209"/>
      <c r="C6716" s="201"/>
      <c r="D6716" s="201"/>
      <c r="E6716" s="202"/>
      <c r="F6716" s="210"/>
      <c r="G6716" s="210"/>
      <c r="H6716" s="206" t="s">
        <v>121</v>
      </c>
      <c r="I6716" s="206" t="s">
        <v>121</v>
      </c>
      <c r="J6716" s="206" t="s">
        <v>121</v>
      </c>
      <c r="K6716" s="206" t="s">
        <v>121</v>
      </c>
      <c r="L6716" s="206" t="str">
        <v/>
      </c>
      <c r="M6716" s="206" t="str">
        <v/>
      </c>
    </row>
    <row r="6717" spans="1:13" ht="14.4">
      <c r="A6717" s="201"/>
      <c r="B6717" s="209"/>
      <c r="C6717" s="201"/>
      <c r="D6717" s="201"/>
      <c r="E6717" s="202"/>
      <c r="F6717" s="210"/>
      <c r="G6717" s="210"/>
      <c r="H6717" s="206" t="s">
        <v>121</v>
      </c>
      <c r="I6717" s="206" t="s">
        <v>121</v>
      </c>
      <c r="J6717" s="206" t="s">
        <v>121</v>
      </c>
      <c r="K6717" s="206" t="s">
        <v>121</v>
      </c>
      <c r="L6717" s="206" t="str">
        <v/>
      </c>
      <c r="M6717" s="206" t="str">
        <v/>
      </c>
    </row>
    <row r="6718" spans="1:13" ht="14.4">
      <c r="A6718" s="201"/>
      <c r="B6718" s="209"/>
      <c r="C6718" s="201"/>
      <c r="D6718" s="201"/>
      <c r="E6718" s="202"/>
      <c r="F6718" s="210"/>
      <c r="G6718" s="210"/>
      <c r="H6718" s="206" t="s">
        <v>121</v>
      </c>
      <c r="I6718" s="206" t="s">
        <v>121</v>
      </c>
      <c r="J6718" s="206" t="s">
        <v>121</v>
      </c>
      <c r="K6718" s="206" t="s">
        <v>121</v>
      </c>
      <c r="L6718" s="206" t="str">
        <v/>
      </c>
      <c r="M6718" s="206" t="str">
        <v/>
      </c>
    </row>
    <row r="6719" spans="1:13" ht="14.4">
      <c r="A6719" s="201"/>
      <c r="B6719" s="209"/>
      <c r="C6719" s="201"/>
      <c r="D6719" s="201"/>
      <c r="E6719" s="202"/>
      <c r="F6719" s="210"/>
      <c r="G6719" s="210"/>
      <c r="H6719" s="206" t="s">
        <v>121</v>
      </c>
      <c r="I6719" s="206" t="s">
        <v>121</v>
      </c>
      <c r="J6719" s="206" t="s">
        <v>121</v>
      </c>
      <c r="K6719" s="206" t="s">
        <v>121</v>
      </c>
      <c r="L6719" s="206" t="str">
        <v/>
      </c>
      <c r="M6719" s="206" t="str">
        <v/>
      </c>
    </row>
    <row r="6720" spans="1:13" ht="14.4">
      <c r="A6720" s="201"/>
      <c r="B6720" s="209"/>
      <c r="C6720" s="201"/>
      <c r="D6720" s="201"/>
      <c r="E6720" s="202"/>
      <c r="F6720" s="210"/>
      <c r="G6720" s="210"/>
      <c r="H6720" s="206" t="s">
        <v>121</v>
      </c>
      <c r="I6720" s="206" t="s">
        <v>121</v>
      </c>
      <c r="J6720" s="206" t="s">
        <v>121</v>
      </c>
      <c r="K6720" s="206" t="s">
        <v>121</v>
      </c>
      <c r="L6720" s="206" t="str">
        <v/>
      </c>
      <c r="M6720" s="206" t="str">
        <v/>
      </c>
    </row>
    <row r="6721" spans="1:13" ht="14.4">
      <c r="A6721" s="201"/>
      <c r="B6721" s="209"/>
      <c r="C6721" s="201"/>
      <c r="D6721" s="201"/>
      <c r="E6721" s="202"/>
      <c r="F6721" s="210"/>
      <c r="G6721" s="210"/>
      <c r="H6721" s="206" t="s">
        <v>121</v>
      </c>
      <c r="I6721" s="206" t="s">
        <v>121</v>
      </c>
      <c r="J6721" s="206" t="s">
        <v>121</v>
      </c>
      <c r="K6721" s="206" t="s">
        <v>121</v>
      </c>
      <c r="L6721" s="206" t="str">
        <v/>
      </c>
      <c r="M6721" s="206" t="str">
        <v/>
      </c>
    </row>
    <row r="6722" spans="1:13" ht="14.4">
      <c r="A6722" s="201"/>
      <c r="B6722" s="209"/>
      <c r="C6722" s="201"/>
      <c r="D6722" s="201"/>
      <c r="E6722" s="202"/>
      <c r="F6722" s="210"/>
      <c r="G6722" s="210"/>
      <c r="H6722" s="206" t="s">
        <v>121</v>
      </c>
      <c r="I6722" s="206" t="s">
        <v>121</v>
      </c>
      <c r="J6722" s="206" t="s">
        <v>121</v>
      </c>
      <c r="K6722" s="206" t="s">
        <v>121</v>
      </c>
      <c r="L6722" s="206" t="str">
        <v/>
      </c>
      <c r="M6722" s="206" t="str">
        <v/>
      </c>
    </row>
    <row r="6723" spans="1:13" ht="14.4">
      <c r="A6723" s="201"/>
      <c r="B6723" s="209"/>
      <c r="C6723" s="201"/>
      <c r="D6723" s="201"/>
      <c r="E6723" s="202"/>
      <c r="F6723" s="210"/>
      <c r="G6723" s="210"/>
      <c r="H6723" s="206" t="s">
        <v>121</v>
      </c>
      <c r="I6723" s="206" t="s">
        <v>121</v>
      </c>
      <c r="J6723" s="206" t="s">
        <v>121</v>
      </c>
      <c r="K6723" s="206" t="s">
        <v>121</v>
      </c>
      <c r="L6723" s="206" t="str">
        <v/>
      </c>
      <c r="M6723" s="206" t="str">
        <v/>
      </c>
    </row>
    <row r="6724" spans="1:13" ht="14.4">
      <c r="A6724" s="201"/>
      <c r="B6724" s="209"/>
      <c r="C6724" s="201"/>
      <c r="D6724" s="201"/>
      <c r="E6724" s="202"/>
      <c r="F6724" s="210"/>
      <c r="G6724" s="210"/>
      <c r="H6724" s="206" t="s">
        <v>121</v>
      </c>
      <c r="I6724" s="206" t="s">
        <v>121</v>
      </c>
      <c r="J6724" s="206" t="s">
        <v>121</v>
      </c>
      <c r="K6724" s="206" t="s">
        <v>121</v>
      </c>
      <c r="L6724" s="206" t="str">
        <v/>
      </c>
      <c r="M6724" s="206" t="str">
        <v/>
      </c>
    </row>
    <row r="6725" spans="1:13" ht="14.4">
      <c r="A6725" s="201"/>
      <c r="B6725" s="209"/>
      <c r="C6725" s="201"/>
      <c r="D6725" s="201"/>
      <c r="E6725" s="202"/>
      <c r="F6725" s="210"/>
      <c r="G6725" s="210"/>
      <c r="H6725" s="206" t="s">
        <v>121</v>
      </c>
      <c r="I6725" s="206" t="s">
        <v>121</v>
      </c>
      <c r="J6725" s="206" t="s">
        <v>121</v>
      </c>
      <c r="K6725" s="206" t="s">
        <v>121</v>
      </c>
      <c r="L6725" s="206" t="str">
        <v/>
      </c>
      <c r="M6725" s="206" t="str">
        <v/>
      </c>
    </row>
    <row r="6726" spans="1:13" ht="14.4">
      <c r="A6726" s="201"/>
      <c r="B6726" s="209"/>
      <c r="C6726" s="201"/>
      <c r="D6726" s="201"/>
      <c r="E6726" s="202"/>
      <c r="F6726" s="210"/>
      <c r="G6726" s="210"/>
      <c r="H6726" s="206" t="s">
        <v>121</v>
      </c>
      <c r="I6726" s="206" t="s">
        <v>121</v>
      </c>
      <c r="J6726" s="206" t="s">
        <v>121</v>
      </c>
      <c r="K6726" s="206" t="s">
        <v>121</v>
      </c>
      <c r="L6726" s="206" t="str">
        <v/>
      </c>
      <c r="M6726" s="206" t="str">
        <v/>
      </c>
    </row>
    <row r="6727" spans="1:13" ht="14.4">
      <c r="A6727" s="201"/>
      <c r="B6727" s="209"/>
      <c r="C6727" s="201"/>
      <c r="D6727" s="201"/>
      <c r="E6727" s="202"/>
      <c r="F6727" s="210"/>
      <c r="G6727" s="210"/>
      <c r="H6727" s="206" t="s">
        <v>121</v>
      </c>
      <c r="I6727" s="206" t="s">
        <v>121</v>
      </c>
      <c r="J6727" s="206" t="s">
        <v>121</v>
      </c>
      <c r="K6727" s="206" t="s">
        <v>121</v>
      </c>
      <c r="L6727" s="206" t="str">
        <v/>
      </c>
      <c r="M6727" s="206" t="str">
        <v/>
      </c>
    </row>
    <row r="6728" spans="1:13" ht="14.4">
      <c r="A6728" s="201"/>
      <c r="B6728" s="209"/>
      <c r="C6728" s="201"/>
      <c r="D6728" s="201"/>
      <c r="E6728" s="202"/>
      <c r="F6728" s="210"/>
      <c r="G6728" s="210"/>
      <c r="H6728" s="206" t="s">
        <v>121</v>
      </c>
      <c r="I6728" s="206" t="s">
        <v>121</v>
      </c>
      <c r="J6728" s="206" t="s">
        <v>121</v>
      </c>
      <c r="K6728" s="206" t="s">
        <v>121</v>
      </c>
      <c r="L6728" s="206" t="str">
        <v/>
      </c>
      <c r="M6728" s="206" t="str">
        <v/>
      </c>
    </row>
    <row r="6729" spans="1:13" ht="14.4">
      <c r="A6729" s="201"/>
      <c r="B6729" s="209"/>
      <c r="C6729" s="201"/>
      <c r="D6729" s="201"/>
      <c r="E6729" s="202"/>
      <c r="F6729" s="210"/>
      <c r="G6729" s="210"/>
      <c r="H6729" s="206" t="s">
        <v>121</v>
      </c>
      <c r="I6729" s="206" t="s">
        <v>121</v>
      </c>
      <c r="J6729" s="206" t="s">
        <v>121</v>
      </c>
      <c r="K6729" s="206" t="s">
        <v>121</v>
      </c>
      <c r="L6729" s="206" t="str">
        <v/>
      </c>
      <c r="M6729" s="206" t="str">
        <v/>
      </c>
    </row>
    <row r="6730" spans="1:13" ht="14.4">
      <c r="A6730" s="201"/>
      <c r="B6730" s="209"/>
      <c r="C6730" s="201"/>
      <c r="D6730" s="201"/>
      <c r="E6730" s="202"/>
      <c r="F6730" s="210"/>
      <c r="G6730" s="210"/>
      <c r="H6730" s="206" t="s">
        <v>121</v>
      </c>
      <c r="I6730" s="206" t="s">
        <v>121</v>
      </c>
      <c r="J6730" s="206" t="s">
        <v>121</v>
      </c>
      <c r="K6730" s="206" t="s">
        <v>121</v>
      </c>
      <c r="L6730" s="206" t="str">
        <v/>
      </c>
      <c r="M6730" s="206" t="str">
        <v/>
      </c>
    </row>
    <row r="6731" spans="1:13" ht="14.4">
      <c r="A6731" s="201"/>
      <c r="B6731" s="209"/>
      <c r="C6731" s="201"/>
      <c r="D6731" s="201"/>
      <c r="E6731" s="202"/>
      <c r="F6731" s="210"/>
      <c r="G6731" s="210"/>
      <c r="H6731" s="206" t="s">
        <v>121</v>
      </c>
      <c r="I6731" s="206" t="s">
        <v>121</v>
      </c>
      <c r="J6731" s="206" t="s">
        <v>121</v>
      </c>
      <c r="K6731" s="206" t="s">
        <v>121</v>
      </c>
      <c r="L6731" s="206" t="str">
        <v/>
      </c>
      <c r="M6731" s="206" t="str">
        <v/>
      </c>
    </row>
    <row r="6732" spans="1:13" ht="14.4">
      <c r="A6732" s="201"/>
      <c r="B6732" s="209"/>
      <c r="C6732" s="201"/>
      <c r="D6732" s="201"/>
      <c r="E6732" s="202"/>
      <c r="F6732" s="210"/>
      <c r="G6732" s="210"/>
      <c r="H6732" s="206" t="s">
        <v>121</v>
      </c>
      <c r="I6732" s="206" t="s">
        <v>121</v>
      </c>
      <c r="J6732" s="206" t="s">
        <v>121</v>
      </c>
      <c r="K6732" s="206" t="s">
        <v>121</v>
      </c>
      <c r="L6732" s="206" t="str">
        <v/>
      </c>
      <c r="M6732" s="206" t="str">
        <v/>
      </c>
    </row>
    <row r="6733" spans="1:13" ht="14.4">
      <c r="A6733" s="201"/>
      <c r="B6733" s="209"/>
      <c r="C6733" s="201"/>
      <c r="D6733" s="201"/>
      <c r="E6733" s="202"/>
      <c r="F6733" s="210"/>
      <c r="G6733" s="210"/>
      <c r="H6733" s="206" t="s">
        <v>121</v>
      </c>
      <c r="I6733" s="206" t="s">
        <v>121</v>
      </c>
      <c r="J6733" s="206" t="s">
        <v>121</v>
      </c>
      <c r="K6733" s="206" t="s">
        <v>121</v>
      </c>
      <c r="L6733" s="206" t="str">
        <v/>
      </c>
      <c r="M6733" s="206" t="str">
        <v/>
      </c>
    </row>
    <row r="6734" spans="1:13" ht="14.4">
      <c r="A6734" s="201"/>
      <c r="B6734" s="209"/>
      <c r="C6734" s="201"/>
      <c r="D6734" s="201"/>
      <c r="E6734" s="202"/>
      <c r="F6734" s="210"/>
      <c r="G6734" s="210"/>
      <c r="H6734" s="206" t="s">
        <v>121</v>
      </c>
      <c r="I6734" s="206" t="s">
        <v>121</v>
      </c>
      <c r="J6734" s="206" t="s">
        <v>121</v>
      </c>
      <c r="K6734" s="206" t="s">
        <v>121</v>
      </c>
      <c r="L6734" s="206" t="str">
        <v/>
      </c>
      <c r="M6734" s="206" t="str">
        <v/>
      </c>
    </row>
    <row r="6735" spans="1:13" ht="14.4">
      <c r="A6735" s="201"/>
      <c r="B6735" s="209"/>
      <c r="C6735" s="201"/>
      <c r="D6735" s="201"/>
      <c r="E6735" s="202"/>
      <c r="F6735" s="210"/>
      <c r="G6735" s="210"/>
      <c r="H6735" s="206" t="s">
        <v>121</v>
      </c>
      <c r="I6735" s="206" t="s">
        <v>121</v>
      </c>
      <c r="J6735" s="206" t="s">
        <v>121</v>
      </c>
      <c r="K6735" s="206" t="s">
        <v>121</v>
      </c>
      <c r="L6735" s="206" t="str">
        <v/>
      </c>
      <c r="M6735" s="206" t="str">
        <v/>
      </c>
    </row>
    <row r="6736" spans="1:13" ht="14.4">
      <c r="A6736" s="201"/>
      <c r="B6736" s="209"/>
      <c r="C6736" s="201"/>
      <c r="D6736" s="201"/>
      <c r="E6736" s="202"/>
      <c r="F6736" s="210"/>
      <c r="G6736" s="210"/>
      <c r="H6736" s="206" t="s">
        <v>121</v>
      </c>
      <c r="I6736" s="206" t="s">
        <v>121</v>
      </c>
      <c r="J6736" s="206" t="s">
        <v>121</v>
      </c>
      <c r="K6736" s="206" t="s">
        <v>121</v>
      </c>
      <c r="L6736" s="206" t="str">
        <v/>
      </c>
      <c r="M6736" s="206" t="str">
        <v/>
      </c>
    </row>
    <row r="6737" spans="1:13" ht="14.4">
      <c r="A6737" s="201"/>
      <c r="B6737" s="209"/>
      <c r="C6737" s="201"/>
      <c r="D6737" s="201"/>
      <c r="E6737" s="202"/>
      <c r="F6737" s="210"/>
      <c r="G6737" s="210"/>
      <c r="H6737" s="206" t="s">
        <v>121</v>
      </c>
      <c r="I6737" s="206" t="s">
        <v>121</v>
      </c>
      <c r="J6737" s="206" t="s">
        <v>121</v>
      </c>
      <c r="K6737" s="206" t="s">
        <v>121</v>
      </c>
      <c r="L6737" s="206" t="str">
        <v/>
      </c>
      <c r="M6737" s="206" t="str">
        <v/>
      </c>
    </row>
    <row r="6738" spans="1:13" ht="14.4">
      <c r="A6738" s="201"/>
      <c r="B6738" s="209"/>
      <c r="C6738" s="201"/>
      <c r="D6738" s="201"/>
      <c r="E6738" s="202"/>
      <c r="F6738" s="210"/>
      <c r="G6738" s="210"/>
      <c r="H6738" s="206" t="s">
        <v>121</v>
      </c>
      <c r="I6738" s="206" t="s">
        <v>121</v>
      </c>
      <c r="J6738" s="206" t="s">
        <v>121</v>
      </c>
      <c r="K6738" s="206" t="s">
        <v>121</v>
      </c>
      <c r="L6738" s="206" t="str">
        <v/>
      </c>
      <c r="M6738" s="206" t="str">
        <v/>
      </c>
    </row>
    <row r="6739" spans="1:13" ht="14.4">
      <c r="A6739" s="201"/>
      <c r="B6739" s="209"/>
      <c r="C6739" s="201"/>
      <c r="D6739" s="201"/>
      <c r="E6739" s="202"/>
      <c r="F6739" s="210"/>
      <c r="G6739" s="210"/>
      <c r="H6739" s="206" t="s">
        <v>121</v>
      </c>
      <c r="I6739" s="206" t="s">
        <v>121</v>
      </c>
      <c r="J6739" s="206" t="s">
        <v>121</v>
      </c>
      <c r="K6739" s="206" t="s">
        <v>121</v>
      </c>
      <c r="L6739" s="206" t="str">
        <v/>
      </c>
      <c r="M6739" s="206" t="str">
        <v/>
      </c>
    </row>
    <row r="6740" spans="1:13" ht="14.4">
      <c r="A6740" s="201"/>
      <c r="B6740" s="209"/>
      <c r="C6740" s="201"/>
      <c r="D6740" s="201"/>
      <c r="E6740" s="202"/>
      <c r="F6740" s="210"/>
      <c r="G6740" s="210"/>
      <c r="H6740" s="206" t="s">
        <v>121</v>
      </c>
      <c r="I6740" s="206" t="s">
        <v>121</v>
      </c>
      <c r="J6740" s="206" t="s">
        <v>121</v>
      </c>
      <c r="K6740" s="206" t="s">
        <v>121</v>
      </c>
      <c r="L6740" s="206" t="str">
        <v/>
      </c>
      <c r="M6740" s="206" t="str">
        <v/>
      </c>
    </row>
    <row r="6741" spans="1:13" ht="14.4">
      <c r="A6741" s="201"/>
      <c r="B6741" s="209"/>
      <c r="C6741" s="201"/>
      <c r="D6741" s="201"/>
      <c r="E6741" s="202"/>
      <c r="F6741" s="210"/>
      <c r="G6741" s="210"/>
      <c r="H6741" s="206" t="s">
        <v>121</v>
      </c>
      <c r="I6741" s="206" t="s">
        <v>121</v>
      </c>
      <c r="J6741" s="206" t="s">
        <v>121</v>
      </c>
      <c r="K6741" s="206" t="s">
        <v>121</v>
      </c>
      <c r="L6741" s="206" t="str">
        <v/>
      </c>
      <c r="M6741" s="206" t="str">
        <v/>
      </c>
    </row>
    <row r="6742" spans="1:13" ht="14.4">
      <c r="A6742" s="201"/>
      <c r="B6742" s="209"/>
      <c r="C6742" s="201"/>
      <c r="D6742" s="201"/>
      <c r="E6742" s="202"/>
      <c r="F6742" s="210"/>
      <c r="G6742" s="210"/>
      <c r="H6742" s="206" t="s">
        <v>121</v>
      </c>
      <c r="I6742" s="206" t="s">
        <v>121</v>
      </c>
      <c r="J6742" s="206" t="s">
        <v>121</v>
      </c>
      <c r="K6742" s="206" t="s">
        <v>121</v>
      </c>
      <c r="L6742" s="206" t="str">
        <v/>
      </c>
      <c r="M6742" s="206" t="str">
        <v/>
      </c>
    </row>
    <row r="6743" spans="1:13" ht="14.4">
      <c r="A6743" s="201"/>
      <c r="B6743" s="209"/>
      <c r="C6743" s="201"/>
      <c r="D6743" s="201"/>
      <c r="E6743" s="202"/>
      <c r="F6743" s="210"/>
      <c r="G6743" s="210"/>
      <c r="H6743" s="206" t="s">
        <v>121</v>
      </c>
      <c r="I6743" s="206" t="s">
        <v>121</v>
      </c>
      <c r="J6743" s="206" t="s">
        <v>121</v>
      </c>
      <c r="K6743" s="206" t="s">
        <v>121</v>
      </c>
      <c r="L6743" s="206" t="str">
        <v/>
      </c>
      <c r="M6743" s="206" t="str">
        <v/>
      </c>
    </row>
    <row r="6744" spans="1:13" ht="14.4">
      <c r="A6744" s="201"/>
      <c r="B6744" s="209"/>
      <c r="C6744" s="201"/>
      <c r="D6744" s="201"/>
      <c r="E6744" s="202"/>
      <c r="F6744" s="210"/>
      <c r="G6744" s="210"/>
      <c r="H6744" s="206" t="s">
        <v>121</v>
      </c>
      <c r="I6744" s="206" t="s">
        <v>121</v>
      </c>
      <c r="J6744" s="206" t="s">
        <v>121</v>
      </c>
      <c r="K6744" s="206" t="s">
        <v>121</v>
      </c>
      <c r="L6744" s="206" t="str">
        <v/>
      </c>
      <c r="M6744" s="206" t="str">
        <v/>
      </c>
    </row>
    <row r="6745" spans="1:13" ht="14.4">
      <c r="A6745" s="201"/>
      <c r="B6745" s="209"/>
      <c r="C6745" s="201"/>
      <c r="D6745" s="201"/>
      <c r="E6745" s="202"/>
      <c r="F6745" s="210"/>
      <c r="G6745" s="210"/>
      <c r="H6745" s="206" t="s">
        <v>121</v>
      </c>
      <c r="I6745" s="206" t="s">
        <v>121</v>
      </c>
      <c r="J6745" s="206" t="s">
        <v>121</v>
      </c>
      <c r="K6745" s="206" t="s">
        <v>121</v>
      </c>
      <c r="L6745" s="206" t="str">
        <v/>
      </c>
      <c r="M6745" s="206" t="str">
        <v/>
      </c>
    </row>
    <row r="6746" spans="1:13" ht="14.4">
      <c r="A6746" s="201"/>
      <c r="B6746" s="209"/>
      <c r="C6746" s="201"/>
      <c r="D6746" s="201"/>
      <c r="E6746" s="202"/>
      <c r="F6746" s="210"/>
      <c r="G6746" s="210"/>
      <c r="H6746" s="206" t="s">
        <v>121</v>
      </c>
      <c r="I6746" s="206" t="s">
        <v>121</v>
      </c>
      <c r="J6746" s="206" t="s">
        <v>121</v>
      </c>
      <c r="K6746" s="206" t="s">
        <v>121</v>
      </c>
      <c r="L6746" s="206" t="str">
        <v/>
      </c>
      <c r="M6746" s="206" t="str">
        <v/>
      </c>
    </row>
    <row r="6747" spans="1:13" ht="14.4">
      <c r="A6747" s="201"/>
      <c r="B6747" s="209"/>
      <c r="C6747" s="201"/>
      <c r="D6747" s="201"/>
      <c r="E6747" s="202"/>
      <c r="F6747" s="210"/>
      <c r="G6747" s="210"/>
      <c r="H6747" s="206" t="s">
        <v>121</v>
      </c>
      <c r="I6747" s="206" t="s">
        <v>121</v>
      </c>
      <c r="J6747" s="206" t="s">
        <v>121</v>
      </c>
      <c r="K6747" s="206" t="s">
        <v>121</v>
      </c>
      <c r="L6747" s="206" t="str">
        <v/>
      </c>
      <c r="M6747" s="206" t="str">
        <v/>
      </c>
    </row>
    <row r="6748" spans="1:13" ht="14.4">
      <c r="A6748" s="201"/>
      <c r="B6748" s="209"/>
      <c r="C6748" s="201"/>
      <c r="D6748" s="201"/>
      <c r="E6748" s="202"/>
      <c r="F6748" s="210"/>
      <c r="G6748" s="210"/>
      <c r="H6748" s="206" t="s">
        <v>121</v>
      </c>
      <c r="I6748" s="206" t="s">
        <v>121</v>
      </c>
      <c r="J6748" s="206" t="s">
        <v>121</v>
      </c>
      <c r="K6748" s="206" t="s">
        <v>121</v>
      </c>
      <c r="L6748" s="206" t="str">
        <v/>
      </c>
      <c r="M6748" s="206" t="str">
        <v/>
      </c>
    </row>
    <row r="6749" spans="1:13" ht="14.4">
      <c r="A6749" s="201"/>
      <c r="B6749" s="209"/>
      <c r="C6749" s="201"/>
      <c r="D6749" s="201"/>
      <c r="E6749" s="202"/>
      <c r="F6749" s="210"/>
      <c r="G6749" s="210"/>
      <c r="H6749" s="206" t="s">
        <v>121</v>
      </c>
      <c r="I6749" s="206" t="s">
        <v>121</v>
      </c>
      <c r="J6749" s="206" t="s">
        <v>121</v>
      </c>
      <c r="K6749" s="206" t="s">
        <v>121</v>
      </c>
      <c r="L6749" s="206" t="str">
        <v/>
      </c>
      <c r="M6749" s="206" t="str">
        <v/>
      </c>
    </row>
    <row r="6750" spans="1:13" ht="14.4">
      <c r="A6750" s="201"/>
      <c r="B6750" s="209"/>
      <c r="C6750" s="201"/>
      <c r="D6750" s="201"/>
      <c r="E6750" s="202"/>
      <c r="F6750" s="210"/>
      <c r="G6750" s="210"/>
      <c r="H6750" s="206" t="s">
        <v>121</v>
      </c>
      <c r="I6750" s="206" t="s">
        <v>121</v>
      </c>
      <c r="J6750" s="206" t="s">
        <v>121</v>
      </c>
      <c r="K6750" s="206" t="s">
        <v>121</v>
      </c>
      <c r="L6750" s="206" t="str">
        <v/>
      </c>
      <c r="M6750" s="206" t="str">
        <v/>
      </c>
    </row>
    <row r="6751" spans="1:13" ht="14.4">
      <c r="A6751" s="201"/>
      <c r="B6751" s="209"/>
      <c r="C6751" s="201"/>
      <c r="D6751" s="201"/>
      <c r="E6751" s="202"/>
      <c r="F6751" s="210"/>
      <c r="G6751" s="210"/>
      <c r="H6751" s="206" t="s">
        <v>121</v>
      </c>
      <c r="I6751" s="206" t="s">
        <v>121</v>
      </c>
      <c r="J6751" s="206" t="s">
        <v>121</v>
      </c>
      <c r="K6751" s="206" t="s">
        <v>121</v>
      </c>
      <c r="L6751" s="206" t="str">
        <v/>
      </c>
      <c r="M6751" s="206" t="str">
        <v/>
      </c>
    </row>
    <row r="6752" spans="1:13" ht="14.4">
      <c r="A6752" s="201"/>
      <c r="B6752" s="209"/>
      <c r="C6752" s="201"/>
      <c r="D6752" s="201"/>
      <c r="E6752" s="202"/>
      <c r="F6752" s="210"/>
      <c r="G6752" s="210"/>
      <c r="H6752" s="206" t="s">
        <v>121</v>
      </c>
      <c r="I6752" s="206" t="s">
        <v>121</v>
      </c>
      <c r="J6752" s="206" t="s">
        <v>121</v>
      </c>
      <c r="K6752" s="206" t="s">
        <v>121</v>
      </c>
      <c r="L6752" s="206" t="str">
        <v/>
      </c>
      <c r="M6752" s="206" t="str">
        <v/>
      </c>
    </row>
    <row r="6753" spans="1:13" ht="14.4">
      <c r="A6753" s="201"/>
      <c r="B6753" s="209"/>
      <c r="C6753" s="201"/>
      <c r="D6753" s="201"/>
      <c r="E6753" s="202"/>
      <c r="F6753" s="210"/>
      <c r="G6753" s="210"/>
      <c r="H6753" s="206" t="s">
        <v>121</v>
      </c>
      <c r="I6753" s="206" t="s">
        <v>121</v>
      </c>
      <c r="J6753" s="206" t="s">
        <v>121</v>
      </c>
      <c r="K6753" s="206" t="s">
        <v>121</v>
      </c>
      <c r="L6753" s="206" t="str">
        <v/>
      </c>
      <c r="M6753" s="206" t="str">
        <v/>
      </c>
    </row>
    <row r="6754" spans="1:13" ht="14.4">
      <c r="A6754" s="201"/>
      <c r="B6754" s="209"/>
      <c r="C6754" s="201"/>
      <c r="D6754" s="201"/>
      <c r="E6754" s="202"/>
      <c r="F6754" s="210"/>
      <c r="G6754" s="210"/>
      <c r="H6754" s="206" t="s">
        <v>121</v>
      </c>
      <c r="I6754" s="206" t="s">
        <v>121</v>
      </c>
      <c r="J6754" s="206" t="s">
        <v>121</v>
      </c>
      <c r="K6754" s="206" t="s">
        <v>121</v>
      </c>
      <c r="L6754" s="206" t="str">
        <v/>
      </c>
      <c r="M6754" s="206" t="str">
        <v/>
      </c>
    </row>
    <row r="6755" spans="1:13" ht="14.4">
      <c r="A6755" s="201"/>
      <c r="B6755" s="209"/>
      <c r="C6755" s="201"/>
      <c r="D6755" s="201"/>
      <c r="E6755" s="202"/>
      <c r="F6755" s="210"/>
      <c r="G6755" s="210"/>
      <c r="H6755" s="206" t="s">
        <v>121</v>
      </c>
      <c r="I6755" s="206" t="s">
        <v>121</v>
      </c>
      <c r="J6755" s="206" t="s">
        <v>121</v>
      </c>
      <c r="K6755" s="206" t="s">
        <v>121</v>
      </c>
      <c r="L6755" s="206" t="str">
        <v/>
      </c>
      <c r="M6755" s="206" t="str">
        <v/>
      </c>
    </row>
    <row r="6756" spans="1:13" ht="14.4">
      <c r="A6756" s="201"/>
      <c r="B6756" s="209"/>
      <c r="C6756" s="201"/>
      <c r="D6756" s="201"/>
      <c r="E6756" s="202"/>
      <c r="F6756" s="210"/>
      <c r="G6756" s="210"/>
      <c r="H6756" s="206" t="s">
        <v>121</v>
      </c>
      <c r="I6756" s="206" t="s">
        <v>121</v>
      </c>
      <c r="J6756" s="206" t="s">
        <v>121</v>
      </c>
      <c r="K6756" s="206" t="s">
        <v>121</v>
      </c>
      <c r="L6756" s="206" t="str">
        <v/>
      </c>
      <c r="M6756" s="206" t="str">
        <v/>
      </c>
    </row>
    <row r="6757" spans="1:13" ht="14.4">
      <c r="A6757" s="201"/>
      <c r="B6757" s="209"/>
      <c r="C6757" s="201"/>
      <c r="D6757" s="201"/>
      <c r="E6757" s="202"/>
      <c r="F6757" s="210"/>
      <c r="G6757" s="210"/>
      <c r="H6757" s="206" t="s">
        <v>121</v>
      </c>
      <c r="I6757" s="206" t="s">
        <v>121</v>
      </c>
      <c r="J6757" s="206" t="s">
        <v>121</v>
      </c>
      <c r="K6757" s="206" t="s">
        <v>121</v>
      </c>
      <c r="L6757" s="206" t="str">
        <v/>
      </c>
      <c r="M6757" s="206" t="str">
        <v/>
      </c>
    </row>
    <row r="6758" spans="1:13" ht="14.4">
      <c r="A6758" s="201"/>
      <c r="B6758" s="209"/>
      <c r="C6758" s="201"/>
      <c r="D6758" s="201"/>
      <c r="E6758" s="202"/>
      <c r="F6758" s="210"/>
      <c r="G6758" s="210"/>
      <c r="H6758" s="206" t="s">
        <v>121</v>
      </c>
      <c r="I6758" s="206" t="s">
        <v>121</v>
      </c>
      <c r="J6758" s="206" t="s">
        <v>121</v>
      </c>
      <c r="K6758" s="206" t="s">
        <v>121</v>
      </c>
      <c r="L6758" s="206" t="str">
        <v/>
      </c>
      <c r="M6758" s="206" t="str">
        <v/>
      </c>
    </row>
    <row r="6759" spans="1:13" ht="14.4">
      <c r="A6759" s="201"/>
      <c r="B6759" s="209"/>
      <c r="C6759" s="201"/>
      <c r="D6759" s="201"/>
      <c r="E6759" s="202"/>
      <c r="F6759" s="210"/>
      <c r="G6759" s="210"/>
      <c r="H6759" s="206" t="s">
        <v>121</v>
      </c>
      <c r="I6759" s="206" t="s">
        <v>121</v>
      </c>
      <c r="J6759" s="206" t="s">
        <v>121</v>
      </c>
      <c r="K6759" s="206" t="s">
        <v>121</v>
      </c>
      <c r="L6759" s="206" t="str">
        <v/>
      </c>
      <c r="M6759" s="206" t="str">
        <v/>
      </c>
    </row>
    <row r="6760" spans="1:13" ht="14.4">
      <c r="A6760" s="201"/>
      <c r="B6760" s="209"/>
      <c r="C6760" s="201"/>
      <c r="D6760" s="201"/>
      <c r="E6760" s="202"/>
      <c r="F6760" s="210"/>
      <c r="G6760" s="210"/>
      <c r="H6760" s="206" t="s">
        <v>121</v>
      </c>
      <c r="I6760" s="206" t="s">
        <v>121</v>
      </c>
      <c r="J6760" s="206" t="s">
        <v>121</v>
      </c>
      <c r="K6760" s="206" t="s">
        <v>121</v>
      </c>
      <c r="L6760" s="206" t="str">
        <v/>
      </c>
      <c r="M6760" s="206" t="str">
        <v/>
      </c>
    </row>
    <row r="6761" spans="1:13" ht="14.4">
      <c r="A6761" s="201"/>
      <c r="B6761" s="209"/>
      <c r="C6761" s="201"/>
      <c r="D6761" s="201"/>
      <c r="E6761" s="202"/>
      <c r="F6761" s="210"/>
      <c r="G6761" s="210"/>
      <c r="H6761" s="206" t="s">
        <v>121</v>
      </c>
      <c r="I6761" s="206" t="s">
        <v>121</v>
      </c>
      <c r="J6761" s="206" t="s">
        <v>121</v>
      </c>
      <c r="K6761" s="206" t="s">
        <v>121</v>
      </c>
      <c r="L6761" s="206" t="str">
        <v/>
      </c>
      <c r="M6761" s="206" t="str">
        <v/>
      </c>
    </row>
    <row r="6762" spans="1:13" ht="14.4">
      <c r="A6762" s="201"/>
      <c r="B6762" s="209"/>
      <c r="C6762" s="201"/>
      <c r="D6762" s="201"/>
      <c r="E6762" s="202"/>
      <c r="F6762" s="210"/>
      <c r="G6762" s="210"/>
      <c r="H6762" s="206" t="s">
        <v>121</v>
      </c>
      <c r="I6762" s="206" t="s">
        <v>121</v>
      </c>
      <c r="J6762" s="206" t="s">
        <v>121</v>
      </c>
      <c r="K6762" s="206" t="s">
        <v>121</v>
      </c>
      <c r="L6762" s="206" t="str">
        <v/>
      </c>
      <c r="M6762" s="206" t="str">
        <v/>
      </c>
    </row>
    <row r="6763" spans="1:13" ht="14.4">
      <c r="A6763" s="201"/>
      <c r="B6763" s="209"/>
      <c r="C6763" s="201"/>
      <c r="D6763" s="201"/>
      <c r="E6763" s="202"/>
      <c r="F6763" s="210"/>
      <c r="G6763" s="210"/>
      <c r="H6763" s="206" t="s">
        <v>121</v>
      </c>
      <c r="I6763" s="206" t="s">
        <v>121</v>
      </c>
      <c r="J6763" s="206" t="s">
        <v>121</v>
      </c>
      <c r="K6763" s="206" t="s">
        <v>121</v>
      </c>
      <c r="L6763" s="206" t="str">
        <v/>
      </c>
      <c r="M6763" s="206" t="str">
        <v/>
      </c>
    </row>
    <row r="6764" spans="1:13" ht="14.4">
      <c r="A6764" s="201"/>
      <c r="B6764" s="209"/>
      <c r="C6764" s="201"/>
      <c r="D6764" s="201"/>
      <c r="E6764" s="202"/>
      <c r="F6764" s="210"/>
      <c r="G6764" s="210"/>
      <c r="H6764" s="206" t="s">
        <v>121</v>
      </c>
      <c r="I6764" s="206" t="s">
        <v>121</v>
      </c>
      <c r="J6764" s="206" t="s">
        <v>121</v>
      </c>
      <c r="K6764" s="206" t="s">
        <v>121</v>
      </c>
      <c r="L6764" s="206" t="str">
        <v/>
      </c>
      <c r="M6764" s="206" t="str">
        <v/>
      </c>
    </row>
    <row r="6765" spans="1:13" ht="14.4">
      <c r="A6765" s="201"/>
      <c r="B6765" s="209"/>
      <c r="C6765" s="201"/>
      <c r="D6765" s="201"/>
      <c r="E6765" s="202"/>
      <c r="F6765" s="210"/>
      <c r="G6765" s="210"/>
      <c r="H6765" s="206" t="s">
        <v>121</v>
      </c>
      <c r="I6765" s="206" t="s">
        <v>121</v>
      </c>
      <c r="J6765" s="206" t="s">
        <v>121</v>
      </c>
      <c r="K6765" s="206" t="s">
        <v>121</v>
      </c>
      <c r="L6765" s="206" t="str">
        <v/>
      </c>
      <c r="M6765" s="206" t="str">
        <v/>
      </c>
    </row>
    <row r="6766" spans="1:13" ht="14.4">
      <c r="A6766" s="201"/>
      <c r="B6766" s="209"/>
      <c r="C6766" s="201"/>
      <c r="D6766" s="201"/>
      <c r="E6766" s="202"/>
      <c r="F6766" s="210"/>
      <c r="G6766" s="210"/>
      <c r="H6766" s="206" t="s">
        <v>121</v>
      </c>
      <c r="I6766" s="206" t="s">
        <v>121</v>
      </c>
      <c r="J6766" s="206" t="s">
        <v>121</v>
      </c>
      <c r="K6766" s="206" t="s">
        <v>121</v>
      </c>
      <c r="L6766" s="206" t="str">
        <v/>
      </c>
      <c r="M6766" s="206" t="str">
        <v/>
      </c>
    </row>
    <row r="6767" spans="1:13" ht="14.4">
      <c r="A6767" s="201"/>
      <c r="B6767" s="209"/>
      <c r="C6767" s="201"/>
      <c r="D6767" s="201"/>
      <c r="E6767" s="202"/>
      <c r="F6767" s="210"/>
      <c r="G6767" s="210"/>
      <c r="H6767" s="206" t="s">
        <v>121</v>
      </c>
      <c r="I6767" s="206" t="s">
        <v>121</v>
      </c>
      <c r="J6767" s="206" t="s">
        <v>121</v>
      </c>
      <c r="K6767" s="206" t="s">
        <v>121</v>
      </c>
      <c r="L6767" s="206" t="str">
        <v/>
      </c>
      <c r="M6767" s="206" t="str">
        <v/>
      </c>
    </row>
    <row r="6768" spans="1:13" ht="14.4">
      <c r="A6768" s="201"/>
      <c r="B6768" s="209"/>
      <c r="C6768" s="201"/>
      <c r="D6768" s="201"/>
      <c r="E6768" s="202"/>
      <c r="F6768" s="210"/>
      <c r="G6768" s="210"/>
      <c r="H6768" s="206" t="s">
        <v>121</v>
      </c>
      <c r="I6768" s="206" t="s">
        <v>121</v>
      </c>
      <c r="J6768" s="206" t="s">
        <v>121</v>
      </c>
      <c r="K6768" s="206" t="s">
        <v>121</v>
      </c>
      <c r="L6768" s="206" t="str">
        <v/>
      </c>
      <c r="M6768" s="206" t="str">
        <v/>
      </c>
    </row>
    <row r="6769" spans="1:13" ht="14.4">
      <c r="A6769" s="201"/>
      <c r="B6769" s="209"/>
      <c r="C6769" s="201"/>
      <c r="D6769" s="201"/>
      <c r="E6769" s="202"/>
      <c r="F6769" s="210"/>
      <c r="G6769" s="210"/>
      <c r="H6769" s="206" t="s">
        <v>121</v>
      </c>
      <c r="I6769" s="206" t="s">
        <v>121</v>
      </c>
      <c r="J6769" s="206" t="s">
        <v>121</v>
      </c>
      <c r="K6769" s="206" t="s">
        <v>121</v>
      </c>
      <c r="L6769" s="206" t="str">
        <v/>
      </c>
      <c r="M6769" s="206" t="str">
        <v/>
      </c>
    </row>
    <row r="6770" spans="1:13" ht="14.4">
      <c r="A6770" s="201"/>
      <c r="B6770" s="209"/>
      <c r="C6770" s="201"/>
      <c r="D6770" s="201"/>
      <c r="E6770" s="202"/>
      <c r="F6770" s="210"/>
      <c r="G6770" s="210"/>
      <c r="H6770" s="206" t="s">
        <v>121</v>
      </c>
      <c r="I6770" s="206" t="s">
        <v>121</v>
      </c>
      <c r="J6770" s="206" t="s">
        <v>121</v>
      </c>
      <c r="K6770" s="206" t="s">
        <v>121</v>
      </c>
      <c r="L6770" s="206" t="str">
        <v/>
      </c>
      <c r="M6770" s="206" t="str">
        <v/>
      </c>
    </row>
    <row r="6771" spans="1:13" ht="14.4">
      <c r="A6771" s="201"/>
      <c r="B6771" s="209"/>
      <c r="C6771" s="201"/>
      <c r="D6771" s="201"/>
      <c r="E6771" s="202"/>
      <c r="F6771" s="210"/>
      <c r="G6771" s="210"/>
      <c r="H6771" s="206" t="s">
        <v>121</v>
      </c>
      <c r="I6771" s="206" t="s">
        <v>121</v>
      </c>
      <c r="J6771" s="206" t="s">
        <v>121</v>
      </c>
      <c r="K6771" s="206" t="s">
        <v>121</v>
      </c>
      <c r="L6771" s="206" t="str">
        <v/>
      </c>
      <c r="M6771" s="206" t="str">
        <v/>
      </c>
    </row>
    <row r="6772" spans="1:13" ht="14.4">
      <c r="A6772" s="201"/>
      <c r="B6772" s="209"/>
      <c r="C6772" s="201"/>
      <c r="D6772" s="201"/>
      <c r="E6772" s="202"/>
      <c r="F6772" s="210"/>
      <c r="G6772" s="210"/>
      <c r="H6772" s="206" t="s">
        <v>121</v>
      </c>
      <c r="I6772" s="206" t="s">
        <v>121</v>
      </c>
      <c r="J6772" s="206" t="s">
        <v>121</v>
      </c>
      <c r="K6772" s="206" t="s">
        <v>121</v>
      </c>
      <c r="L6772" s="206" t="str">
        <v/>
      </c>
      <c r="M6772" s="206" t="str">
        <v/>
      </c>
    </row>
    <row r="6773" spans="1:13" ht="14.4">
      <c r="A6773" s="201"/>
      <c r="B6773" s="209"/>
      <c r="C6773" s="201"/>
      <c r="D6773" s="201"/>
      <c r="E6773" s="202"/>
      <c r="F6773" s="210"/>
      <c r="G6773" s="210"/>
      <c r="H6773" s="206" t="s">
        <v>121</v>
      </c>
      <c r="I6773" s="206" t="s">
        <v>121</v>
      </c>
      <c r="J6773" s="206" t="s">
        <v>121</v>
      </c>
      <c r="K6773" s="206" t="s">
        <v>121</v>
      </c>
      <c r="L6773" s="206" t="str">
        <v/>
      </c>
      <c r="M6773" s="206" t="str">
        <v/>
      </c>
    </row>
    <row r="6774" spans="1:13" ht="14.4">
      <c r="A6774" s="201"/>
      <c r="B6774" s="209"/>
      <c r="C6774" s="201"/>
      <c r="D6774" s="201"/>
      <c r="E6774" s="202"/>
      <c r="F6774" s="210"/>
      <c r="G6774" s="210"/>
      <c r="H6774" s="206" t="s">
        <v>121</v>
      </c>
      <c r="I6774" s="206" t="s">
        <v>121</v>
      </c>
      <c r="J6774" s="206" t="s">
        <v>121</v>
      </c>
      <c r="K6774" s="206" t="s">
        <v>121</v>
      </c>
      <c r="L6774" s="206" t="str">
        <v/>
      </c>
      <c r="M6774" s="206" t="str">
        <v/>
      </c>
    </row>
    <row r="6775" spans="1:13" ht="14.4">
      <c r="A6775" s="201"/>
      <c r="B6775" s="209"/>
      <c r="C6775" s="201"/>
      <c r="D6775" s="201"/>
      <c r="E6775" s="202"/>
      <c r="F6775" s="210"/>
      <c r="G6775" s="210"/>
      <c r="H6775" s="206" t="s">
        <v>121</v>
      </c>
      <c r="I6775" s="206" t="s">
        <v>121</v>
      </c>
      <c r="J6775" s="206" t="s">
        <v>121</v>
      </c>
      <c r="K6775" s="206" t="s">
        <v>121</v>
      </c>
      <c r="L6775" s="206" t="str">
        <v/>
      </c>
      <c r="M6775" s="206" t="str">
        <v/>
      </c>
    </row>
    <row r="6776" spans="1:13" ht="14.4">
      <c r="A6776" s="201"/>
      <c r="B6776" s="209"/>
      <c r="C6776" s="201"/>
      <c r="D6776" s="201"/>
      <c r="E6776" s="202"/>
      <c r="F6776" s="210"/>
      <c r="G6776" s="210"/>
      <c r="H6776" s="206" t="s">
        <v>121</v>
      </c>
      <c r="I6776" s="206" t="s">
        <v>121</v>
      </c>
      <c r="J6776" s="206" t="s">
        <v>121</v>
      </c>
      <c r="K6776" s="206" t="s">
        <v>121</v>
      </c>
      <c r="L6776" s="206" t="str">
        <v/>
      </c>
      <c r="M6776" s="206" t="str">
        <v/>
      </c>
    </row>
    <row r="6777" spans="1:13" ht="14.4">
      <c r="A6777" s="201"/>
      <c r="B6777" s="209"/>
      <c r="C6777" s="201"/>
      <c r="D6777" s="201"/>
      <c r="E6777" s="202"/>
      <c r="F6777" s="210"/>
      <c r="G6777" s="210"/>
      <c r="H6777" s="206" t="s">
        <v>121</v>
      </c>
      <c r="I6777" s="206" t="s">
        <v>121</v>
      </c>
      <c r="J6777" s="206" t="s">
        <v>121</v>
      </c>
      <c r="K6777" s="206" t="s">
        <v>121</v>
      </c>
      <c r="L6777" s="206" t="str">
        <v/>
      </c>
      <c r="M6777" s="206" t="str">
        <v/>
      </c>
    </row>
    <row r="6778" spans="1:13" ht="14.4">
      <c r="A6778" s="201"/>
      <c r="B6778" s="209"/>
      <c r="C6778" s="201"/>
      <c r="D6778" s="201"/>
      <c r="E6778" s="202"/>
      <c r="F6778" s="210"/>
      <c r="G6778" s="210"/>
      <c r="H6778" s="206" t="s">
        <v>121</v>
      </c>
      <c r="I6778" s="206" t="s">
        <v>121</v>
      </c>
      <c r="J6778" s="206" t="s">
        <v>121</v>
      </c>
      <c r="K6778" s="206" t="s">
        <v>121</v>
      </c>
      <c r="L6778" s="206" t="str">
        <v/>
      </c>
      <c r="M6778" s="206" t="str">
        <v/>
      </c>
    </row>
    <row r="6779" spans="1:13" ht="14.4">
      <c r="A6779" s="201"/>
      <c r="B6779" s="209"/>
      <c r="C6779" s="201"/>
      <c r="D6779" s="201"/>
      <c r="E6779" s="202"/>
      <c r="F6779" s="210"/>
      <c r="G6779" s="210"/>
      <c r="H6779" s="206" t="s">
        <v>121</v>
      </c>
      <c r="I6779" s="206" t="s">
        <v>121</v>
      </c>
      <c r="J6779" s="206" t="s">
        <v>121</v>
      </c>
      <c r="K6779" s="206" t="s">
        <v>121</v>
      </c>
      <c r="L6779" s="206" t="str">
        <v/>
      </c>
      <c r="M6779" s="206" t="str">
        <v/>
      </c>
    </row>
    <row r="6780" spans="1:13" ht="14.4">
      <c r="A6780" s="201"/>
      <c r="B6780" s="209"/>
      <c r="C6780" s="201"/>
      <c r="D6780" s="201"/>
      <c r="E6780" s="202"/>
      <c r="F6780" s="210"/>
      <c r="G6780" s="210"/>
      <c r="H6780" s="206" t="s">
        <v>121</v>
      </c>
      <c r="I6780" s="206" t="s">
        <v>121</v>
      </c>
      <c r="J6780" s="206" t="s">
        <v>121</v>
      </c>
      <c r="K6780" s="206" t="s">
        <v>121</v>
      </c>
      <c r="L6780" s="206" t="str">
        <v/>
      </c>
      <c r="M6780" s="206" t="str">
        <v/>
      </c>
    </row>
    <row r="6781" spans="1:13" ht="14.4">
      <c r="A6781" s="201"/>
      <c r="B6781" s="209"/>
      <c r="C6781" s="201"/>
      <c r="D6781" s="201"/>
      <c r="E6781" s="202"/>
      <c r="F6781" s="210"/>
      <c r="G6781" s="210"/>
      <c r="H6781" s="206" t="s">
        <v>121</v>
      </c>
      <c r="I6781" s="206" t="s">
        <v>121</v>
      </c>
      <c r="J6781" s="206" t="s">
        <v>121</v>
      </c>
      <c r="K6781" s="206" t="s">
        <v>121</v>
      </c>
      <c r="L6781" s="206" t="str">
        <v/>
      </c>
      <c r="M6781" s="206" t="str">
        <v/>
      </c>
    </row>
    <row r="6782" spans="1:13" ht="14.4">
      <c r="A6782" s="201"/>
      <c r="B6782" s="209"/>
      <c r="C6782" s="201"/>
      <c r="D6782" s="201"/>
      <c r="E6782" s="202"/>
      <c r="F6782" s="210"/>
      <c r="G6782" s="210"/>
      <c r="H6782" s="206" t="s">
        <v>121</v>
      </c>
      <c r="I6782" s="206" t="s">
        <v>121</v>
      </c>
      <c r="J6782" s="206" t="s">
        <v>121</v>
      </c>
      <c r="K6782" s="206" t="s">
        <v>121</v>
      </c>
      <c r="L6782" s="206" t="str">
        <v/>
      </c>
      <c r="M6782" s="206" t="str">
        <v/>
      </c>
    </row>
    <row r="6783" spans="1:13" ht="14.4">
      <c r="A6783" s="201"/>
      <c r="B6783" s="209"/>
      <c r="C6783" s="201"/>
      <c r="D6783" s="201"/>
      <c r="E6783" s="202"/>
      <c r="F6783" s="210"/>
      <c r="G6783" s="210"/>
      <c r="H6783" s="206" t="s">
        <v>121</v>
      </c>
      <c r="I6783" s="206" t="s">
        <v>121</v>
      </c>
      <c r="J6783" s="206" t="s">
        <v>121</v>
      </c>
      <c r="K6783" s="206" t="s">
        <v>121</v>
      </c>
      <c r="L6783" s="206" t="str">
        <v/>
      </c>
      <c r="M6783" s="206" t="str">
        <v/>
      </c>
    </row>
    <row r="6784" spans="1:13" ht="14.4">
      <c r="A6784" s="201"/>
      <c r="B6784" s="209"/>
      <c r="C6784" s="201"/>
      <c r="D6784" s="201"/>
      <c r="E6784" s="202"/>
      <c r="F6784" s="210"/>
      <c r="G6784" s="210"/>
      <c r="H6784" s="206" t="s">
        <v>121</v>
      </c>
      <c r="I6784" s="206" t="s">
        <v>121</v>
      </c>
      <c r="J6784" s="206" t="s">
        <v>121</v>
      </c>
      <c r="K6784" s="206" t="s">
        <v>121</v>
      </c>
      <c r="L6784" s="206" t="str">
        <v/>
      </c>
      <c r="M6784" s="206" t="str">
        <v/>
      </c>
    </row>
    <row r="6785" spans="1:13" ht="14.4">
      <c r="A6785" s="201"/>
      <c r="B6785" s="209"/>
      <c r="C6785" s="201"/>
      <c r="D6785" s="201"/>
      <c r="E6785" s="202"/>
      <c r="F6785" s="210"/>
      <c r="G6785" s="210"/>
      <c r="H6785" s="206" t="s">
        <v>121</v>
      </c>
      <c r="I6785" s="206" t="s">
        <v>121</v>
      </c>
      <c r="J6785" s="206" t="s">
        <v>121</v>
      </c>
      <c r="K6785" s="206" t="s">
        <v>121</v>
      </c>
      <c r="L6785" s="206" t="str">
        <v/>
      </c>
      <c r="M6785" s="206" t="str">
        <v/>
      </c>
    </row>
    <row r="6786" spans="1:13" ht="14.4">
      <c r="A6786" s="201"/>
      <c r="B6786" s="209"/>
      <c r="C6786" s="201"/>
      <c r="D6786" s="201"/>
      <c r="E6786" s="202"/>
      <c r="F6786" s="210"/>
      <c r="G6786" s="210"/>
      <c r="H6786" s="206" t="s">
        <v>121</v>
      </c>
      <c r="I6786" s="206" t="s">
        <v>121</v>
      </c>
      <c r="J6786" s="206" t="s">
        <v>121</v>
      </c>
      <c r="K6786" s="206" t="s">
        <v>121</v>
      </c>
      <c r="L6786" s="206" t="str">
        <v/>
      </c>
      <c r="M6786" s="206" t="str">
        <v/>
      </c>
    </row>
    <row r="6787" spans="1:13" ht="14.4">
      <c r="A6787" s="201"/>
      <c r="B6787" s="209"/>
      <c r="C6787" s="201"/>
      <c r="D6787" s="201"/>
      <c r="E6787" s="202"/>
      <c r="F6787" s="210"/>
      <c r="G6787" s="210"/>
      <c r="H6787" s="206" t="s">
        <v>121</v>
      </c>
      <c r="I6787" s="206" t="s">
        <v>121</v>
      </c>
      <c r="J6787" s="206" t="s">
        <v>121</v>
      </c>
      <c r="K6787" s="206" t="s">
        <v>121</v>
      </c>
      <c r="L6787" s="206" t="str">
        <v/>
      </c>
      <c r="M6787" s="206" t="str">
        <v/>
      </c>
    </row>
    <row r="6788" spans="1:13" ht="14.4">
      <c r="A6788" s="201"/>
      <c r="B6788" s="209"/>
      <c r="C6788" s="201"/>
      <c r="D6788" s="201"/>
      <c r="E6788" s="202"/>
      <c r="F6788" s="210"/>
      <c r="G6788" s="210"/>
      <c r="H6788" s="206" t="s">
        <v>121</v>
      </c>
      <c r="I6788" s="206" t="s">
        <v>121</v>
      </c>
      <c r="J6788" s="206" t="s">
        <v>121</v>
      </c>
      <c r="K6788" s="206" t="s">
        <v>121</v>
      </c>
      <c r="L6788" s="206" t="str">
        <v/>
      </c>
      <c r="M6788" s="206" t="str">
        <v/>
      </c>
    </row>
    <row r="6789" spans="1:13" ht="14.4">
      <c r="A6789" s="201"/>
      <c r="B6789" s="209"/>
      <c r="C6789" s="201"/>
      <c r="D6789" s="201"/>
      <c r="E6789" s="202"/>
      <c r="F6789" s="210"/>
      <c r="G6789" s="210"/>
      <c r="H6789" s="206" t="s">
        <v>121</v>
      </c>
      <c r="I6789" s="206" t="s">
        <v>121</v>
      </c>
      <c r="J6789" s="206" t="s">
        <v>121</v>
      </c>
      <c r="K6789" s="206" t="s">
        <v>121</v>
      </c>
      <c r="L6789" s="206" t="str">
        <v/>
      </c>
      <c r="M6789" s="206" t="str">
        <v/>
      </c>
    </row>
    <row r="6790" spans="1:13" ht="14.4">
      <c r="A6790" s="201"/>
      <c r="B6790" s="209"/>
      <c r="C6790" s="201"/>
      <c r="D6790" s="201"/>
      <c r="E6790" s="202"/>
      <c r="F6790" s="210"/>
      <c r="G6790" s="210"/>
      <c r="H6790" s="206" t="s">
        <v>121</v>
      </c>
      <c r="I6790" s="206" t="s">
        <v>121</v>
      </c>
      <c r="J6790" s="206" t="s">
        <v>121</v>
      </c>
      <c r="K6790" s="206" t="s">
        <v>121</v>
      </c>
      <c r="L6790" s="206" t="str">
        <v/>
      </c>
      <c r="M6790" s="206" t="str">
        <v/>
      </c>
    </row>
    <row r="6791" spans="1:13" ht="14.4">
      <c r="A6791" s="201"/>
      <c r="B6791" s="209"/>
      <c r="C6791" s="201"/>
      <c r="D6791" s="201"/>
      <c r="E6791" s="202"/>
      <c r="F6791" s="210"/>
      <c r="G6791" s="210"/>
      <c r="H6791" s="206" t="s">
        <v>121</v>
      </c>
      <c r="I6791" s="206" t="s">
        <v>121</v>
      </c>
      <c r="J6791" s="206" t="s">
        <v>121</v>
      </c>
      <c r="K6791" s="206" t="s">
        <v>121</v>
      </c>
      <c r="L6791" s="206" t="str">
        <v/>
      </c>
      <c r="M6791" s="206" t="str">
        <v/>
      </c>
    </row>
    <row r="6792" spans="1:13" ht="14.4">
      <c r="A6792" s="201"/>
      <c r="B6792" s="209"/>
      <c r="C6792" s="201"/>
      <c r="D6792" s="201"/>
      <c r="E6792" s="202"/>
      <c r="F6792" s="210"/>
      <c r="G6792" s="210"/>
      <c r="H6792" s="206" t="s">
        <v>121</v>
      </c>
      <c r="I6792" s="206" t="s">
        <v>121</v>
      </c>
      <c r="J6792" s="206" t="s">
        <v>121</v>
      </c>
      <c r="K6792" s="206" t="s">
        <v>121</v>
      </c>
      <c r="L6792" s="206" t="str">
        <v/>
      </c>
      <c r="M6792" s="206" t="str">
        <v/>
      </c>
    </row>
    <row r="6793" spans="1:13" ht="14.4">
      <c r="A6793" s="201"/>
      <c r="B6793" s="209"/>
      <c r="C6793" s="201"/>
      <c r="D6793" s="201"/>
      <c r="E6793" s="202"/>
      <c r="F6793" s="210"/>
      <c r="G6793" s="210"/>
      <c r="H6793" s="206" t="s">
        <v>121</v>
      </c>
      <c r="I6793" s="206" t="s">
        <v>121</v>
      </c>
      <c r="J6793" s="206" t="s">
        <v>121</v>
      </c>
      <c r="K6793" s="206" t="s">
        <v>121</v>
      </c>
      <c r="L6793" s="206" t="str">
        <v/>
      </c>
      <c r="M6793" s="206" t="str">
        <v/>
      </c>
    </row>
    <row r="6794" spans="1:13" ht="14.4">
      <c r="A6794" s="201"/>
      <c r="B6794" s="209"/>
      <c r="C6794" s="201"/>
      <c r="D6794" s="201"/>
      <c r="E6794" s="202"/>
      <c r="F6794" s="210"/>
      <c r="G6794" s="210"/>
      <c r="H6794" s="206" t="s">
        <v>121</v>
      </c>
      <c r="I6794" s="206" t="s">
        <v>121</v>
      </c>
      <c r="J6794" s="206" t="s">
        <v>121</v>
      </c>
      <c r="K6794" s="206" t="s">
        <v>121</v>
      </c>
      <c r="L6794" s="206" t="str">
        <v/>
      </c>
      <c r="M6794" s="206" t="str">
        <v/>
      </c>
    </row>
    <row r="6795" spans="1:13" ht="14.4">
      <c r="A6795" s="201"/>
      <c r="B6795" s="209"/>
      <c r="C6795" s="201"/>
      <c r="D6795" s="201"/>
      <c r="E6795" s="202"/>
      <c r="F6795" s="210"/>
      <c r="G6795" s="210"/>
      <c r="H6795" s="206" t="s">
        <v>121</v>
      </c>
      <c r="I6795" s="206" t="s">
        <v>121</v>
      </c>
      <c r="J6795" s="206" t="s">
        <v>121</v>
      </c>
      <c r="K6795" s="206" t="s">
        <v>121</v>
      </c>
      <c r="L6795" s="206" t="str">
        <v/>
      </c>
      <c r="M6795" s="206" t="str">
        <v/>
      </c>
    </row>
    <row r="6796" spans="1:13" ht="14.4">
      <c r="A6796" s="201"/>
      <c r="B6796" s="209"/>
      <c r="C6796" s="201"/>
      <c r="D6796" s="201"/>
      <c r="E6796" s="202"/>
      <c r="F6796" s="210"/>
      <c r="G6796" s="210"/>
      <c r="H6796" s="206" t="s">
        <v>121</v>
      </c>
      <c r="I6796" s="206" t="s">
        <v>121</v>
      </c>
      <c r="J6796" s="206" t="s">
        <v>121</v>
      </c>
      <c r="K6796" s="206" t="s">
        <v>121</v>
      </c>
      <c r="L6796" s="206" t="str">
        <v/>
      </c>
      <c r="M6796" s="206" t="str">
        <v/>
      </c>
    </row>
    <row r="6797" spans="1:13" ht="14.4">
      <c r="A6797" s="201"/>
      <c r="B6797" s="209"/>
      <c r="C6797" s="201"/>
      <c r="D6797" s="201"/>
      <c r="E6797" s="202"/>
      <c r="F6797" s="210"/>
      <c r="G6797" s="210"/>
      <c r="H6797" s="206" t="s">
        <v>121</v>
      </c>
      <c r="I6797" s="206" t="s">
        <v>121</v>
      </c>
      <c r="J6797" s="206" t="s">
        <v>121</v>
      </c>
      <c r="K6797" s="206" t="s">
        <v>121</v>
      </c>
      <c r="L6797" s="206" t="str">
        <v/>
      </c>
      <c r="M6797" s="206" t="str">
        <v/>
      </c>
    </row>
    <row r="6798" spans="1:13" ht="14.4">
      <c r="A6798" s="201"/>
      <c r="B6798" s="209"/>
      <c r="C6798" s="201"/>
      <c r="D6798" s="201"/>
      <c r="E6798" s="202"/>
      <c r="F6798" s="210"/>
      <c r="G6798" s="210"/>
      <c r="H6798" s="206" t="s">
        <v>121</v>
      </c>
      <c r="I6798" s="206" t="s">
        <v>121</v>
      </c>
      <c r="J6798" s="206" t="s">
        <v>121</v>
      </c>
      <c r="K6798" s="206" t="s">
        <v>121</v>
      </c>
      <c r="L6798" s="206" t="str">
        <v/>
      </c>
      <c r="M6798" s="206" t="str">
        <v/>
      </c>
    </row>
    <row r="6799" spans="1:13" ht="14.4">
      <c r="A6799" s="201"/>
      <c r="B6799" s="209"/>
      <c r="C6799" s="201"/>
      <c r="D6799" s="201"/>
      <c r="E6799" s="202"/>
      <c r="F6799" s="210"/>
      <c r="G6799" s="210"/>
      <c r="H6799" s="206" t="s">
        <v>121</v>
      </c>
      <c r="I6799" s="206" t="s">
        <v>121</v>
      </c>
      <c r="J6799" s="206" t="s">
        <v>121</v>
      </c>
      <c r="K6799" s="206" t="s">
        <v>121</v>
      </c>
      <c r="L6799" s="206" t="str">
        <v/>
      </c>
      <c r="M6799" s="206" t="str">
        <v/>
      </c>
    </row>
    <row r="6800" spans="1:13" ht="14.4">
      <c r="A6800" s="201"/>
      <c r="B6800" s="209"/>
      <c r="C6800" s="201"/>
      <c r="D6800" s="201"/>
      <c r="E6800" s="202"/>
      <c r="F6800" s="210"/>
      <c r="G6800" s="210"/>
      <c r="H6800" s="206" t="s">
        <v>121</v>
      </c>
      <c r="I6800" s="206" t="s">
        <v>121</v>
      </c>
      <c r="J6800" s="206" t="s">
        <v>121</v>
      </c>
      <c r="K6800" s="206" t="s">
        <v>121</v>
      </c>
      <c r="L6800" s="206" t="str">
        <v/>
      </c>
      <c r="M6800" s="206" t="str">
        <v/>
      </c>
    </row>
    <row r="6801" spans="1:13" ht="14.4">
      <c r="A6801" s="201"/>
      <c r="B6801" s="209"/>
      <c r="C6801" s="201"/>
      <c r="D6801" s="201"/>
      <c r="E6801" s="202"/>
      <c r="F6801" s="210"/>
      <c r="G6801" s="210"/>
      <c r="H6801" s="206" t="s">
        <v>121</v>
      </c>
      <c r="I6801" s="206" t="s">
        <v>121</v>
      </c>
      <c r="J6801" s="206" t="s">
        <v>121</v>
      </c>
      <c r="K6801" s="206" t="s">
        <v>121</v>
      </c>
      <c r="L6801" s="206" t="str">
        <v/>
      </c>
      <c r="M6801" s="206" t="str">
        <v/>
      </c>
    </row>
    <row r="6802" spans="1:13" ht="14.4">
      <c r="A6802" s="201"/>
      <c r="B6802" s="209"/>
      <c r="C6802" s="201"/>
      <c r="D6802" s="201"/>
      <c r="E6802" s="202"/>
      <c r="F6802" s="210"/>
      <c r="G6802" s="210"/>
      <c r="H6802" s="206" t="s">
        <v>121</v>
      </c>
      <c r="I6802" s="206" t="s">
        <v>121</v>
      </c>
      <c r="J6802" s="206" t="s">
        <v>121</v>
      </c>
      <c r="K6802" s="206" t="s">
        <v>121</v>
      </c>
      <c r="L6802" s="206" t="str">
        <v/>
      </c>
      <c r="M6802" s="206" t="str">
        <v/>
      </c>
    </row>
    <row r="6803" spans="1:13" ht="14.4">
      <c r="A6803" s="201"/>
      <c r="B6803" s="209"/>
      <c r="C6803" s="201"/>
      <c r="D6803" s="201"/>
      <c r="E6803" s="202"/>
      <c r="F6803" s="210"/>
      <c r="G6803" s="210"/>
      <c r="H6803" s="206" t="s">
        <v>121</v>
      </c>
      <c r="I6803" s="206" t="s">
        <v>121</v>
      </c>
      <c r="J6803" s="206" t="s">
        <v>121</v>
      </c>
      <c r="K6803" s="206" t="s">
        <v>121</v>
      </c>
      <c r="L6803" s="206" t="str">
        <v/>
      </c>
      <c r="M6803" s="206" t="str">
        <v/>
      </c>
    </row>
    <row r="6804" spans="1:13" ht="14.4">
      <c r="A6804" s="201"/>
      <c r="B6804" s="209"/>
      <c r="C6804" s="201"/>
      <c r="D6804" s="201"/>
      <c r="E6804" s="202"/>
      <c r="F6804" s="210"/>
      <c r="G6804" s="210"/>
      <c r="H6804" s="206" t="s">
        <v>121</v>
      </c>
      <c r="I6804" s="206" t="s">
        <v>121</v>
      </c>
      <c r="J6804" s="206" t="s">
        <v>121</v>
      </c>
      <c r="K6804" s="206" t="s">
        <v>121</v>
      </c>
      <c r="L6804" s="206" t="str">
        <v/>
      </c>
      <c r="M6804" s="206" t="str">
        <v/>
      </c>
    </row>
    <row r="6805" spans="1:13" ht="14.4">
      <c r="A6805" s="201"/>
      <c r="B6805" s="209"/>
      <c r="C6805" s="201"/>
      <c r="D6805" s="201"/>
      <c r="E6805" s="202"/>
      <c r="F6805" s="210"/>
      <c r="G6805" s="210"/>
      <c r="H6805" s="206" t="s">
        <v>121</v>
      </c>
      <c r="I6805" s="206" t="s">
        <v>121</v>
      </c>
      <c r="J6805" s="206" t="s">
        <v>121</v>
      </c>
      <c r="K6805" s="206" t="s">
        <v>121</v>
      </c>
      <c r="L6805" s="206" t="str">
        <v/>
      </c>
      <c r="M6805" s="206" t="str">
        <v/>
      </c>
    </row>
    <row r="6806" spans="1:13" ht="14.4">
      <c r="A6806" s="201"/>
      <c r="B6806" s="209"/>
      <c r="C6806" s="201"/>
      <c r="D6806" s="201"/>
      <c r="E6806" s="202"/>
      <c r="F6806" s="210"/>
      <c r="G6806" s="210"/>
      <c r="H6806" s="206" t="s">
        <v>121</v>
      </c>
      <c r="I6806" s="206" t="s">
        <v>121</v>
      </c>
      <c r="J6806" s="206" t="s">
        <v>121</v>
      </c>
      <c r="K6806" s="206" t="s">
        <v>121</v>
      </c>
      <c r="L6806" s="206" t="str">
        <v/>
      </c>
      <c r="M6806" s="206" t="str">
        <v/>
      </c>
    </row>
    <row r="6807" spans="1:13" ht="14.4">
      <c r="A6807" s="201"/>
      <c r="B6807" s="209"/>
      <c r="C6807" s="201"/>
      <c r="D6807" s="201"/>
      <c r="E6807" s="202"/>
      <c r="F6807" s="210"/>
      <c r="G6807" s="210"/>
      <c r="H6807" s="206" t="s">
        <v>121</v>
      </c>
      <c r="I6807" s="206" t="s">
        <v>121</v>
      </c>
      <c r="J6807" s="206" t="s">
        <v>121</v>
      </c>
      <c r="K6807" s="206" t="s">
        <v>121</v>
      </c>
      <c r="L6807" s="206" t="str">
        <v/>
      </c>
      <c r="M6807" s="206" t="str">
        <v/>
      </c>
    </row>
    <row r="6808" spans="1:13" ht="14.4">
      <c r="A6808" s="201"/>
      <c r="B6808" s="209"/>
      <c r="C6808" s="201"/>
      <c r="D6808" s="201"/>
      <c r="E6808" s="202"/>
      <c r="F6808" s="210"/>
      <c r="G6808" s="210"/>
      <c r="H6808" s="206" t="s">
        <v>121</v>
      </c>
      <c r="I6808" s="206" t="s">
        <v>121</v>
      </c>
      <c r="J6808" s="206" t="s">
        <v>121</v>
      </c>
      <c r="K6808" s="206" t="s">
        <v>121</v>
      </c>
      <c r="L6808" s="206" t="str">
        <v/>
      </c>
      <c r="M6808" s="206" t="str">
        <v/>
      </c>
    </row>
    <row r="6809" spans="1:13" ht="14.4">
      <c r="A6809" s="201"/>
      <c r="B6809" s="209"/>
      <c r="C6809" s="201"/>
      <c r="D6809" s="201"/>
      <c r="E6809" s="202"/>
      <c r="F6809" s="210"/>
      <c r="G6809" s="210"/>
      <c r="H6809" s="206" t="s">
        <v>121</v>
      </c>
      <c r="I6809" s="206" t="s">
        <v>121</v>
      </c>
      <c r="J6809" s="206" t="s">
        <v>121</v>
      </c>
      <c r="K6809" s="206" t="s">
        <v>121</v>
      </c>
      <c r="L6809" s="206" t="str">
        <v/>
      </c>
      <c r="M6809" s="206" t="str">
        <v/>
      </c>
    </row>
    <row r="6810" spans="1:13" ht="14.4">
      <c r="A6810" s="201"/>
      <c r="B6810" s="209"/>
      <c r="C6810" s="201"/>
      <c r="D6810" s="201"/>
      <c r="E6810" s="202"/>
      <c r="F6810" s="210"/>
      <c r="G6810" s="210"/>
      <c r="H6810" s="206" t="s">
        <v>121</v>
      </c>
      <c r="I6810" s="206" t="s">
        <v>121</v>
      </c>
      <c r="J6810" s="206" t="s">
        <v>121</v>
      </c>
      <c r="K6810" s="206" t="s">
        <v>121</v>
      </c>
      <c r="L6810" s="206" t="str">
        <v/>
      </c>
      <c r="M6810" s="206" t="str">
        <v/>
      </c>
    </row>
    <row r="6811" spans="1:13" ht="14.4">
      <c r="A6811" s="201"/>
      <c r="B6811" s="209"/>
      <c r="C6811" s="201"/>
      <c r="D6811" s="201"/>
      <c r="E6811" s="202"/>
      <c r="F6811" s="210"/>
      <c r="G6811" s="210"/>
      <c r="H6811" s="206" t="s">
        <v>121</v>
      </c>
      <c r="I6811" s="206" t="s">
        <v>121</v>
      </c>
      <c r="J6811" s="206" t="s">
        <v>121</v>
      </c>
      <c r="K6811" s="206" t="s">
        <v>121</v>
      </c>
      <c r="L6811" s="206" t="str">
        <v/>
      </c>
      <c r="M6811" s="206" t="str">
        <v/>
      </c>
    </row>
    <row r="6812" spans="1:13" ht="14.4">
      <c r="A6812" s="201"/>
      <c r="B6812" s="209"/>
      <c r="C6812" s="201"/>
      <c r="D6812" s="201"/>
      <c r="E6812" s="202"/>
      <c r="F6812" s="210"/>
      <c r="G6812" s="210"/>
      <c r="H6812" s="206" t="s">
        <v>121</v>
      </c>
      <c r="I6812" s="206" t="s">
        <v>121</v>
      </c>
      <c r="J6812" s="206" t="s">
        <v>121</v>
      </c>
      <c r="K6812" s="206" t="s">
        <v>121</v>
      </c>
      <c r="L6812" s="206" t="str">
        <v/>
      </c>
      <c r="M6812" s="206" t="str">
        <v/>
      </c>
    </row>
    <row r="6813" spans="1:13" ht="14.4">
      <c r="A6813" s="201"/>
      <c r="B6813" s="209"/>
      <c r="C6813" s="201"/>
      <c r="D6813" s="201"/>
      <c r="E6813" s="202"/>
      <c r="F6813" s="210"/>
      <c r="G6813" s="210"/>
      <c r="H6813" s="206" t="s">
        <v>121</v>
      </c>
      <c r="I6813" s="206" t="s">
        <v>121</v>
      </c>
      <c r="J6813" s="206" t="s">
        <v>121</v>
      </c>
      <c r="K6813" s="206" t="s">
        <v>121</v>
      </c>
      <c r="L6813" s="206" t="str">
        <v/>
      </c>
      <c r="M6813" s="206" t="str">
        <v/>
      </c>
    </row>
    <row r="6814" spans="1:13" ht="14.4">
      <c r="A6814" s="201"/>
      <c r="B6814" s="209"/>
      <c r="C6814" s="201"/>
      <c r="D6814" s="201"/>
      <c r="E6814" s="202"/>
      <c r="F6814" s="210"/>
      <c r="G6814" s="210"/>
      <c r="H6814" s="206" t="s">
        <v>121</v>
      </c>
      <c r="I6814" s="206" t="s">
        <v>121</v>
      </c>
      <c r="J6814" s="206" t="s">
        <v>121</v>
      </c>
      <c r="K6814" s="206" t="s">
        <v>121</v>
      </c>
      <c r="L6814" s="206" t="str">
        <v/>
      </c>
      <c r="M6814" s="206" t="str">
        <v/>
      </c>
    </row>
    <row r="6815" spans="1:13" ht="14.4">
      <c r="A6815" s="201"/>
      <c r="B6815" s="209"/>
      <c r="C6815" s="201"/>
      <c r="D6815" s="201"/>
      <c r="E6815" s="202"/>
      <c r="F6815" s="210"/>
      <c r="G6815" s="210"/>
      <c r="H6815" s="206" t="s">
        <v>121</v>
      </c>
      <c r="I6815" s="206" t="s">
        <v>121</v>
      </c>
      <c r="J6815" s="206" t="s">
        <v>121</v>
      </c>
      <c r="K6815" s="206" t="s">
        <v>121</v>
      </c>
      <c r="L6815" s="206" t="str">
        <v/>
      </c>
      <c r="M6815" s="206" t="str">
        <v/>
      </c>
    </row>
    <row r="6816" spans="1:13" ht="14.4">
      <c r="A6816" s="201"/>
      <c r="B6816" s="209"/>
      <c r="C6816" s="201"/>
      <c r="D6816" s="201"/>
      <c r="E6816" s="202"/>
      <c r="F6816" s="210"/>
      <c r="G6816" s="210"/>
      <c r="H6816" s="206" t="s">
        <v>121</v>
      </c>
      <c r="I6816" s="206" t="s">
        <v>121</v>
      </c>
      <c r="J6816" s="206" t="s">
        <v>121</v>
      </c>
      <c r="K6816" s="206" t="s">
        <v>121</v>
      </c>
      <c r="L6816" s="206" t="str">
        <v/>
      </c>
      <c r="M6816" s="206" t="str">
        <v/>
      </c>
    </row>
    <row r="6817" spans="1:13" ht="14.4">
      <c r="A6817" s="201"/>
      <c r="B6817" s="209"/>
      <c r="C6817" s="201"/>
      <c r="D6817" s="201"/>
      <c r="E6817" s="202"/>
      <c r="F6817" s="210"/>
      <c r="G6817" s="210"/>
      <c r="H6817" s="206" t="s">
        <v>121</v>
      </c>
      <c r="I6817" s="206" t="s">
        <v>121</v>
      </c>
      <c r="J6817" s="206" t="s">
        <v>121</v>
      </c>
      <c r="K6817" s="206" t="s">
        <v>121</v>
      </c>
      <c r="L6817" s="206" t="str">
        <v/>
      </c>
      <c r="M6817" s="206" t="str">
        <v/>
      </c>
    </row>
    <row r="6818" spans="1:13" ht="14.4">
      <c r="A6818" s="201"/>
      <c r="B6818" s="209"/>
      <c r="C6818" s="201"/>
      <c r="D6818" s="201"/>
      <c r="E6818" s="202"/>
      <c r="F6818" s="210"/>
      <c r="G6818" s="210"/>
      <c r="H6818" s="206" t="s">
        <v>121</v>
      </c>
      <c r="I6818" s="206" t="s">
        <v>121</v>
      </c>
      <c r="J6818" s="206" t="s">
        <v>121</v>
      </c>
      <c r="K6818" s="206" t="s">
        <v>121</v>
      </c>
      <c r="L6818" s="206" t="str">
        <v/>
      </c>
      <c r="M6818" s="206" t="str">
        <v/>
      </c>
    </row>
    <row r="6819" spans="1:13" ht="14.4">
      <c r="A6819" s="201"/>
      <c r="B6819" s="209"/>
      <c r="C6819" s="201"/>
      <c r="D6819" s="201"/>
      <c r="E6819" s="202"/>
      <c r="F6819" s="210"/>
      <c r="G6819" s="210"/>
      <c r="H6819" s="206" t="s">
        <v>121</v>
      </c>
      <c r="I6819" s="206" t="s">
        <v>121</v>
      </c>
      <c r="J6819" s="206" t="s">
        <v>121</v>
      </c>
      <c r="K6819" s="206" t="s">
        <v>121</v>
      </c>
      <c r="L6819" s="206" t="str">
        <v/>
      </c>
      <c r="M6819" s="206" t="str">
        <v/>
      </c>
    </row>
    <row r="6820" spans="1:13" ht="14.4">
      <c r="A6820" s="201"/>
      <c r="B6820" s="209"/>
      <c r="C6820" s="201"/>
      <c r="D6820" s="201"/>
      <c r="E6820" s="202"/>
      <c r="F6820" s="210"/>
      <c r="G6820" s="210"/>
      <c r="H6820" s="206" t="s">
        <v>121</v>
      </c>
      <c r="I6820" s="206" t="s">
        <v>121</v>
      </c>
      <c r="J6820" s="206" t="s">
        <v>121</v>
      </c>
      <c r="K6820" s="206" t="s">
        <v>121</v>
      </c>
      <c r="L6820" s="206" t="str">
        <v/>
      </c>
      <c r="M6820" s="206" t="str">
        <v/>
      </c>
    </row>
    <row r="6821" spans="1:13" ht="14.4">
      <c r="A6821" s="201"/>
      <c r="B6821" s="209"/>
      <c r="C6821" s="201"/>
      <c r="D6821" s="201"/>
      <c r="E6821" s="202"/>
      <c r="F6821" s="210"/>
      <c r="G6821" s="210"/>
      <c r="H6821" s="206" t="s">
        <v>121</v>
      </c>
      <c r="I6821" s="206" t="s">
        <v>121</v>
      </c>
      <c r="J6821" s="206" t="s">
        <v>121</v>
      </c>
      <c r="K6821" s="206" t="s">
        <v>121</v>
      </c>
      <c r="L6821" s="206" t="str">
        <v/>
      </c>
      <c r="M6821" s="206" t="str">
        <v/>
      </c>
    </row>
    <row r="6822" spans="1:13" ht="14.4">
      <c r="A6822" s="201"/>
      <c r="B6822" s="209"/>
      <c r="C6822" s="201"/>
      <c r="D6822" s="201"/>
      <c r="E6822" s="202"/>
      <c r="F6822" s="210"/>
      <c r="G6822" s="210"/>
      <c r="H6822" s="206" t="s">
        <v>121</v>
      </c>
      <c r="I6822" s="206" t="s">
        <v>121</v>
      </c>
      <c r="J6822" s="206" t="s">
        <v>121</v>
      </c>
      <c r="K6822" s="206" t="s">
        <v>121</v>
      </c>
      <c r="L6822" s="206" t="str">
        <v/>
      </c>
      <c r="M6822" s="206" t="str">
        <v/>
      </c>
    </row>
    <row r="6823" spans="1:13" ht="14.4">
      <c r="A6823" s="201"/>
      <c r="B6823" s="209"/>
      <c r="C6823" s="201"/>
      <c r="D6823" s="201"/>
      <c r="E6823" s="202"/>
      <c r="F6823" s="210"/>
      <c r="G6823" s="210"/>
      <c r="H6823" s="206" t="s">
        <v>121</v>
      </c>
      <c r="I6823" s="206" t="s">
        <v>121</v>
      </c>
      <c r="J6823" s="206" t="s">
        <v>121</v>
      </c>
      <c r="K6823" s="206" t="s">
        <v>121</v>
      </c>
      <c r="L6823" s="206" t="str">
        <v/>
      </c>
      <c r="M6823" s="206" t="str">
        <v/>
      </c>
    </row>
    <row r="6824" spans="1:13" ht="14.4">
      <c r="A6824" s="201"/>
      <c r="B6824" s="209"/>
      <c r="C6824" s="201"/>
      <c r="D6824" s="201"/>
      <c r="E6824" s="202"/>
      <c r="F6824" s="210"/>
      <c r="G6824" s="210"/>
      <c r="H6824" s="206" t="s">
        <v>121</v>
      </c>
      <c r="I6824" s="206" t="s">
        <v>121</v>
      </c>
      <c r="J6824" s="206" t="s">
        <v>121</v>
      </c>
      <c r="K6824" s="206" t="s">
        <v>121</v>
      </c>
      <c r="L6824" s="206" t="str">
        <v/>
      </c>
      <c r="M6824" s="206" t="str">
        <v/>
      </c>
    </row>
    <row r="6825" spans="1:13" ht="14.4">
      <c r="A6825" s="201"/>
      <c r="B6825" s="209"/>
      <c r="C6825" s="201"/>
      <c r="D6825" s="201"/>
      <c r="E6825" s="202"/>
      <c r="F6825" s="210"/>
      <c r="G6825" s="210"/>
      <c r="H6825" s="206" t="s">
        <v>121</v>
      </c>
      <c r="I6825" s="206" t="s">
        <v>121</v>
      </c>
      <c r="J6825" s="206" t="s">
        <v>121</v>
      </c>
      <c r="K6825" s="206" t="s">
        <v>121</v>
      </c>
      <c r="L6825" s="206" t="str">
        <v/>
      </c>
      <c r="M6825" s="206" t="str">
        <v/>
      </c>
    </row>
    <row r="6826" spans="1:13" ht="14.4">
      <c r="A6826" s="201"/>
      <c r="B6826" s="209"/>
      <c r="C6826" s="201"/>
      <c r="D6826" s="201"/>
      <c r="E6826" s="202"/>
      <c r="F6826" s="210"/>
      <c r="G6826" s="210"/>
      <c r="H6826" s="206" t="s">
        <v>121</v>
      </c>
      <c r="I6826" s="206" t="s">
        <v>121</v>
      </c>
      <c r="J6826" s="206" t="s">
        <v>121</v>
      </c>
      <c r="K6826" s="206" t="s">
        <v>121</v>
      </c>
      <c r="L6826" s="206" t="str">
        <v/>
      </c>
      <c r="M6826" s="206" t="str">
        <v/>
      </c>
    </row>
    <row r="6827" spans="1:13" ht="14.4">
      <c r="A6827" s="201"/>
      <c r="B6827" s="209"/>
      <c r="C6827" s="201"/>
      <c r="D6827" s="201"/>
      <c r="E6827" s="202"/>
      <c r="F6827" s="210"/>
      <c r="G6827" s="210"/>
      <c r="H6827" s="206" t="s">
        <v>121</v>
      </c>
      <c r="I6827" s="206" t="s">
        <v>121</v>
      </c>
      <c r="J6827" s="206" t="s">
        <v>121</v>
      </c>
      <c r="K6827" s="206" t="s">
        <v>121</v>
      </c>
      <c r="L6827" s="206" t="str">
        <v/>
      </c>
      <c r="M6827" s="206" t="str">
        <v/>
      </c>
    </row>
    <row r="6828" spans="1:13" ht="14.4">
      <c r="A6828" s="201"/>
      <c r="B6828" s="209"/>
      <c r="C6828" s="201"/>
      <c r="D6828" s="201"/>
      <c r="E6828" s="202"/>
      <c r="F6828" s="210"/>
      <c r="G6828" s="210"/>
      <c r="H6828" s="206" t="s">
        <v>121</v>
      </c>
      <c r="I6828" s="206" t="s">
        <v>121</v>
      </c>
      <c r="J6828" s="206" t="s">
        <v>121</v>
      </c>
      <c r="K6828" s="206" t="s">
        <v>121</v>
      </c>
      <c r="L6828" s="206" t="str">
        <v/>
      </c>
      <c r="M6828" s="206" t="str">
        <v/>
      </c>
    </row>
    <row r="6829" spans="1:13" ht="14.4">
      <c r="A6829" s="201"/>
      <c r="B6829" s="209"/>
      <c r="C6829" s="201"/>
      <c r="D6829" s="201"/>
      <c r="E6829" s="202"/>
      <c r="F6829" s="210"/>
      <c r="G6829" s="210"/>
      <c r="H6829" s="206" t="s">
        <v>121</v>
      </c>
      <c r="I6829" s="206" t="s">
        <v>121</v>
      </c>
      <c r="J6829" s="206" t="s">
        <v>121</v>
      </c>
      <c r="K6829" s="206" t="s">
        <v>121</v>
      </c>
      <c r="L6829" s="206" t="str">
        <v/>
      </c>
      <c r="M6829" s="206" t="str">
        <v/>
      </c>
    </row>
    <row r="6830" spans="1:13" ht="14.4">
      <c r="A6830" s="201"/>
      <c r="B6830" s="209"/>
      <c r="C6830" s="201"/>
      <c r="D6830" s="201"/>
      <c r="E6830" s="202"/>
      <c r="F6830" s="210"/>
      <c r="G6830" s="210"/>
      <c r="H6830" s="206" t="s">
        <v>121</v>
      </c>
      <c r="I6830" s="206" t="s">
        <v>121</v>
      </c>
      <c r="J6830" s="206" t="s">
        <v>121</v>
      </c>
      <c r="K6830" s="206" t="s">
        <v>121</v>
      </c>
      <c r="L6830" s="206" t="str">
        <v/>
      </c>
      <c r="M6830" s="206" t="str">
        <v/>
      </c>
    </row>
    <row r="6831" spans="1:13" ht="14.4">
      <c r="A6831" s="201"/>
      <c r="B6831" s="209"/>
      <c r="C6831" s="201"/>
      <c r="D6831" s="201"/>
      <c r="E6831" s="202"/>
      <c r="F6831" s="210"/>
      <c r="G6831" s="210"/>
      <c r="H6831" s="206" t="s">
        <v>121</v>
      </c>
      <c r="I6831" s="206" t="s">
        <v>121</v>
      </c>
      <c r="J6831" s="206" t="s">
        <v>121</v>
      </c>
      <c r="K6831" s="206" t="s">
        <v>121</v>
      </c>
      <c r="L6831" s="206" t="str">
        <v/>
      </c>
      <c r="M6831" s="206" t="str">
        <v/>
      </c>
    </row>
    <row r="6832" spans="1:13" ht="14.4">
      <c r="A6832" s="201"/>
      <c r="B6832" s="209"/>
      <c r="C6832" s="201"/>
      <c r="D6832" s="201"/>
      <c r="E6832" s="202"/>
      <c r="F6832" s="210"/>
      <c r="G6832" s="210"/>
      <c r="H6832" s="206" t="s">
        <v>121</v>
      </c>
      <c r="I6832" s="206" t="s">
        <v>121</v>
      </c>
      <c r="J6832" s="206" t="s">
        <v>121</v>
      </c>
      <c r="K6832" s="206" t="s">
        <v>121</v>
      </c>
      <c r="L6832" s="206" t="str">
        <v/>
      </c>
      <c r="M6832" s="206" t="str">
        <v/>
      </c>
    </row>
    <row r="6833" spans="1:13" ht="14.4">
      <c r="A6833" s="201"/>
      <c r="B6833" s="209"/>
      <c r="C6833" s="201"/>
      <c r="D6833" s="201"/>
      <c r="E6833" s="202"/>
      <c r="F6833" s="210"/>
      <c r="G6833" s="210"/>
      <c r="H6833" s="206" t="s">
        <v>121</v>
      </c>
      <c r="I6833" s="206" t="s">
        <v>121</v>
      </c>
      <c r="J6833" s="206" t="s">
        <v>121</v>
      </c>
      <c r="K6833" s="206" t="s">
        <v>121</v>
      </c>
      <c r="L6833" s="206" t="str">
        <v/>
      </c>
      <c r="M6833" s="206" t="str">
        <v/>
      </c>
    </row>
    <row r="6834" spans="1:13" ht="14.4">
      <c r="A6834" s="201"/>
      <c r="B6834" s="209"/>
      <c r="C6834" s="201"/>
      <c r="D6834" s="201"/>
      <c r="E6834" s="202"/>
      <c r="F6834" s="210"/>
      <c r="G6834" s="210"/>
      <c r="H6834" s="206" t="s">
        <v>121</v>
      </c>
      <c r="I6834" s="206" t="s">
        <v>121</v>
      </c>
      <c r="J6834" s="206" t="s">
        <v>121</v>
      </c>
      <c r="K6834" s="206" t="s">
        <v>121</v>
      </c>
      <c r="L6834" s="206" t="str">
        <v/>
      </c>
      <c r="M6834" s="206" t="str">
        <v/>
      </c>
    </row>
    <row r="6835" spans="1:13" ht="14.4">
      <c r="A6835" s="201"/>
      <c r="B6835" s="209"/>
      <c r="C6835" s="201"/>
      <c r="D6835" s="201"/>
      <c r="E6835" s="202"/>
      <c r="F6835" s="210"/>
      <c r="G6835" s="210"/>
      <c r="H6835" s="206" t="s">
        <v>121</v>
      </c>
      <c r="I6835" s="206" t="s">
        <v>121</v>
      </c>
      <c r="J6835" s="206" t="s">
        <v>121</v>
      </c>
      <c r="K6835" s="206" t="s">
        <v>121</v>
      </c>
      <c r="L6835" s="206" t="str">
        <v/>
      </c>
      <c r="M6835" s="206" t="str">
        <v/>
      </c>
    </row>
    <row r="6836" spans="1:13" ht="14.4">
      <c r="A6836" s="201"/>
      <c r="B6836" s="209"/>
      <c r="C6836" s="201"/>
      <c r="D6836" s="201"/>
      <c r="E6836" s="202"/>
      <c r="F6836" s="210"/>
      <c r="G6836" s="210"/>
      <c r="H6836" s="206" t="s">
        <v>121</v>
      </c>
      <c r="I6836" s="206" t="s">
        <v>121</v>
      </c>
      <c r="J6836" s="206" t="s">
        <v>121</v>
      </c>
      <c r="K6836" s="206" t="s">
        <v>121</v>
      </c>
      <c r="L6836" s="206" t="str">
        <v/>
      </c>
      <c r="M6836" s="206" t="str">
        <v/>
      </c>
    </row>
    <row r="6837" spans="1:13" ht="14.4">
      <c r="A6837" s="201"/>
      <c r="B6837" s="209"/>
      <c r="C6837" s="201"/>
      <c r="D6837" s="201"/>
      <c r="E6837" s="202"/>
      <c r="F6837" s="210"/>
      <c r="G6837" s="210"/>
      <c r="H6837" s="206" t="s">
        <v>121</v>
      </c>
      <c r="I6837" s="206" t="s">
        <v>121</v>
      </c>
      <c r="J6837" s="206" t="s">
        <v>121</v>
      </c>
      <c r="K6837" s="206" t="s">
        <v>121</v>
      </c>
      <c r="L6837" s="206" t="str">
        <v/>
      </c>
      <c r="M6837" s="206" t="str">
        <v/>
      </c>
    </row>
    <row r="6838" spans="1:13" ht="14.4">
      <c r="A6838" s="201"/>
      <c r="B6838" s="209"/>
      <c r="C6838" s="201"/>
      <c r="D6838" s="201"/>
      <c r="E6838" s="202"/>
      <c r="F6838" s="210"/>
      <c r="G6838" s="210"/>
      <c r="H6838" s="206" t="s">
        <v>121</v>
      </c>
      <c r="I6838" s="206" t="s">
        <v>121</v>
      </c>
      <c r="J6838" s="206" t="s">
        <v>121</v>
      </c>
      <c r="K6838" s="206" t="s">
        <v>121</v>
      </c>
      <c r="L6838" s="206" t="str">
        <v/>
      </c>
      <c r="M6838" s="206" t="str">
        <v/>
      </c>
    </row>
    <row r="6839" spans="1:13" ht="14.4">
      <c r="A6839" s="201"/>
      <c r="B6839" s="209"/>
      <c r="C6839" s="201"/>
      <c r="D6839" s="201"/>
      <c r="E6839" s="202"/>
      <c r="F6839" s="210"/>
      <c r="G6839" s="210"/>
      <c r="H6839" s="206" t="s">
        <v>121</v>
      </c>
      <c r="I6839" s="206" t="s">
        <v>121</v>
      </c>
      <c r="J6839" s="206" t="s">
        <v>121</v>
      </c>
      <c r="K6839" s="206" t="s">
        <v>121</v>
      </c>
      <c r="L6839" s="206" t="str">
        <v/>
      </c>
      <c r="M6839" s="206" t="str">
        <v/>
      </c>
    </row>
    <row r="6840" spans="1:13" ht="14.4">
      <c r="A6840" s="201"/>
      <c r="B6840" s="209"/>
      <c r="C6840" s="201"/>
      <c r="D6840" s="201"/>
      <c r="E6840" s="202"/>
      <c r="F6840" s="210"/>
      <c r="G6840" s="210"/>
      <c r="H6840" s="206" t="s">
        <v>121</v>
      </c>
      <c r="I6840" s="206" t="s">
        <v>121</v>
      </c>
      <c r="J6840" s="206" t="s">
        <v>121</v>
      </c>
      <c r="K6840" s="206" t="s">
        <v>121</v>
      </c>
      <c r="L6840" s="206" t="str">
        <v/>
      </c>
      <c r="M6840" s="206" t="str">
        <v/>
      </c>
    </row>
    <row r="6841" spans="1:13" ht="14.4">
      <c r="A6841" s="201"/>
      <c r="B6841" s="209"/>
      <c r="C6841" s="201"/>
      <c r="D6841" s="201"/>
      <c r="E6841" s="202"/>
      <c r="F6841" s="210"/>
      <c r="G6841" s="210"/>
      <c r="H6841" s="206" t="s">
        <v>121</v>
      </c>
      <c r="I6841" s="206" t="s">
        <v>121</v>
      </c>
      <c r="J6841" s="206" t="s">
        <v>121</v>
      </c>
      <c r="K6841" s="206" t="s">
        <v>121</v>
      </c>
      <c r="L6841" s="206" t="str">
        <v/>
      </c>
      <c r="M6841" s="206" t="str">
        <v/>
      </c>
    </row>
    <row r="6842" spans="1:13" ht="14.4">
      <c r="A6842" s="201"/>
      <c r="B6842" s="209"/>
      <c r="C6842" s="201"/>
      <c r="D6842" s="201"/>
      <c r="E6842" s="202"/>
      <c r="F6842" s="210"/>
      <c r="G6842" s="210"/>
      <c r="H6842" s="206" t="s">
        <v>121</v>
      </c>
      <c r="I6842" s="206" t="s">
        <v>121</v>
      </c>
      <c r="J6842" s="206" t="s">
        <v>121</v>
      </c>
      <c r="K6842" s="206" t="s">
        <v>121</v>
      </c>
      <c r="L6842" s="206" t="str">
        <v/>
      </c>
      <c r="M6842" s="206" t="str">
        <v/>
      </c>
    </row>
    <row r="6843" spans="1:13" ht="14.4">
      <c r="A6843" s="201"/>
      <c r="B6843" s="209"/>
      <c r="C6843" s="201"/>
      <c r="D6843" s="201"/>
      <c r="E6843" s="202"/>
      <c r="F6843" s="210"/>
      <c r="G6843" s="210"/>
      <c r="H6843" s="206" t="s">
        <v>121</v>
      </c>
      <c r="I6843" s="206" t="s">
        <v>121</v>
      </c>
      <c r="J6843" s="206" t="s">
        <v>121</v>
      </c>
      <c r="K6843" s="206" t="s">
        <v>121</v>
      </c>
      <c r="L6843" s="206" t="str">
        <v/>
      </c>
      <c r="M6843" s="206" t="str">
        <v/>
      </c>
    </row>
    <row r="6844" spans="1:13" ht="14.4">
      <c r="A6844" s="201"/>
      <c r="B6844" s="209"/>
      <c r="C6844" s="201"/>
      <c r="D6844" s="201"/>
      <c r="E6844" s="202"/>
      <c r="F6844" s="210"/>
      <c r="G6844" s="210"/>
      <c r="H6844" s="206" t="s">
        <v>121</v>
      </c>
      <c r="I6844" s="206" t="s">
        <v>121</v>
      </c>
      <c r="J6844" s="206" t="s">
        <v>121</v>
      </c>
      <c r="K6844" s="206" t="s">
        <v>121</v>
      </c>
      <c r="L6844" s="206" t="str">
        <v/>
      </c>
      <c r="M6844" s="206" t="str">
        <v/>
      </c>
    </row>
    <row r="6845" spans="1:13" ht="14.4">
      <c r="A6845" s="201"/>
      <c r="B6845" s="209"/>
      <c r="C6845" s="201"/>
      <c r="D6845" s="201"/>
      <c r="E6845" s="202"/>
      <c r="F6845" s="210"/>
      <c r="G6845" s="210"/>
      <c r="H6845" s="206" t="s">
        <v>121</v>
      </c>
      <c r="I6845" s="206" t="s">
        <v>121</v>
      </c>
      <c r="J6845" s="206" t="s">
        <v>121</v>
      </c>
      <c r="K6845" s="206" t="s">
        <v>121</v>
      </c>
      <c r="L6845" s="206" t="str">
        <v/>
      </c>
      <c r="M6845" s="206" t="str">
        <v/>
      </c>
    </row>
    <row r="6846" spans="1:13" ht="14.4">
      <c r="A6846" s="201"/>
      <c r="B6846" s="209"/>
      <c r="C6846" s="201"/>
      <c r="D6846" s="201"/>
      <c r="E6846" s="202"/>
      <c r="F6846" s="210"/>
      <c r="G6846" s="210"/>
      <c r="H6846" s="206" t="s">
        <v>121</v>
      </c>
      <c r="I6846" s="206" t="s">
        <v>121</v>
      </c>
      <c r="J6846" s="206" t="s">
        <v>121</v>
      </c>
      <c r="K6846" s="206" t="s">
        <v>121</v>
      </c>
      <c r="L6846" s="206" t="str">
        <v/>
      </c>
      <c r="M6846" s="206" t="str">
        <v/>
      </c>
    </row>
    <row r="6847" spans="1:13" ht="14.4">
      <c r="A6847" s="201"/>
      <c r="B6847" s="209"/>
      <c r="C6847" s="201"/>
      <c r="D6847" s="201"/>
      <c r="E6847" s="202"/>
      <c r="F6847" s="210"/>
      <c r="G6847" s="210"/>
      <c r="H6847" s="206" t="s">
        <v>121</v>
      </c>
      <c r="I6847" s="206" t="s">
        <v>121</v>
      </c>
      <c r="J6847" s="206" t="s">
        <v>121</v>
      </c>
      <c r="K6847" s="206" t="s">
        <v>121</v>
      </c>
      <c r="L6847" s="206" t="str">
        <v/>
      </c>
      <c r="M6847" s="206" t="str">
        <v/>
      </c>
    </row>
    <row r="6848" spans="1:13" ht="14.4">
      <c r="A6848" s="201"/>
      <c r="B6848" s="209"/>
      <c r="C6848" s="201"/>
      <c r="D6848" s="201"/>
      <c r="E6848" s="202"/>
      <c r="F6848" s="210"/>
      <c r="G6848" s="210"/>
      <c r="H6848" s="206" t="s">
        <v>121</v>
      </c>
      <c r="I6848" s="206" t="s">
        <v>121</v>
      </c>
      <c r="J6848" s="206" t="s">
        <v>121</v>
      </c>
      <c r="K6848" s="206" t="s">
        <v>121</v>
      </c>
      <c r="L6848" s="206" t="str">
        <v/>
      </c>
      <c r="M6848" s="206" t="str">
        <v/>
      </c>
    </row>
    <row r="6849" spans="1:13" ht="14.4">
      <c r="A6849" s="201"/>
      <c r="B6849" s="209"/>
      <c r="C6849" s="201"/>
      <c r="D6849" s="201"/>
      <c r="E6849" s="202"/>
      <c r="F6849" s="210"/>
      <c r="G6849" s="210"/>
      <c r="H6849" s="206" t="s">
        <v>121</v>
      </c>
      <c r="I6849" s="206" t="s">
        <v>121</v>
      </c>
      <c r="J6849" s="206" t="s">
        <v>121</v>
      </c>
      <c r="K6849" s="206" t="s">
        <v>121</v>
      </c>
      <c r="L6849" s="206" t="str">
        <v/>
      </c>
      <c r="M6849" s="206" t="str">
        <v/>
      </c>
    </row>
    <row r="6850" spans="1:13" ht="14.4">
      <c r="A6850" s="201"/>
      <c r="B6850" s="209"/>
      <c r="C6850" s="201"/>
      <c r="D6850" s="201"/>
      <c r="E6850" s="202"/>
      <c r="F6850" s="210"/>
      <c r="G6850" s="210"/>
      <c r="H6850" s="206" t="s">
        <v>121</v>
      </c>
      <c r="I6850" s="206" t="s">
        <v>121</v>
      </c>
      <c r="J6850" s="206" t="s">
        <v>121</v>
      </c>
      <c r="K6850" s="206" t="s">
        <v>121</v>
      </c>
      <c r="L6850" s="206" t="str">
        <v/>
      </c>
      <c r="M6850" s="206" t="str">
        <v/>
      </c>
    </row>
    <row r="6851" spans="1:13" ht="14.4">
      <c r="A6851" s="201"/>
      <c r="B6851" s="209"/>
      <c r="C6851" s="201"/>
      <c r="D6851" s="201"/>
      <c r="E6851" s="202"/>
      <c r="F6851" s="210"/>
      <c r="G6851" s="210"/>
      <c r="H6851" s="206" t="s">
        <v>121</v>
      </c>
      <c r="I6851" s="206" t="s">
        <v>121</v>
      </c>
      <c r="J6851" s="206" t="s">
        <v>121</v>
      </c>
      <c r="K6851" s="206" t="s">
        <v>121</v>
      </c>
      <c r="L6851" s="206" t="str">
        <v/>
      </c>
      <c r="M6851" s="206" t="str">
        <v/>
      </c>
    </row>
    <row r="6852" spans="1:13" ht="14.4">
      <c r="A6852" s="201"/>
      <c r="B6852" s="209"/>
      <c r="C6852" s="201"/>
      <c r="D6852" s="201"/>
      <c r="E6852" s="202"/>
      <c r="F6852" s="210"/>
      <c r="G6852" s="210"/>
      <c r="H6852" s="206" t="s">
        <v>121</v>
      </c>
      <c r="I6852" s="206" t="s">
        <v>121</v>
      </c>
      <c r="J6852" s="206" t="s">
        <v>121</v>
      </c>
      <c r="K6852" s="206" t="s">
        <v>121</v>
      </c>
      <c r="L6852" s="206" t="str">
        <v/>
      </c>
      <c r="M6852" s="206" t="str">
        <v/>
      </c>
    </row>
    <row r="6853" spans="1:13" ht="14.4">
      <c r="A6853" s="201"/>
      <c r="B6853" s="209"/>
      <c r="C6853" s="201"/>
      <c r="D6853" s="201"/>
      <c r="E6853" s="202"/>
      <c r="F6853" s="210"/>
      <c r="G6853" s="210"/>
      <c r="H6853" s="206" t="s">
        <v>121</v>
      </c>
      <c r="I6853" s="206" t="s">
        <v>121</v>
      </c>
      <c r="J6853" s="206" t="s">
        <v>121</v>
      </c>
      <c r="K6853" s="206" t="s">
        <v>121</v>
      </c>
      <c r="L6853" s="206" t="str">
        <v/>
      </c>
      <c r="M6853" s="206" t="str">
        <v/>
      </c>
    </row>
    <row r="6854" spans="1:13" ht="14.4">
      <c r="A6854" s="201"/>
      <c r="B6854" s="209"/>
      <c r="C6854" s="201"/>
      <c r="D6854" s="201"/>
      <c r="E6854" s="202"/>
      <c r="F6854" s="210"/>
      <c r="G6854" s="210"/>
      <c r="H6854" s="206" t="s">
        <v>121</v>
      </c>
      <c r="I6854" s="206" t="s">
        <v>121</v>
      </c>
      <c r="J6854" s="206" t="s">
        <v>121</v>
      </c>
      <c r="K6854" s="206" t="s">
        <v>121</v>
      </c>
      <c r="L6854" s="206" t="str">
        <v/>
      </c>
      <c r="M6854" s="206" t="str">
        <v/>
      </c>
    </row>
    <row r="6855" spans="1:13" ht="14.4">
      <c r="A6855" s="201"/>
      <c r="B6855" s="209"/>
      <c r="C6855" s="201"/>
      <c r="D6855" s="201"/>
      <c r="E6855" s="202"/>
      <c r="F6855" s="210"/>
      <c r="G6855" s="210"/>
      <c r="H6855" s="206" t="s">
        <v>121</v>
      </c>
      <c r="I6855" s="206" t="s">
        <v>121</v>
      </c>
      <c r="J6855" s="206" t="s">
        <v>121</v>
      </c>
      <c r="K6855" s="206" t="s">
        <v>121</v>
      </c>
      <c r="L6855" s="206" t="str">
        <v/>
      </c>
      <c r="M6855" s="206" t="str">
        <v/>
      </c>
    </row>
    <row r="6856" spans="1:13" ht="14.4">
      <c r="A6856" s="201"/>
      <c r="B6856" s="209"/>
      <c r="C6856" s="201"/>
      <c r="D6856" s="201"/>
      <c r="E6856" s="202"/>
      <c r="F6856" s="210"/>
      <c r="G6856" s="210"/>
      <c r="H6856" s="206" t="s">
        <v>121</v>
      </c>
      <c r="I6856" s="206" t="s">
        <v>121</v>
      </c>
      <c r="J6856" s="206" t="s">
        <v>121</v>
      </c>
      <c r="K6856" s="206" t="s">
        <v>121</v>
      </c>
      <c r="L6856" s="206" t="str">
        <v/>
      </c>
      <c r="M6856" s="206" t="str">
        <v/>
      </c>
    </row>
    <row r="6857" spans="1:13" ht="14.4">
      <c r="A6857" s="201"/>
      <c r="B6857" s="209"/>
      <c r="C6857" s="201"/>
      <c r="D6857" s="201"/>
      <c r="E6857" s="202"/>
      <c r="F6857" s="210"/>
      <c r="G6857" s="210"/>
      <c r="H6857" s="206" t="s">
        <v>121</v>
      </c>
      <c r="I6857" s="206" t="s">
        <v>121</v>
      </c>
      <c r="J6857" s="206" t="s">
        <v>121</v>
      </c>
      <c r="K6857" s="206" t="s">
        <v>121</v>
      </c>
      <c r="L6857" s="206" t="str">
        <v/>
      </c>
      <c r="M6857" s="206" t="str">
        <v/>
      </c>
    </row>
    <row r="6858" spans="1:13" ht="14.4">
      <c r="A6858" s="201"/>
      <c r="B6858" s="209"/>
      <c r="C6858" s="201"/>
      <c r="D6858" s="201"/>
      <c r="E6858" s="202"/>
      <c r="F6858" s="210"/>
      <c r="G6858" s="210"/>
      <c r="H6858" s="206" t="s">
        <v>121</v>
      </c>
      <c r="I6858" s="206" t="s">
        <v>121</v>
      </c>
      <c r="J6858" s="206" t="s">
        <v>121</v>
      </c>
      <c r="K6858" s="206" t="s">
        <v>121</v>
      </c>
      <c r="L6858" s="206" t="str">
        <v/>
      </c>
      <c r="M6858" s="206" t="str">
        <v/>
      </c>
    </row>
    <row r="6859" spans="1:13" ht="14.4">
      <c r="A6859" s="201"/>
      <c r="B6859" s="209"/>
      <c r="C6859" s="201"/>
      <c r="D6859" s="201"/>
      <c r="E6859" s="202"/>
      <c r="F6859" s="210"/>
      <c r="G6859" s="210"/>
      <c r="H6859" s="206" t="s">
        <v>121</v>
      </c>
      <c r="I6859" s="206" t="s">
        <v>121</v>
      </c>
      <c r="J6859" s="206" t="s">
        <v>121</v>
      </c>
      <c r="K6859" s="206" t="s">
        <v>121</v>
      </c>
      <c r="L6859" s="206" t="str">
        <v/>
      </c>
      <c r="M6859" s="206" t="str">
        <v/>
      </c>
    </row>
    <row r="6860" spans="1:13" ht="14.4">
      <c r="A6860" s="201"/>
      <c r="B6860" s="209"/>
      <c r="C6860" s="201"/>
      <c r="D6860" s="201"/>
      <c r="E6860" s="202"/>
      <c r="F6860" s="210"/>
      <c r="G6860" s="210"/>
      <c r="H6860" s="206" t="s">
        <v>121</v>
      </c>
      <c r="I6860" s="206" t="s">
        <v>121</v>
      </c>
      <c r="J6860" s="206" t="s">
        <v>121</v>
      </c>
      <c r="K6860" s="206" t="s">
        <v>121</v>
      </c>
      <c r="L6860" s="206" t="str">
        <v/>
      </c>
      <c r="M6860" s="206" t="str">
        <v/>
      </c>
    </row>
    <row r="6861" spans="1:13" ht="14.4">
      <c r="A6861" s="201"/>
      <c r="B6861" s="209"/>
      <c r="C6861" s="201"/>
      <c r="D6861" s="201"/>
      <c r="E6861" s="202"/>
      <c r="F6861" s="210"/>
      <c r="G6861" s="210"/>
      <c r="H6861" s="206" t="s">
        <v>121</v>
      </c>
      <c r="I6861" s="206" t="s">
        <v>121</v>
      </c>
      <c r="J6861" s="206" t="s">
        <v>121</v>
      </c>
      <c r="K6861" s="206" t="s">
        <v>121</v>
      </c>
      <c r="L6861" s="206" t="str">
        <v/>
      </c>
      <c r="M6861" s="206" t="str">
        <v/>
      </c>
    </row>
    <row r="6862" spans="1:13" ht="14.4">
      <c r="A6862" s="201"/>
      <c r="B6862" s="209"/>
      <c r="C6862" s="201"/>
      <c r="D6862" s="201"/>
      <c r="E6862" s="202"/>
      <c r="F6862" s="210"/>
      <c r="G6862" s="210"/>
      <c r="H6862" s="206" t="s">
        <v>121</v>
      </c>
      <c r="I6862" s="206" t="s">
        <v>121</v>
      </c>
      <c r="J6862" s="206" t="s">
        <v>121</v>
      </c>
      <c r="K6862" s="206" t="s">
        <v>121</v>
      </c>
      <c r="L6862" s="206" t="str">
        <v/>
      </c>
      <c r="M6862" s="206" t="str">
        <v/>
      </c>
    </row>
    <row r="6863" spans="1:13" ht="14.4">
      <c r="A6863" s="201"/>
      <c r="B6863" s="209"/>
      <c r="C6863" s="201"/>
      <c r="D6863" s="201"/>
      <c r="E6863" s="202"/>
      <c r="F6863" s="210"/>
      <c r="G6863" s="210"/>
      <c r="H6863" s="206" t="s">
        <v>121</v>
      </c>
      <c r="I6863" s="206" t="s">
        <v>121</v>
      </c>
      <c r="J6863" s="206" t="s">
        <v>121</v>
      </c>
      <c r="K6863" s="206" t="s">
        <v>121</v>
      </c>
      <c r="L6863" s="206" t="str">
        <v/>
      </c>
      <c r="M6863" s="206" t="str">
        <v/>
      </c>
    </row>
    <row r="6864" spans="1:13" ht="14.4">
      <c r="A6864" s="201"/>
      <c r="B6864" s="209"/>
      <c r="C6864" s="201"/>
      <c r="D6864" s="201"/>
      <c r="E6864" s="202"/>
      <c r="F6864" s="210"/>
      <c r="G6864" s="210"/>
      <c r="H6864" s="206" t="s">
        <v>121</v>
      </c>
      <c r="I6864" s="206" t="s">
        <v>121</v>
      </c>
      <c r="J6864" s="206" t="s">
        <v>121</v>
      </c>
      <c r="K6864" s="206" t="s">
        <v>121</v>
      </c>
      <c r="L6864" s="206" t="str">
        <v/>
      </c>
      <c r="M6864" s="206" t="str">
        <v/>
      </c>
    </row>
    <row r="6865" spans="1:13" ht="14.4">
      <c r="A6865" s="201"/>
      <c r="B6865" s="209"/>
      <c r="C6865" s="201"/>
      <c r="D6865" s="201"/>
      <c r="E6865" s="202"/>
      <c r="F6865" s="210"/>
      <c r="G6865" s="210"/>
      <c r="H6865" s="206" t="s">
        <v>121</v>
      </c>
      <c r="I6865" s="206" t="s">
        <v>121</v>
      </c>
      <c r="J6865" s="206" t="s">
        <v>121</v>
      </c>
      <c r="K6865" s="206" t="s">
        <v>121</v>
      </c>
      <c r="L6865" s="206" t="str">
        <v/>
      </c>
      <c r="M6865" s="206" t="str">
        <v/>
      </c>
    </row>
    <row r="6866" spans="1:13" ht="14.4">
      <c r="A6866" s="201"/>
      <c r="B6866" s="209"/>
      <c r="C6866" s="201"/>
      <c r="D6866" s="201"/>
      <c r="E6866" s="202"/>
      <c r="F6866" s="210"/>
      <c r="G6866" s="210"/>
      <c r="H6866" s="206" t="s">
        <v>121</v>
      </c>
      <c r="I6866" s="206" t="s">
        <v>121</v>
      </c>
      <c r="J6866" s="206" t="s">
        <v>121</v>
      </c>
      <c r="K6866" s="206" t="s">
        <v>121</v>
      </c>
      <c r="L6866" s="206" t="str">
        <v/>
      </c>
      <c r="M6866" s="206" t="str">
        <v/>
      </c>
    </row>
    <row r="6867" spans="1:13" ht="14.4">
      <c r="A6867" s="201"/>
      <c r="B6867" s="209"/>
      <c r="C6867" s="201"/>
      <c r="D6867" s="201"/>
      <c r="E6867" s="202"/>
      <c r="F6867" s="210"/>
      <c r="G6867" s="210"/>
      <c r="H6867" s="206" t="s">
        <v>121</v>
      </c>
      <c r="I6867" s="206" t="s">
        <v>121</v>
      </c>
      <c r="J6867" s="206" t="s">
        <v>121</v>
      </c>
      <c r="K6867" s="206" t="s">
        <v>121</v>
      </c>
      <c r="L6867" s="206" t="str">
        <v/>
      </c>
      <c r="M6867" s="206" t="str">
        <v/>
      </c>
    </row>
    <row r="6868" spans="1:13" ht="14.4">
      <c r="A6868" s="201"/>
      <c r="B6868" s="209"/>
      <c r="C6868" s="201"/>
      <c r="D6868" s="201"/>
      <c r="E6868" s="202"/>
      <c r="F6868" s="210"/>
      <c r="G6868" s="210"/>
      <c r="H6868" s="206" t="s">
        <v>121</v>
      </c>
      <c r="I6868" s="206" t="s">
        <v>121</v>
      </c>
      <c r="J6868" s="206" t="s">
        <v>121</v>
      </c>
      <c r="K6868" s="206" t="s">
        <v>121</v>
      </c>
      <c r="L6868" s="206" t="str">
        <v/>
      </c>
      <c r="M6868" s="206" t="str">
        <v/>
      </c>
    </row>
    <row r="6869" spans="1:13" ht="14.4">
      <c r="A6869" s="201"/>
      <c r="B6869" s="209"/>
      <c r="C6869" s="201"/>
      <c r="D6869" s="201"/>
      <c r="E6869" s="202"/>
      <c r="F6869" s="210"/>
      <c r="G6869" s="210"/>
      <c r="H6869" s="206" t="s">
        <v>121</v>
      </c>
      <c r="I6869" s="206" t="s">
        <v>121</v>
      </c>
      <c r="J6869" s="206" t="s">
        <v>121</v>
      </c>
      <c r="K6869" s="206" t="s">
        <v>121</v>
      </c>
      <c r="L6869" s="206" t="str">
        <v/>
      </c>
      <c r="M6869" s="206" t="str">
        <v/>
      </c>
    </row>
    <row r="6870" spans="1:13" ht="14.4">
      <c r="A6870" s="201"/>
      <c r="B6870" s="209"/>
      <c r="C6870" s="201"/>
      <c r="D6870" s="201"/>
      <c r="E6870" s="202"/>
      <c r="F6870" s="210"/>
      <c r="G6870" s="210"/>
      <c r="H6870" s="206" t="s">
        <v>121</v>
      </c>
      <c r="I6870" s="206" t="s">
        <v>121</v>
      </c>
      <c r="J6870" s="206" t="s">
        <v>121</v>
      </c>
      <c r="K6870" s="206" t="s">
        <v>121</v>
      </c>
      <c r="L6870" s="206" t="str">
        <v/>
      </c>
      <c r="M6870" s="206" t="str">
        <v/>
      </c>
    </row>
    <row r="6871" spans="1:13" ht="14.4">
      <c r="A6871" s="201"/>
      <c r="B6871" s="209"/>
      <c r="C6871" s="201"/>
      <c r="D6871" s="201"/>
      <c r="E6871" s="202"/>
      <c r="F6871" s="210"/>
      <c r="G6871" s="210"/>
      <c r="H6871" s="206" t="s">
        <v>121</v>
      </c>
      <c r="I6871" s="206" t="s">
        <v>121</v>
      </c>
      <c r="J6871" s="206" t="s">
        <v>121</v>
      </c>
      <c r="K6871" s="206" t="s">
        <v>121</v>
      </c>
      <c r="L6871" s="206" t="str">
        <v/>
      </c>
      <c r="M6871" s="206" t="str">
        <v/>
      </c>
    </row>
    <row r="6872" spans="1:13" ht="14.4">
      <c r="A6872" s="201"/>
      <c r="B6872" s="209"/>
      <c r="C6872" s="201"/>
      <c r="D6872" s="201"/>
      <c r="E6872" s="202"/>
      <c r="F6872" s="210"/>
      <c r="G6872" s="210"/>
      <c r="H6872" s="206" t="s">
        <v>121</v>
      </c>
      <c r="I6872" s="206" t="s">
        <v>121</v>
      </c>
      <c r="J6872" s="206" t="s">
        <v>121</v>
      </c>
      <c r="K6872" s="206" t="s">
        <v>121</v>
      </c>
      <c r="L6872" s="206" t="str">
        <v/>
      </c>
      <c r="M6872" s="206" t="str">
        <v/>
      </c>
    </row>
    <row r="6873" spans="1:13" ht="14.4">
      <c r="A6873" s="201"/>
      <c r="B6873" s="209"/>
      <c r="C6873" s="201"/>
      <c r="D6873" s="201"/>
      <c r="E6873" s="202"/>
      <c r="F6873" s="210"/>
      <c r="G6873" s="210"/>
      <c r="H6873" s="206" t="s">
        <v>121</v>
      </c>
      <c r="I6873" s="206" t="s">
        <v>121</v>
      </c>
      <c r="J6873" s="206" t="s">
        <v>121</v>
      </c>
      <c r="K6873" s="206" t="s">
        <v>121</v>
      </c>
      <c r="L6873" s="206" t="str">
        <v/>
      </c>
      <c r="M6873" s="206" t="str">
        <v/>
      </c>
    </row>
    <row r="6874" spans="1:13" ht="14.4">
      <c r="A6874" s="201"/>
      <c r="B6874" s="209"/>
      <c r="C6874" s="201"/>
      <c r="D6874" s="201"/>
      <c r="E6874" s="202"/>
      <c r="F6874" s="210"/>
      <c r="G6874" s="210"/>
      <c r="H6874" s="206" t="s">
        <v>121</v>
      </c>
      <c r="I6874" s="206" t="s">
        <v>121</v>
      </c>
      <c r="J6874" s="206" t="s">
        <v>121</v>
      </c>
      <c r="K6874" s="206" t="s">
        <v>121</v>
      </c>
      <c r="L6874" s="206" t="str">
        <v/>
      </c>
      <c r="M6874" s="206" t="str">
        <v/>
      </c>
    </row>
    <row r="6875" spans="1:13" ht="14.4">
      <c r="A6875" s="201"/>
      <c r="B6875" s="209"/>
      <c r="C6875" s="201"/>
      <c r="D6875" s="201"/>
      <c r="E6875" s="202"/>
      <c r="F6875" s="210"/>
      <c r="G6875" s="210"/>
      <c r="H6875" s="206" t="s">
        <v>121</v>
      </c>
      <c r="I6875" s="206" t="s">
        <v>121</v>
      </c>
      <c r="J6875" s="206" t="s">
        <v>121</v>
      </c>
      <c r="K6875" s="206" t="s">
        <v>121</v>
      </c>
      <c r="L6875" s="206" t="str">
        <v/>
      </c>
      <c r="M6875" s="206" t="str">
        <v/>
      </c>
    </row>
    <row r="6876" spans="1:13" ht="14.4">
      <c r="A6876" s="201"/>
      <c r="B6876" s="209"/>
      <c r="C6876" s="201"/>
      <c r="D6876" s="201"/>
      <c r="E6876" s="202"/>
      <c r="F6876" s="210"/>
      <c r="G6876" s="210"/>
      <c r="H6876" s="206" t="s">
        <v>121</v>
      </c>
      <c r="I6876" s="206" t="s">
        <v>121</v>
      </c>
      <c r="J6876" s="206" t="s">
        <v>121</v>
      </c>
      <c r="K6876" s="206" t="s">
        <v>121</v>
      </c>
      <c r="L6876" s="206" t="str">
        <v/>
      </c>
      <c r="M6876" s="206" t="str">
        <v/>
      </c>
    </row>
    <row r="6877" spans="1:13" ht="14.4">
      <c r="A6877" s="201"/>
      <c r="B6877" s="209"/>
      <c r="C6877" s="201"/>
      <c r="D6877" s="201"/>
      <c r="E6877" s="202"/>
      <c r="F6877" s="210"/>
      <c r="G6877" s="210"/>
      <c r="H6877" s="206" t="s">
        <v>121</v>
      </c>
      <c r="I6877" s="206" t="s">
        <v>121</v>
      </c>
      <c r="J6877" s="206" t="s">
        <v>121</v>
      </c>
      <c r="K6877" s="206" t="s">
        <v>121</v>
      </c>
      <c r="L6877" s="206" t="str">
        <v/>
      </c>
      <c r="M6877" s="206" t="str">
        <v/>
      </c>
    </row>
    <row r="6878" spans="1:13" ht="14.4">
      <c r="A6878" s="201"/>
      <c r="B6878" s="209"/>
      <c r="C6878" s="201"/>
      <c r="D6878" s="201"/>
      <c r="E6878" s="202"/>
      <c r="F6878" s="210"/>
      <c r="G6878" s="210"/>
      <c r="H6878" s="206" t="s">
        <v>121</v>
      </c>
      <c r="I6878" s="206" t="s">
        <v>121</v>
      </c>
      <c r="J6878" s="206" t="s">
        <v>121</v>
      </c>
      <c r="K6878" s="206" t="s">
        <v>121</v>
      </c>
      <c r="L6878" s="206" t="str">
        <v/>
      </c>
      <c r="M6878" s="206" t="str">
        <v/>
      </c>
    </row>
    <row r="6879" spans="1:13" ht="14.4">
      <c r="A6879" s="201"/>
      <c r="B6879" s="209"/>
      <c r="C6879" s="201"/>
      <c r="D6879" s="201"/>
      <c r="E6879" s="202"/>
      <c r="F6879" s="210"/>
      <c r="G6879" s="210"/>
      <c r="H6879" s="206" t="s">
        <v>121</v>
      </c>
      <c r="I6879" s="206" t="s">
        <v>121</v>
      </c>
      <c r="J6879" s="206" t="s">
        <v>121</v>
      </c>
      <c r="K6879" s="206" t="s">
        <v>121</v>
      </c>
      <c r="L6879" s="206" t="str">
        <v/>
      </c>
      <c r="M6879" s="206" t="str">
        <v/>
      </c>
    </row>
    <row r="6880" spans="1:13" ht="14.4">
      <c r="A6880" s="201"/>
      <c r="B6880" s="209"/>
      <c r="C6880" s="201"/>
      <c r="D6880" s="201"/>
      <c r="E6880" s="202"/>
      <c r="F6880" s="210"/>
      <c r="G6880" s="210"/>
      <c r="H6880" s="206" t="s">
        <v>121</v>
      </c>
      <c r="I6880" s="206" t="s">
        <v>121</v>
      </c>
      <c r="J6880" s="206" t="s">
        <v>121</v>
      </c>
      <c r="K6880" s="206" t="s">
        <v>121</v>
      </c>
      <c r="L6880" s="206" t="str">
        <v/>
      </c>
      <c r="M6880" s="206" t="str">
        <v/>
      </c>
    </row>
    <row r="6881" spans="1:13" ht="14.4">
      <c r="A6881" s="201"/>
      <c r="B6881" s="209"/>
      <c r="C6881" s="201"/>
      <c r="D6881" s="201"/>
      <c r="E6881" s="202"/>
      <c r="F6881" s="210"/>
      <c r="G6881" s="210"/>
      <c r="H6881" s="206" t="s">
        <v>121</v>
      </c>
      <c r="I6881" s="206" t="s">
        <v>121</v>
      </c>
      <c r="J6881" s="206" t="s">
        <v>121</v>
      </c>
      <c r="K6881" s="206" t="s">
        <v>121</v>
      </c>
      <c r="L6881" s="206" t="str">
        <v/>
      </c>
      <c r="M6881" s="206" t="str">
        <v/>
      </c>
    </row>
    <row r="6882" spans="1:13" ht="14.4">
      <c r="A6882" s="201"/>
      <c r="B6882" s="209"/>
      <c r="C6882" s="201"/>
      <c r="D6882" s="201"/>
      <c r="E6882" s="202"/>
      <c r="F6882" s="210"/>
      <c r="G6882" s="210"/>
      <c r="H6882" s="206" t="s">
        <v>121</v>
      </c>
      <c r="I6882" s="206" t="s">
        <v>121</v>
      </c>
      <c r="J6882" s="206" t="s">
        <v>121</v>
      </c>
      <c r="K6882" s="206" t="s">
        <v>121</v>
      </c>
      <c r="L6882" s="206" t="str">
        <v/>
      </c>
      <c r="M6882" s="206" t="str">
        <v/>
      </c>
    </row>
    <row r="6883" spans="1:13" ht="14.4">
      <c r="A6883" s="201"/>
      <c r="B6883" s="209"/>
      <c r="C6883" s="201"/>
      <c r="D6883" s="201"/>
      <c r="E6883" s="202"/>
      <c r="F6883" s="210"/>
      <c r="G6883" s="210"/>
      <c r="H6883" s="206" t="s">
        <v>121</v>
      </c>
      <c r="I6883" s="206" t="s">
        <v>121</v>
      </c>
      <c r="J6883" s="206" t="s">
        <v>121</v>
      </c>
      <c r="K6883" s="206" t="s">
        <v>121</v>
      </c>
      <c r="L6883" s="206" t="str">
        <v/>
      </c>
      <c r="M6883" s="206" t="str">
        <v/>
      </c>
    </row>
    <row r="6884" spans="1:13" ht="14.4">
      <c r="A6884" s="201"/>
      <c r="B6884" s="209"/>
      <c r="C6884" s="201"/>
      <c r="D6884" s="201"/>
      <c r="E6884" s="202"/>
      <c r="F6884" s="210"/>
      <c r="G6884" s="210"/>
      <c r="H6884" s="206" t="s">
        <v>121</v>
      </c>
      <c r="I6884" s="206" t="s">
        <v>121</v>
      </c>
      <c r="J6884" s="206" t="s">
        <v>121</v>
      </c>
      <c r="K6884" s="206" t="s">
        <v>121</v>
      </c>
      <c r="L6884" s="206" t="str">
        <v/>
      </c>
      <c r="M6884" s="206" t="str">
        <v/>
      </c>
    </row>
    <row r="6885" spans="1:13" ht="14.4">
      <c r="A6885" s="201"/>
      <c r="B6885" s="209"/>
      <c r="C6885" s="201"/>
      <c r="D6885" s="201"/>
      <c r="E6885" s="202"/>
      <c r="F6885" s="210"/>
      <c r="G6885" s="210"/>
      <c r="H6885" s="206" t="s">
        <v>121</v>
      </c>
      <c r="I6885" s="206" t="s">
        <v>121</v>
      </c>
      <c r="J6885" s="206" t="s">
        <v>121</v>
      </c>
      <c r="K6885" s="206" t="s">
        <v>121</v>
      </c>
      <c r="L6885" s="206" t="str">
        <v/>
      </c>
      <c r="M6885" s="206" t="str">
        <v/>
      </c>
    </row>
    <row r="6886" spans="1:13" ht="14.4">
      <c r="A6886" s="201"/>
      <c r="B6886" s="209"/>
      <c r="C6886" s="201"/>
      <c r="D6886" s="201"/>
      <c r="E6886" s="202"/>
      <c r="F6886" s="210"/>
      <c r="G6886" s="210"/>
      <c r="H6886" s="206" t="s">
        <v>121</v>
      </c>
      <c r="I6886" s="206" t="s">
        <v>121</v>
      </c>
      <c r="J6886" s="206" t="s">
        <v>121</v>
      </c>
      <c r="K6886" s="206" t="s">
        <v>121</v>
      </c>
      <c r="L6886" s="206" t="str">
        <v/>
      </c>
      <c r="M6886" s="206" t="str">
        <v/>
      </c>
    </row>
    <row r="6887" spans="1:13" ht="14.4">
      <c r="A6887" s="201"/>
      <c r="B6887" s="209"/>
      <c r="C6887" s="201"/>
      <c r="D6887" s="201"/>
      <c r="E6887" s="202"/>
      <c r="F6887" s="210"/>
      <c r="G6887" s="210"/>
      <c r="H6887" s="206" t="s">
        <v>121</v>
      </c>
      <c r="I6887" s="206" t="s">
        <v>121</v>
      </c>
      <c r="J6887" s="206" t="s">
        <v>121</v>
      </c>
      <c r="K6887" s="206" t="s">
        <v>121</v>
      </c>
      <c r="L6887" s="206" t="str">
        <v/>
      </c>
      <c r="M6887" s="206" t="str">
        <v/>
      </c>
    </row>
    <row r="6888" spans="1:13" ht="14.4">
      <c r="A6888" s="201"/>
      <c r="B6888" s="209"/>
      <c r="C6888" s="201"/>
      <c r="D6888" s="201"/>
      <c r="E6888" s="202"/>
      <c r="F6888" s="210"/>
      <c r="G6888" s="210"/>
      <c r="H6888" s="206" t="s">
        <v>121</v>
      </c>
      <c r="I6888" s="206" t="s">
        <v>121</v>
      </c>
      <c r="J6888" s="206" t="s">
        <v>121</v>
      </c>
      <c r="K6888" s="206" t="s">
        <v>121</v>
      </c>
      <c r="L6888" s="206" t="str">
        <v/>
      </c>
      <c r="M6888" s="206" t="str">
        <v/>
      </c>
    </row>
    <row r="6889" spans="1:13" ht="14.4">
      <c r="A6889" s="201"/>
      <c r="B6889" s="209"/>
      <c r="C6889" s="201"/>
      <c r="D6889" s="201"/>
      <c r="E6889" s="202"/>
      <c r="F6889" s="210"/>
      <c r="G6889" s="210"/>
      <c r="H6889" s="206" t="s">
        <v>121</v>
      </c>
      <c r="I6889" s="206" t="s">
        <v>121</v>
      </c>
      <c r="J6889" s="206" t="s">
        <v>121</v>
      </c>
      <c r="K6889" s="206" t="s">
        <v>121</v>
      </c>
      <c r="L6889" s="206" t="str">
        <v/>
      </c>
      <c r="M6889" s="206" t="str">
        <v/>
      </c>
    </row>
    <row r="6890" spans="1:13" ht="14.4">
      <c r="A6890" s="201"/>
      <c r="B6890" s="209"/>
      <c r="C6890" s="201"/>
      <c r="D6890" s="201"/>
      <c r="E6890" s="202"/>
      <c r="F6890" s="210"/>
      <c r="G6890" s="210"/>
      <c r="H6890" s="206" t="s">
        <v>121</v>
      </c>
      <c r="I6890" s="206" t="s">
        <v>121</v>
      </c>
      <c r="J6890" s="206" t="s">
        <v>121</v>
      </c>
      <c r="K6890" s="206" t="s">
        <v>121</v>
      </c>
      <c r="L6890" s="206" t="str">
        <v/>
      </c>
      <c r="M6890" s="206" t="str">
        <v/>
      </c>
    </row>
    <row r="6891" spans="1:13" ht="14.4">
      <c r="A6891" s="201"/>
      <c r="B6891" s="209"/>
      <c r="C6891" s="201"/>
      <c r="D6891" s="201"/>
      <c r="E6891" s="202"/>
      <c r="F6891" s="210"/>
      <c r="G6891" s="210"/>
      <c r="H6891" s="206" t="s">
        <v>121</v>
      </c>
      <c r="I6891" s="206" t="s">
        <v>121</v>
      </c>
      <c r="J6891" s="206" t="s">
        <v>121</v>
      </c>
      <c r="K6891" s="206" t="s">
        <v>121</v>
      </c>
      <c r="L6891" s="206" t="str">
        <v/>
      </c>
      <c r="M6891" s="206" t="str">
        <v/>
      </c>
    </row>
    <row r="6892" spans="1:13" ht="14.4">
      <c r="A6892" s="201"/>
      <c r="B6892" s="209"/>
      <c r="C6892" s="201"/>
      <c r="D6892" s="201"/>
      <c r="E6892" s="202"/>
      <c r="F6892" s="210"/>
      <c r="G6892" s="210"/>
      <c r="H6892" s="206" t="s">
        <v>121</v>
      </c>
      <c r="I6892" s="206" t="s">
        <v>121</v>
      </c>
      <c r="J6892" s="206" t="s">
        <v>121</v>
      </c>
      <c r="K6892" s="206" t="s">
        <v>121</v>
      </c>
      <c r="L6892" s="206" t="str">
        <v/>
      </c>
      <c r="M6892" s="206" t="str">
        <v/>
      </c>
    </row>
    <row r="6893" spans="1:13" ht="14.4">
      <c r="A6893" s="201"/>
      <c r="B6893" s="209"/>
      <c r="C6893" s="201"/>
      <c r="D6893" s="201"/>
      <c r="E6893" s="202"/>
      <c r="F6893" s="210"/>
      <c r="G6893" s="210"/>
      <c r="H6893" s="206" t="s">
        <v>121</v>
      </c>
      <c r="I6893" s="206" t="s">
        <v>121</v>
      </c>
      <c r="J6893" s="206" t="s">
        <v>121</v>
      </c>
      <c r="K6893" s="206" t="s">
        <v>121</v>
      </c>
      <c r="L6893" s="206" t="str">
        <v/>
      </c>
      <c r="M6893" s="206" t="str">
        <v/>
      </c>
    </row>
    <row r="6894" spans="1:13" ht="14.4">
      <c r="A6894" s="201"/>
      <c r="B6894" s="209"/>
      <c r="C6894" s="201"/>
      <c r="D6894" s="201"/>
      <c r="E6894" s="202"/>
      <c r="F6894" s="210"/>
      <c r="G6894" s="210"/>
      <c r="H6894" s="206" t="s">
        <v>121</v>
      </c>
      <c r="I6894" s="206" t="s">
        <v>121</v>
      </c>
      <c r="J6894" s="206" t="s">
        <v>121</v>
      </c>
      <c r="K6894" s="206" t="s">
        <v>121</v>
      </c>
      <c r="L6894" s="206" t="str">
        <v/>
      </c>
      <c r="M6894" s="206" t="str">
        <v/>
      </c>
    </row>
    <row r="6895" spans="1:13" ht="14.4">
      <c r="A6895" s="201"/>
      <c r="B6895" s="209"/>
      <c r="C6895" s="201"/>
      <c r="D6895" s="201"/>
      <c r="E6895" s="202"/>
      <c r="F6895" s="210"/>
      <c r="G6895" s="210"/>
      <c r="H6895" s="206" t="s">
        <v>121</v>
      </c>
      <c r="I6895" s="206" t="s">
        <v>121</v>
      </c>
      <c r="J6895" s="206" t="s">
        <v>121</v>
      </c>
      <c r="K6895" s="206" t="s">
        <v>121</v>
      </c>
      <c r="L6895" s="206" t="str">
        <v/>
      </c>
      <c r="M6895" s="206" t="str">
        <v/>
      </c>
    </row>
    <row r="6896" spans="1:13" ht="14.4">
      <c r="A6896" s="201"/>
      <c r="B6896" s="209"/>
      <c r="C6896" s="201"/>
      <c r="D6896" s="201"/>
      <c r="E6896" s="202"/>
      <c r="F6896" s="210"/>
      <c r="G6896" s="210"/>
      <c r="H6896" s="206" t="s">
        <v>121</v>
      </c>
      <c r="I6896" s="206" t="s">
        <v>121</v>
      </c>
      <c r="J6896" s="206" t="s">
        <v>121</v>
      </c>
      <c r="K6896" s="206" t="s">
        <v>121</v>
      </c>
      <c r="L6896" s="206" t="str">
        <v/>
      </c>
      <c r="M6896" s="206" t="str">
        <v/>
      </c>
    </row>
    <row r="6897" spans="1:13" ht="14.4">
      <c r="A6897" s="201"/>
      <c r="B6897" s="209"/>
      <c r="C6897" s="201"/>
      <c r="D6897" s="201"/>
      <c r="E6897" s="202"/>
      <c r="F6897" s="210"/>
      <c r="G6897" s="210"/>
      <c r="H6897" s="206" t="s">
        <v>121</v>
      </c>
      <c r="I6897" s="206" t="s">
        <v>121</v>
      </c>
      <c r="J6897" s="206" t="s">
        <v>121</v>
      </c>
      <c r="K6897" s="206" t="s">
        <v>121</v>
      </c>
      <c r="L6897" s="206" t="str">
        <v/>
      </c>
      <c r="M6897" s="206" t="str">
        <v/>
      </c>
    </row>
    <row r="6898" spans="1:13" ht="14.4">
      <c r="A6898" s="201"/>
      <c r="B6898" s="209"/>
      <c r="C6898" s="201"/>
      <c r="D6898" s="201"/>
      <c r="E6898" s="202"/>
      <c r="F6898" s="210"/>
      <c r="G6898" s="210"/>
      <c r="H6898" s="206" t="s">
        <v>121</v>
      </c>
      <c r="I6898" s="206" t="s">
        <v>121</v>
      </c>
      <c r="J6898" s="206" t="s">
        <v>121</v>
      </c>
      <c r="K6898" s="206" t="s">
        <v>121</v>
      </c>
      <c r="L6898" s="206" t="str">
        <v/>
      </c>
      <c r="M6898" s="206" t="str">
        <v/>
      </c>
    </row>
    <row r="6899" spans="1:13" ht="14.4">
      <c r="A6899" s="201"/>
      <c r="B6899" s="209"/>
      <c r="C6899" s="201"/>
      <c r="D6899" s="201"/>
      <c r="E6899" s="202"/>
      <c r="F6899" s="210"/>
      <c r="G6899" s="210"/>
      <c r="H6899" s="206" t="s">
        <v>121</v>
      </c>
      <c r="I6899" s="206" t="s">
        <v>121</v>
      </c>
      <c r="J6899" s="206" t="s">
        <v>121</v>
      </c>
      <c r="K6899" s="206" t="s">
        <v>121</v>
      </c>
      <c r="L6899" s="206" t="str">
        <v/>
      </c>
      <c r="M6899" s="206" t="str">
        <v/>
      </c>
    </row>
    <row r="6900" spans="1:13" ht="14.4">
      <c r="A6900" s="201"/>
      <c r="B6900" s="209"/>
      <c r="C6900" s="201"/>
      <c r="D6900" s="201"/>
      <c r="E6900" s="202"/>
      <c r="F6900" s="210"/>
      <c r="G6900" s="210"/>
      <c r="H6900" s="206" t="s">
        <v>121</v>
      </c>
      <c r="I6900" s="206" t="s">
        <v>121</v>
      </c>
      <c r="J6900" s="206" t="s">
        <v>121</v>
      </c>
      <c r="K6900" s="206" t="s">
        <v>121</v>
      </c>
      <c r="L6900" s="206" t="str">
        <v/>
      </c>
      <c r="M6900" s="206" t="str">
        <v/>
      </c>
    </row>
    <row r="6901" spans="1:13" ht="14.4">
      <c r="A6901" s="201"/>
      <c r="B6901" s="209"/>
      <c r="C6901" s="201"/>
      <c r="D6901" s="201"/>
      <c r="E6901" s="202"/>
      <c r="F6901" s="210"/>
      <c r="G6901" s="210"/>
      <c r="H6901" s="206" t="s">
        <v>121</v>
      </c>
      <c r="I6901" s="206" t="s">
        <v>121</v>
      </c>
      <c r="J6901" s="206" t="s">
        <v>121</v>
      </c>
      <c r="K6901" s="206" t="s">
        <v>121</v>
      </c>
      <c r="L6901" s="206" t="str">
        <v/>
      </c>
      <c r="M6901" s="206" t="str">
        <v/>
      </c>
    </row>
    <row r="6902" spans="1:13" ht="14.4">
      <c r="A6902" s="201"/>
      <c r="B6902" s="209"/>
      <c r="C6902" s="201"/>
      <c r="D6902" s="201"/>
      <c r="E6902" s="202"/>
      <c r="F6902" s="210"/>
      <c r="G6902" s="210"/>
      <c r="H6902" s="206" t="s">
        <v>121</v>
      </c>
      <c r="I6902" s="206" t="s">
        <v>121</v>
      </c>
      <c r="J6902" s="206" t="s">
        <v>121</v>
      </c>
      <c r="K6902" s="206" t="s">
        <v>121</v>
      </c>
      <c r="L6902" s="206" t="str">
        <v/>
      </c>
      <c r="M6902" s="206" t="str">
        <v/>
      </c>
    </row>
    <row r="6903" spans="1:13" ht="14.4">
      <c r="A6903" s="201"/>
      <c r="B6903" s="209"/>
      <c r="C6903" s="201"/>
      <c r="D6903" s="201"/>
      <c r="E6903" s="202"/>
      <c r="F6903" s="210"/>
      <c r="G6903" s="210"/>
      <c r="H6903" s="206" t="s">
        <v>121</v>
      </c>
      <c r="I6903" s="206" t="s">
        <v>121</v>
      </c>
      <c r="J6903" s="206" t="s">
        <v>121</v>
      </c>
      <c r="K6903" s="206" t="s">
        <v>121</v>
      </c>
      <c r="L6903" s="206" t="str">
        <v/>
      </c>
      <c r="M6903" s="206" t="str">
        <v/>
      </c>
    </row>
    <row r="6904" spans="1:13" ht="14.4">
      <c r="A6904" s="201"/>
      <c r="B6904" s="209"/>
      <c r="C6904" s="201"/>
      <c r="D6904" s="201"/>
      <c r="E6904" s="202"/>
      <c r="F6904" s="210"/>
      <c r="G6904" s="210"/>
      <c r="H6904" s="206" t="s">
        <v>121</v>
      </c>
      <c r="I6904" s="206" t="s">
        <v>121</v>
      </c>
      <c r="J6904" s="206" t="s">
        <v>121</v>
      </c>
      <c r="K6904" s="206" t="s">
        <v>121</v>
      </c>
      <c r="L6904" s="206" t="str">
        <v/>
      </c>
      <c r="M6904" s="206" t="str">
        <v/>
      </c>
    </row>
    <row r="6905" spans="1:13" ht="14.4">
      <c r="A6905" s="201"/>
      <c r="B6905" s="209"/>
      <c r="C6905" s="201"/>
      <c r="D6905" s="201"/>
      <c r="E6905" s="202"/>
      <c r="F6905" s="210"/>
      <c r="G6905" s="210"/>
      <c r="H6905" s="206" t="s">
        <v>121</v>
      </c>
      <c r="I6905" s="206" t="s">
        <v>121</v>
      </c>
      <c r="J6905" s="206" t="s">
        <v>121</v>
      </c>
      <c r="K6905" s="206" t="s">
        <v>121</v>
      </c>
      <c r="L6905" s="206" t="str">
        <v/>
      </c>
      <c r="M6905" s="206" t="str">
        <v/>
      </c>
    </row>
    <row r="6906" spans="1:13" ht="14.4">
      <c r="A6906" s="201"/>
      <c r="B6906" s="209"/>
      <c r="C6906" s="201"/>
      <c r="D6906" s="201"/>
      <c r="E6906" s="202"/>
      <c r="F6906" s="210"/>
      <c r="G6906" s="210"/>
      <c r="H6906" s="206" t="s">
        <v>121</v>
      </c>
      <c r="I6906" s="206" t="s">
        <v>121</v>
      </c>
      <c r="J6906" s="206" t="s">
        <v>121</v>
      </c>
      <c r="K6906" s="206" t="s">
        <v>121</v>
      </c>
      <c r="L6906" s="206" t="str">
        <v/>
      </c>
      <c r="M6906" s="206" t="str">
        <v/>
      </c>
    </row>
    <row r="6907" spans="1:13" ht="14.4">
      <c r="A6907" s="201"/>
      <c r="B6907" s="209"/>
      <c r="C6907" s="201"/>
      <c r="D6907" s="201"/>
      <c r="E6907" s="202"/>
      <c r="F6907" s="210"/>
      <c r="G6907" s="210"/>
      <c r="H6907" s="206" t="s">
        <v>121</v>
      </c>
      <c r="I6907" s="206" t="s">
        <v>121</v>
      </c>
      <c r="J6907" s="206" t="s">
        <v>121</v>
      </c>
      <c r="K6907" s="206" t="s">
        <v>121</v>
      </c>
      <c r="L6907" s="206" t="str">
        <v/>
      </c>
      <c r="M6907" s="206" t="str">
        <v/>
      </c>
    </row>
    <row r="6908" spans="1:13" ht="14.4">
      <c r="A6908" s="201"/>
      <c r="B6908" s="209"/>
      <c r="C6908" s="201"/>
      <c r="D6908" s="201"/>
      <c r="E6908" s="202"/>
      <c r="F6908" s="210"/>
      <c r="G6908" s="210"/>
      <c r="H6908" s="206" t="s">
        <v>121</v>
      </c>
      <c r="I6908" s="206" t="s">
        <v>121</v>
      </c>
      <c r="J6908" s="206" t="s">
        <v>121</v>
      </c>
      <c r="K6908" s="206" t="s">
        <v>121</v>
      </c>
      <c r="L6908" s="206" t="str">
        <v/>
      </c>
      <c r="M6908" s="206" t="str">
        <v/>
      </c>
    </row>
    <row r="6909" spans="1:13" ht="14.4">
      <c r="A6909" s="201"/>
      <c r="B6909" s="209"/>
      <c r="C6909" s="201"/>
      <c r="D6909" s="201"/>
      <c r="E6909" s="202"/>
      <c r="F6909" s="210"/>
      <c r="G6909" s="210"/>
      <c r="H6909" s="206" t="s">
        <v>121</v>
      </c>
      <c r="I6909" s="206" t="s">
        <v>121</v>
      </c>
      <c r="J6909" s="206" t="s">
        <v>121</v>
      </c>
      <c r="K6909" s="206" t="s">
        <v>121</v>
      </c>
      <c r="L6909" s="206" t="str">
        <v/>
      </c>
      <c r="M6909" s="206" t="str">
        <v/>
      </c>
    </row>
    <row r="6910" spans="1:13" ht="14.4">
      <c r="A6910" s="201"/>
      <c r="B6910" s="209"/>
      <c r="C6910" s="201"/>
      <c r="D6910" s="201"/>
      <c r="E6910" s="202"/>
      <c r="F6910" s="210"/>
      <c r="G6910" s="210"/>
      <c r="H6910" s="206" t="s">
        <v>121</v>
      </c>
      <c r="I6910" s="206" t="s">
        <v>121</v>
      </c>
      <c r="J6910" s="206" t="s">
        <v>121</v>
      </c>
      <c r="K6910" s="206" t="s">
        <v>121</v>
      </c>
      <c r="L6910" s="206" t="str">
        <v/>
      </c>
      <c r="M6910" s="206" t="str">
        <v/>
      </c>
    </row>
    <row r="6911" spans="1:13" ht="14.4">
      <c r="A6911" s="201"/>
      <c r="B6911" s="209"/>
      <c r="C6911" s="201"/>
      <c r="D6911" s="201"/>
      <c r="E6911" s="202"/>
      <c r="F6911" s="210"/>
      <c r="G6911" s="210"/>
      <c r="H6911" s="206" t="s">
        <v>121</v>
      </c>
      <c r="I6911" s="206" t="s">
        <v>121</v>
      </c>
      <c r="J6911" s="206" t="s">
        <v>121</v>
      </c>
      <c r="K6911" s="206" t="s">
        <v>121</v>
      </c>
      <c r="L6911" s="206" t="str">
        <v/>
      </c>
      <c r="M6911" s="206" t="str">
        <v/>
      </c>
    </row>
    <row r="6912" spans="1:13" ht="14.4">
      <c r="A6912" s="201"/>
      <c r="B6912" s="209"/>
      <c r="C6912" s="201"/>
      <c r="D6912" s="201"/>
      <c r="E6912" s="202"/>
      <c r="F6912" s="210"/>
      <c r="G6912" s="210"/>
      <c r="H6912" s="206" t="s">
        <v>121</v>
      </c>
      <c r="I6912" s="206" t="s">
        <v>121</v>
      </c>
      <c r="J6912" s="206" t="s">
        <v>121</v>
      </c>
      <c r="K6912" s="206" t="s">
        <v>121</v>
      </c>
      <c r="L6912" s="206" t="str">
        <v/>
      </c>
      <c r="M6912" s="206" t="str">
        <v/>
      </c>
    </row>
    <row r="6913" spans="1:13" ht="14.4">
      <c r="A6913" s="201"/>
      <c r="B6913" s="209"/>
      <c r="C6913" s="201"/>
      <c r="D6913" s="201"/>
      <c r="E6913" s="202"/>
      <c r="F6913" s="210"/>
      <c r="G6913" s="210"/>
      <c r="H6913" s="206" t="s">
        <v>121</v>
      </c>
      <c r="I6913" s="206" t="s">
        <v>121</v>
      </c>
      <c r="J6913" s="206" t="s">
        <v>121</v>
      </c>
      <c r="K6913" s="206" t="s">
        <v>121</v>
      </c>
      <c r="L6913" s="206" t="str">
        <v/>
      </c>
      <c r="M6913" s="206" t="str">
        <v/>
      </c>
    </row>
    <row r="6914" spans="1:13" ht="14.4">
      <c r="A6914" s="201"/>
      <c r="B6914" s="209"/>
      <c r="C6914" s="201"/>
      <c r="D6914" s="201"/>
      <c r="E6914" s="202"/>
      <c r="F6914" s="210"/>
      <c r="G6914" s="210"/>
      <c r="H6914" s="206" t="s">
        <v>121</v>
      </c>
      <c r="I6914" s="206" t="s">
        <v>121</v>
      </c>
      <c r="J6914" s="206" t="s">
        <v>121</v>
      </c>
      <c r="K6914" s="206" t="s">
        <v>121</v>
      </c>
      <c r="L6914" s="206" t="str">
        <v/>
      </c>
      <c r="M6914" s="206" t="str">
        <v/>
      </c>
    </row>
    <row r="6915" spans="1:13" ht="14.4">
      <c r="A6915" s="201"/>
      <c r="B6915" s="209"/>
      <c r="C6915" s="201"/>
      <c r="D6915" s="201"/>
      <c r="E6915" s="202"/>
      <c r="F6915" s="210"/>
      <c r="G6915" s="210"/>
      <c r="H6915" s="206" t="s">
        <v>121</v>
      </c>
      <c r="I6915" s="206" t="s">
        <v>121</v>
      </c>
      <c r="J6915" s="206" t="s">
        <v>121</v>
      </c>
      <c r="K6915" s="206" t="s">
        <v>121</v>
      </c>
      <c r="L6915" s="206" t="str">
        <v/>
      </c>
      <c r="M6915" s="206" t="str">
        <v/>
      </c>
    </row>
    <row r="6916" spans="1:13" ht="14.4">
      <c r="A6916" s="201"/>
      <c r="B6916" s="209"/>
      <c r="C6916" s="201"/>
      <c r="D6916" s="201"/>
      <c r="E6916" s="202"/>
      <c r="F6916" s="210"/>
      <c r="G6916" s="210"/>
      <c r="H6916" s="206" t="s">
        <v>121</v>
      </c>
      <c r="I6916" s="206" t="s">
        <v>121</v>
      </c>
      <c r="J6916" s="206" t="s">
        <v>121</v>
      </c>
      <c r="K6916" s="206" t="s">
        <v>121</v>
      </c>
      <c r="L6916" s="206" t="str">
        <v/>
      </c>
      <c r="M6916" s="206" t="str">
        <v/>
      </c>
    </row>
    <row r="6917" spans="1:13" ht="14.4">
      <c r="A6917" s="201"/>
      <c r="B6917" s="209"/>
      <c r="C6917" s="201"/>
      <c r="D6917" s="201"/>
      <c r="E6917" s="202"/>
      <c r="F6917" s="210"/>
      <c r="G6917" s="210"/>
      <c r="H6917" s="206" t="s">
        <v>121</v>
      </c>
      <c r="I6917" s="206" t="s">
        <v>121</v>
      </c>
      <c r="J6917" s="206" t="s">
        <v>121</v>
      </c>
      <c r="K6917" s="206" t="s">
        <v>121</v>
      </c>
      <c r="L6917" s="206" t="str">
        <v/>
      </c>
      <c r="M6917" s="206" t="str">
        <v/>
      </c>
    </row>
    <row r="6918" spans="1:13" ht="14.4">
      <c r="A6918" s="201"/>
      <c r="B6918" s="209"/>
      <c r="C6918" s="201"/>
      <c r="D6918" s="201"/>
      <c r="E6918" s="202"/>
      <c r="F6918" s="210"/>
      <c r="G6918" s="210"/>
      <c r="H6918" s="206" t="s">
        <v>121</v>
      </c>
      <c r="I6918" s="206" t="s">
        <v>121</v>
      </c>
      <c r="J6918" s="206" t="s">
        <v>121</v>
      </c>
      <c r="K6918" s="206" t="s">
        <v>121</v>
      </c>
      <c r="L6918" s="206" t="str">
        <v/>
      </c>
      <c r="M6918" s="206" t="str">
        <v/>
      </c>
    </row>
    <row r="6919" spans="1:13" ht="14.4">
      <c r="A6919" s="201"/>
      <c r="B6919" s="209"/>
      <c r="C6919" s="201"/>
      <c r="D6919" s="201"/>
      <c r="E6919" s="202"/>
      <c r="F6919" s="210"/>
      <c r="G6919" s="210"/>
      <c r="H6919" s="206" t="s">
        <v>121</v>
      </c>
      <c r="I6919" s="206" t="s">
        <v>121</v>
      </c>
      <c r="J6919" s="206" t="s">
        <v>121</v>
      </c>
      <c r="K6919" s="206" t="s">
        <v>121</v>
      </c>
      <c r="L6919" s="206" t="str">
        <v/>
      </c>
      <c r="M6919" s="206" t="str">
        <v/>
      </c>
    </row>
    <row r="6920" spans="1:13" ht="14.4">
      <c r="A6920" s="201"/>
      <c r="B6920" s="209"/>
      <c r="C6920" s="201"/>
      <c r="D6920" s="201"/>
      <c r="E6920" s="202"/>
      <c r="F6920" s="210"/>
      <c r="G6920" s="210"/>
      <c r="H6920" s="206" t="s">
        <v>121</v>
      </c>
      <c r="I6920" s="206" t="s">
        <v>121</v>
      </c>
      <c r="J6920" s="206" t="s">
        <v>121</v>
      </c>
      <c r="K6920" s="206" t="s">
        <v>121</v>
      </c>
      <c r="L6920" s="206" t="str">
        <v/>
      </c>
      <c r="M6920" s="206" t="str">
        <v/>
      </c>
    </row>
    <row r="6921" spans="1:13" ht="14.4">
      <c r="A6921" s="201"/>
      <c r="B6921" s="209"/>
      <c r="C6921" s="201"/>
      <c r="D6921" s="201"/>
      <c r="E6921" s="202"/>
      <c r="F6921" s="210"/>
      <c r="G6921" s="210"/>
      <c r="H6921" s="206" t="s">
        <v>121</v>
      </c>
      <c r="I6921" s="206" t="s">
        <v>121</v>
      </c>
      <c r="J6921" s="206" t="s">
        <v>121</v>
      </c>
      <c r="K6921" s="206" t="s">
        <v>121</v>
      </c>
      <c r="L6921" s="206" t="str">
        <v/>
      </c>
      <c r="M6921" s="206" t="str">
        <v/>
      </c>
    </row>
    <row r="6922" spans="1:13" ht="14.4">
      <c r="A6922" s="201"/>
      <c r="B6922" s="209"/>
      <c r="C6922" s="201"/>
      <c r="D6922" s="201"/>
      <c r="E6922" s="202"/>
      <c r="F6922" s="210"/>
      <c r="G6922" s="210"/>
      <c r="H6922" s="206" t="s">
        <v>121</v>
      </c>
      <c r="I6922" s="206" t="s">
        <v>121</v>
      </c>
      <c r="J6922" s="206" t="s">
        <v>121</v>
      </c>
      <c r="K6922" s="206" t="s">
        <v>121</v>
      </c>
      <c r="L6922" s="206" t="str">
        <v/>
      </c>
      <c r="M6922" s="206" t="str">
        <v/>
      </c>
    </row>
    <row r="6923" spans="1:13" ht="14.4">
      <c r="A6923" s="201"/>
      <c r="B6923" s="209"/>
      <c r="C6923" s="201"/>
      <c r="D6923" s="201"/>
      <c r="E6923" s="202"/>
      <c r="F6923" s="210"/>
      <c r="G6923" s="210"/>
      <c r="H6923" s="206" t="s">
        <v>121</v>
      </c>
      <c r="I6923" s="206" t="s">
        <v>121</v>
      </c>
      <c r="J6923" s="206" t="s">
        <v>121</v>
      </c>
      <c r="K6923" s="206" t="s">
        <v>121</v>
      </c>
      <c r="L6923" s="206" t="str">
        <v/>
      </c>
      <c r="M6923" s="206" t="str">
        <v/>
      </c>
    </row>
    <row r="6924" spans="1:13" ht="14.4">
      <c r="A6924" s="201"/>
      <c r="B6924" s="209"/>
      <c r="C6924" s="201"/>
      <c r="D6924" s="201"/>
      <c r="E6924" s="202"/>
      <c r="F6924" s="210"/>
      <c r="G6924" s="210"/>
      <c r="H6924" s="206" t="s">
        <v>121</v>
      </c>
      <c r="I6924" s="206" t="s">
        <v>121</v>
      </c>
      <c r="J6924" s="206" t="s">
        <v>121</v>
      </c>
      <c r="K6924" s="206" t="s">
        <v>121</v>
      </c>
      <c r="L6924" s="206" t="str">
        <v/>
      </c>
      <c r="M6924" s="206" t="str">
        <v/>
      </c>
    </row>
    <row r="6925" spans="1:13" ht="14.4">
      <c r="A6925" s="201"/>
      <c r="B6925" s="209"/>
      <c r="C6925" s="201"/>
      <c r="D6925" s="201"/>
      <c r="E6925" s="202"/>
      <c r="F6925" s="210"/>
      <c r="G6925" s="210"/>
      <c r="H6925" s="206" t="s">
        <v>121</v>
      </c>
      <c r="I6925" s="206" t="s">
        <v>121</v>
      </c>
      <c r="J6925" s="206" t="s">
        <v>121</v>
      </c>
      <c r="K6925" s="206" t="s">
        <v>121</v>
      </c>
      <c r="L6925" s="206" t="str">
        <v/>
      </c>
      <c r="M6925" s="206" t="str">
        <v/>
      </c>
    </row>
    <row r="6926" spans="1:13" ht="14.4">
      <c r="A6926" s="201"/>
      <c r="B6926" s="209"/>
      <c r="C6926" s="201"/>
      <c r="D6926" s="201"/>
      <c r="E6926" s="202"/>
      <c r="F6926" s="210"/>
      <c r="G6926" s="210"/>
      <c r="H6926" s="206" t="s">
        <v>121</v>
      </c>
      <c r="I6926" s="206" t="s">
        <v>121</v>
      </c>
      <c r="J6926" s="206" t="s">
        <v>121</v>
      </c>
      <c r="K6926" s="206" t="s">
        <v>121</v>
      </c>
      <c r="L6926" s="206" t="str">
        <v/>
      </c>
      <c r="M6926" s="206" t="str">
        <v/>
      </c>
    </row>
    <row r="6927" spans="1:13" ht="14.4">
      <c r="A6927" s="201"/>
      <c r="B6927" s="209"/>
      <c r="C6927" s="201"/>
      <c r="D6927" s="201"/>
      <c r="E6927" s="202"/>
      <c r="F6927" s="210"/>
      <c r="G6927" s="210"/>
      <c r="H6927" s="206" t="s">
        <v>121</v>
      </c>
      <c r="I6927" s="206" t="s">
        <v>121</v>
      </c>
      <c r="J6927" s="206" t="s">
        <v>121</v>
      </c>
      <c r="K6927" s="206" t="s">
        <v>121</v>
      </c>
      <c r="L6927" s="206" t="str">
        <v/>
      </c>
      <c r="M6927" s="206" t="str">
        <v/>
      </c>
    </row>
    <row r="6928" spans="1:13" ht="14.4">
      <c r="A6928" s="201"/>
      <c r="B6928" s="209"/>
      <c r="C6928" s="201"/>
      <c r="D6928" s="201"/>
      <c r="E6928" s="202"/>
      <c r="F6928" s="210"/>
      <c r="G6928" s="210"/>
      <c r="H6928" s="206" t="s">
        <v>121</v>
      </c>
      <c r="I6928" s="206" t="s">
        <v>121</v>
      </c>
      <c r="J6928" s="206" t="s">
        <v>121</v>
      </c>
      <c r="K6928" s="206" t="s">
        <v>121</v>
      </c>
      <c r="L6928" s="206" t="str">
        <v/>
      </c>
      <c r="M6928" s="206" t="str">
        <v/>
      </c>
    </row>
    <row r="6929" spans="1:13" ht="14.4">
      <c r="A6929" s="201"/>
      <c r="B6929" s="209"/>
      <c r="C6929" s="201"/>
      <c r="D6929" s="201"/>
      <c r="E6929" s="202"/>
      <c r="F6929" s="210"/>
      <c r="G6929" s="210"/>
      <c r="H6929" s="206" t="s">
        <v>121</v>
      </c>
      <c r="I6929" s="206" t="s">
        <v>121</v>
      </c>
      <c r="J6929" s="206" t="s">
        <v>121</v>
      </c>
      <c r="K6929" s="206" t="s">
        <v>121</v>
      </c>
      <c r="L6929" s="206" t="str">
        <v/>
      </c>
      <c r="M6929" s="206" t="str">
        <v/>
      </c>
    </row>
    <row r="6930" spans="1:13" ht="14.4">
      <c r="A6930" s="201"/>
      <c r="B6930" s="209"/>
      <c r="C6930" s="201"/>
      <c r="D6930" s="201"/>
      <c r="E6930" s="202"/>
      <c r="F6930" s="210"/>
      <c r="G6930" s="210"/>
      <c r="H6930" s="206" t="s">
        <v>121</v>
      </c>
      <c r="I6930" s="206" t="s">
        <v>121</v>
      </c>
      <c r="J6930" s="206" t="s">
        <v>121</v>
      </c>
      <c r="K6930" s="206" t="s">
        <v>121</v>
      </c>
      <c r="L6930" s="206" t="str">
        <v/>
      </c>
      <c r="M6930" s="206" t="str">
        <v/>
      </c>
    </row>
    <row r="6931" spans="1:13" ht="14.4">
      <c r="A6931" s="201"/>
      <c r="B6931" s="209"/>
      <c r="C6931" s="201"/>
      <c r="D6931" s="201"/>
      <c r="E6931" s="202"/>
      <c r="F6931" s="210"/>
      <c r="G6931" s="210"/>
      <c r="H6931" s="206" t="s">
        <v>121</v>
      </c>
      <c r="I6931" s="206" t="s">
        <v>121</v>
      </c>
      <c r="J6931" s="206" t="s">
        <v>121</v>
      </c>
      <c r="K6931" s="206" t="s">
        <v>121</v>
      </c>
      <c r="L6931" s="206" t="str">
        <v/>
      </c>
      <c r="M6931" s="206" t="str">
        <v/>
      </c>
    </row>
    <row r="6932" spans="1:13" ht="14.4">
      <c r="A6932" s="201"/>
      <c r="B6932" s="209"/>
      <c r="C6932" s="201"/>
      <c r="D6932" s="201"/>
      <c r="E6932" s="202"/>
      <c r="F6932" s="210"/>
      <c r="G6932" s="210"/>
      <c r="H6932" s="206" t="s">
        <v>121</v>
      </c>
      <c r="I6932" s="206" t="s">
        <v>121</v>
      </c>
      <c r="J6932" s="206" t="s">
        <v>121</v>
      </c>
      <c r="K6932" s="206" t="s">
        <v>121</v>
      </c>
      <c r="L6932" s="206" t="str">
        <v/>
      </c>
      <c r="M6932" s="206" t="str">
        <v/>
      </c>
    </row>
    <row r="6933" spans="1:13" ht="14.4">
      <c r="A6933" s="201"/>
      <c r="B6933" s="209"/>
      <c r="C6933" s="201"/>
      <c r="D6933" s="201"/>
      <c r="E6933" s="202"/>
      <c r="F6933" s="210"/>
      <c r="G6933" s="210"/>
      <c r="H6933" s="206" t="s">
        <v>121</v>
      </c>
      <c r="I6933" s="206" t="s">
        <v>121</v>
      </c>
      <c r="J6933" s="206" t="s">
        <v>121</v>
      </c>
      <c r="K6933" s="206" t="s">
        <v>121</v>
      </c>
      <c r="L6933" s="206" t="str">
        <v/>
      </c>
      <c r="M6933" s="206" t="str">
        <v/>
      </c>
    </row>
    <row r="6934" spans="1:13" ht="14.4">
      <c r="A6934" s="201"/>
      <c r="B6934" s="209"/>
      <c r="C6934" s="201"/>
      <c r="D6934" s="201"/>
      <c r="E6934" s="202"/>
      <c r="F6934" s="210"/>
      <c r="G6934" s="210"/>
      <c r="H6934" s="206" t="s">
        <v>121</v>
      </c>
      <c r="I6934" s="206" t="s">
        <v>121</v>
      </c>
      <c r="J6934" s="206" t="s">
        <v>121</v>
      </c>
      <c r="K6934" s="206" t="s">
        <v>121</v>
      </c>
      <c r="L6934" s="206" t="str">
        <v/>
      </c>
      <c r="M6934" s="206" t="str">
        <v/>
      </c>
    </row>
    <row r="6935" spans="1:13" ht="14.4">
      <c r="A6935" s="201"/>
      <c r="B6935" s="209"/>
      <c r="C6935" s="201"/>
      <c r="D6935" s="201"/>
      <c r="E6935" s="202"/>
      <c r="F6935" s="210"/>
      <c r="G6935" s="210"/>
      <c r="H6935" s="206" t="s">
        <v>121</v>
      </c>
      <c r="I6935" s="206" t="s">
        <v>121</v>
      </c>
      <c r="J6935" s="206" t="s">
        <v>121</v>
      </c>
      <c r="K6935" s="206" t="s">
        <v>121</v>
      </c>
      <c r="L6935" s="206" t="str">
        <v/>
      </c>
      <c r="M6935" s="206" t="str">
        <v/>
      </c>
    </row>
    <row r="6936" spans="1:13" ht="14.4">
      <c r="A6936" s="201"/>
      <c r="B6936" s="209"/>
      <c r="C6936" s="201"/>
      <c r="D6936" s="201"/>
      <c r="E6936" s="202"/>
      <c r="F6936" s="210"/>
      <c r="G6936" s="210"/>
      <c r="H6936" s="206" t="s">
        <v>121</v>
      </c>
      <c r="I6936" s="206" t="s">
        <v>121</v>
      </c>
      <c r="J6936" s="206" t="s">
        <v>121</v>
      </c>
      <c r="K6936" s="206" t="s">
        <v>121</v>
      </c>
      <c r="L6936" s="206" t="str">
        <v/>
      </c>
      <c r="M6936" s="206" t="str">
        <v/>
      </c>
    </row>
    <row r="6937" spans="1:13" ht="14.4">
      <c r="A6937" s="201"/>
      <c r="B6937" s="209"/>
      <c r="C6937" s="201"/>
      <c r="D6937" s="201"/>
      <c r="E6937" s="202"/>
      <c r="F6937" s="210"/>
      <c r="G6937" s="210"/>
      <c r="H6937" s="206" t="s">
        <v>121</v>
      </c>
      <c r="I6937" s="206" t="s">
        <v>121</v>
      </c>
      <c r="J6937" s="206" t="s">
        <v>121</v>
      </c>
      <c r="K6937" s="206" t="s">
        <v>121</v>
      </c>
      <c r="L6937" s="206" t="str">
        <v/>
      </c>
      <c r="M6937" s="206" t="str">
        <v/>
      </c>
    </row>
    <row r="6938" spans="1:13" ht="14.4">
      <c r="A6938" s="201"/>
      <c r="B6938" s="209"/>
      <c r="C6938" s="201"/>
      <c r="D6938" s="201"/>
      <c r="E6938" s="202"/>
      <c r="F6938" s="210"/>
      <c r="G6938" s="210"/>
      <c r="H6938" s="206" t="s">
        <v>121</v>
      </c>
      <c r="I6938" s="206" t="s">
        <v>121</v>
      </c>
      <c r="J6938" s="206" t="s">
        <v>121</v>
      </c>
      <c r="K6938" s="206" t="s">
        <v>121</v>
      </c>
      <c r="L6938" s="206" t="str">
        <v/>
      </c>
      <c r="M6938" s="206" t="str">
        <v/>
      </c>
    </row>
    <row r="6939" spans="1:13" ht="14.4">
      <c r="A6939" s="201"/>
      <c r="B6939" s="209"/>
      <c r="C6939" s="201"/>
      <c r="D6939" s="201"/>
      <c r="E6939" s="202"/>
      <c r="F6939" s="210"/>
      <c r="G6939" s="210"/>
      <c r="H6939" s="206" t="s">
        <v>121</v>
      </c>
      <c r="I6939" s="206" t="s">
        <v>121</v>
      </c>
      <c r="J6939" s="206" t="s">
        <v>121</v>
      </c>
      <c r="K6939" s="206" t="s">
        <v>121</v>
      </c>
      <c r="L6939" s="206" t="str">
        <v/>
      </c>
      <c r="M6939" s="206" t="str">
        <v/>
      </c>
    </row>
    <row r="6940" spans="1:13" ht="14.4">
      <c r="A6940" s="201"/>
      <c r="B6940" s="209"/>
      <c r="C6940" s="201"/>
      <c r="D6940" s="201"/>
      <c r="E6940" s="202"/>
      <c r="F6940" s="210"/>
      <c r="G6940" s="210"/>
      <c r="H6940" s="206" t="s">
        <v>121</v>
      </c>
      <c r="I6940" s="206" t="s">
        <v>121</v>
      </c>
      <c r="J6940" s="206" t="s">
        <v>121</v>
      </c>
      <c r="K6940" s="206" t="s">
        <v>121</v>
      </c>
      <c r="L6940" s="206" t="str">
        <v/>
      </c>
      <c r="M6940" s="206" t="str">
        <v/>
      </c>
    </row>
    <row r="6941" spans="1:13" ht="14.4">
      <c r="A6941" s="201"/>
      <c r="B6941" s="209"/>
      <c r="C6941" s="201"/>
      <c r="D6941" s="201"/>
      <c r="E6941" s="202"/>
      <c r="F6941" s="210"/>
      <c r="G6941" s="210"/>
      <c r="H6941" s="206" t="s">
        <v>121</v>
      </c>
      <c r="I6941" s="206" t="s">
        <v>121</v>
      </c>
      <c r="J6941" s="206" t="s">
        <v>121</v>
      </c>
      <c r="K6941" s="206" t="s">
        <v>121</v>
      </c>
      <c r="L6941" s="206" t="str">
        <v/>
      </c>
      <c r="M6941" s="206" t="str">
        <v/>
      </c>
    </row>
    <row r="6942" spans="1:13" ht="14.4">
      <c r="A6942" s="201"/>
      <c r="B6942" s="209"/>
      <c r="C6942" s="201"/>
      <c r="D6942" s="201"/>
      <c r="E6942" s="202"/>
      <c r="F6942" s="210"/>
      <c r="G6942" s="210"/>
      <c r="H6942" s="206" t="s">
        <v>121</v>
      </c>
      <c r="I6942" s="206" t="s">
        <v>121</v>
      </c>
      <c r="J6942" s="206" t="s">
        <v>121</v>
      </c>
      <c r="K6942" s="206" t="s">
        <v>121</v>
      </c>
      <c r="L6942" s="206" t="str">
        <v/>
      </c>
      <c r="M6942" s="206" t="str">
        <v/>
      </c>
    </row>
    <row r="6943" spans="1:13" ht="14.4">
      <c r="A6943" s="201"/>
      <c r="B6943" s="209"/>
      <c r="C6943" s="201"/>
      <c r="D6943" s="201"/>
      <c r="E6943" s="202"/>
      <c r="F6943" s="210"/>
      <c r="G6943" s="210"/>
      <c r="H6943" s="206" t="s">
        <v>121</v>
      </c>
      <c r="I6943" s="206" t="s">
        <v>121</v>
      </c>
      <c r="J6943" s="206" t="s">
        <v>121</v>
      </c>
      <c r="K6943" s="206" t="s">
        <v>121</v>
      </c>
      <c r="L6943" s="206" t="str">
        <v/>
      </c>
      <c r="M6943" s="206" t="str">
        <v/>
      </c>
    </row>
    <row r="6944" spans="1:13" ht="14.4">
      <c r="A6944" s="201"/>
      <c r="B6944" s="209"/>
      <c r="C6944" s="201"/>
      <c r="D6944" s="201"/>
      <c r="E6944" s="202"/>
      <c r="F6944" s="210"/>
      <c r="G6944" s="210"/>
      <c r="H6944" s="206" t="s">
        <v>121</v>
      </c>
      <c r="I6944" s="206" t="s">
        <v>121</v>
      </c>
      <c r="J6944" s="206" t="s">
        <v>121</v>
      </c>
      <c r="K6944" s="206" t="s">
        <v>121</v>
      </c>
      <c r="L6944" s="206" t="str">
        <v/>
      </c>
      <c r="M6944" s="206" t="str">
        <v/>
      </c>
    </row>
    <row r="6945" spans="1:13" ht="14.4">
      <c r="A6945" s="201"/>
      <c r="B6945" s="209"/>
      <c r="C6945" s="201"/>
      <c r="D6945" s="201"/>
      <c r="E6945" s="202"/>
      <c r="F6945" s="210"/>
      <c r="G6945" s="210"/>
      <c r="H6945" s="206" t="s">
        <v>121</v>
      </c>
      <c r="I6945" s="206" t="s">
        <v>121</v>
      </c>
      <c r="J6945" s="206" t="s">
        <v>121</v>
      </c>
      <c r="K6945" s="206" t="s">
        <v>121</v>
      </c>
      <c r="L6945" s="206" t="str">
        <v/>
      </c>
      <c r="M6945" s="206" t="str">
        <v/>
      </c>
    </row>
    <row r="6946" spans="1:13" ht="14.4">
      <c r="A6946" s="201"/>
      <c r="B6946" s="209"/>
      <c r="C6946" s="201"/>
      <c r="D6946" s="201"/>
      <c r="E6946" s="202"/>
      <c r="F6946" s="210"/>
      <c r="G6946" s="210"/>
      <c r="H6946" s="206" t="s">
        <v>121</v>
      </c>
      <c r="I6946" s="206" t="s">
        <v>121</v>
      </c>
      <c r="J6946" s="206" t="s">
        <v>121</v>
      </c>
      <c r="K6946" s="206" t="s">
        <v>121</v>
      </c>
      <c r="L6946" s="206" t="str">
        <v/>
      </c>
      <c r="M6946" s="206" t="str">
        <v/>
      </c>
    </row>
    <row r="6947" spans="1:13" ht="14.4">
      <c r="A6947" s="201"/>
      <c r="B6947" s="209"/>
      <c r="C6947" s="201"/>
      <c r="D6947" s="201"/>
      <c r="E6947" s="202"/>
      <c r="F6947" s="210"/>
      <c r="G6947" s="210"/>
      <c r="H6947" s="206" t="s">
        <v>121</v>
      </c>
      <c r="I6947" s="206" t="s">
        <v>121</v>
      </c>
      <c r="J6947" s="206" t="s">
        <v>121</v>
      </c>
      <c r="K6947" s="206" t="s">
        <v>121</v>
      </c>
      <c r="L6947" s="206" t="str">
        <v/>
      </c>
      <c r="M6947" s="206" t="str">
        <v/>
      </c>
    </row>
    <row r="6948" spans="1:13" ht="14.4">
      <c r="A6948" s="201"/>
      <c r="B6948" s="209"/>
      <c r="C6948" s="201"/>
      <c r="D6948" s="201"/>
      <c r="E6948" s="202"/>
      <c r="F6948" s="210"/>
      <c r="G6948" s="210"/>
      <c r="H6948" s="206" t="s">
        <v>121</v>
      </c>
      <c r="I6948" s="206" t="s">
        <v>121</v>
      </c>
      <c r="J6948" s="206" t="s">
        <v>121</v>
      </c>
      <c r="K6948" s="206" t="s">
        <v>121</v>
      </c>
      <c r="L6948" s="206" t="str">
        <v/>
      </c>
      <c r="M6948" s="206" t="str">
        <v/>
      </c>
    </row>
    <row r="6949" spans="1:13" ht="14.4">
      <c r="A6949" s="201"/>
      <c r="B6949" s="209"/>
      <c r="C6949" s="201"/>
      <c r="D6949" s="201"/>
      <c r="E6949" s="202"/>
      <c r="F6949" s="210"/>
      <c r="G6949" s="210"/>
      <c r="H6949" s="206" t="s">
        <v>121</v>
      </c>
      <c r="I6949" s="206" t="s">
        <v>121</v>
      </c>
      <c r="J6949" s="206" t="s">
        <v>121</v>
      </c>
      <c r="K6949" s="206" t="s">
        <v>121</v>
      </c>
      <c r="L6949" s="206" t="str">
        <v/>
      </c>
      <c r="M6949" s="206" t="str">
        <v/>
      </c>
    </row>
    <row r="6950" spans="1:13" ht="14.4">
      <c r="A6950" s="201"/>
      <c r="B6950" s="209"/>
      <c r="C6950" s="201"/>
      <c r="D6950" s="201"/>
      <c r="E6950" s="202"/>
      <c r="F6950" s="210"/>
      <c r="G6950" s="210"/>
      <c r="H6950" s="206" t="s">
        <v>121</v>
      </c>
      <c r="I6950" s="206" t="s">
        <v>121</v>
      </c>
      <c r="J6950" s="206" t="s">
        <v>121</v>
      </c>
      <c r="K6950" s="206" t="s">
        <v>121</v>
      </c>
      <c r="L6950" s="206" t="str">
        <v/>
      </c>
      <c r="M6950" s="206" t="str">
        <v/>
      </c>
    </row>
    <row r="6951" spans="1:13" ht="14.4">
      <c r="A6951" s="201"/>
      <c r="B6951" s="209"/>
      <c r="C6951" s="201"/>
      <c r="D6951" s="201"/>
      <c r="E6951" s="202"/>
      <c r="F6951" s="210"/>
      <c r="G6951" s="210"/>
      <c r="H6951" s="206" t="s">
        <v>121</v>
      </c>
      <c r="I6951" s="206" t="s">
        <v>121</v>
      </c>
      <c r="J6951" s="206" t="s">
        <v>121</v>
      </c>
      <c r="K6951" s="206" t="s">
        <v>121</v>
      </c>
      <c r="L6951" s="206" t="str">
        <v/>
      </c>
      <c r="M6951" s="206" t="str">
        <v/>
      </c>
    </row>
    <row r="6952" spans="1:13" ht="14.4">
      <c r="A6952" s="201"/>
      <c r="B6952" s="209"/>
      <c r="C6952" s="201"/>
      <c r="D6952" s="201"/>
      <c r="E6952" s="202"/>
      <c r="F6952" s="210"/>
      <c r="G6952" s="210"/>
      <c r="H6952" s="206" t="s">
        <v>121</v>
      </c>
      <c r="I6952" s="206" t="s">
        <v>121</v>
      </c>
      <c r="J6952" s="206" t="s">
        <v>121</v>
      </c>
      <c r="K6952" s="206" t="s">
        <v>121</v>
      </c>
      <c r="L6952" s="206" t="str">
        <v/>
      </c>
      <c r="M6952" s="206" t="str">
        <v/>
      </c>
    </row>
    <row r="6953" spans="1:13" ht="14.4">
      <c r="A6953" s="201"/>
      <c r="B6953" s="209"/>
      <c r="C6953" s="201"/>
      <c r="D6953" s="201"/>
      <c r="E6953" s="202"/>
      <c r="F6953" s="210"/>
      <c r="G6953" s="210"/>
      <c r="H6953" s="206" t="s">
        <v>121</v>
      </c>
      <c r="I6953" s="206" t="s">
        <v>121</v>
      </c>
      <c r="J6953" s="206" t="s">
        <v>121</v>
      </c>
      <c r="K6953" s="206" t="s">
        <v>121</v>
      </c>
      <c r="L6953" s="206" t="str">
        <v/>
      </c>
      <c r="M6953" s="206" t="str">
        <v/>
      </c>
    </row>
    <row r="6954" spans="1:13" ht="14.4">
      <c r="A6954" s="201"/>
      <c r="B6954" s="209"/>
      <c r="C6954" s="201"/>
      <c r="D6954" s="201"/>
      <c r="E6954" s="202"/>
      <c r="F6954" s="210"/>
      <c r="G6954" s="210"/>
      <c r="H6954" s="206" t="s">
        <v>121</v>
      </c>
      <c r="I6954" s="206" t="s">
        <v>121</v>
      </c>
      <c r="J6954" s="206" t="s">
        <v>121</v>
      </c>
      <c r="K6954" s="206" t="s">
        <v>121</v>
      </c>
      <c r="L6954" s="206" t="str">
        <v/>
      </c>
      <c r="M6954" s="206" t="str">
        <v/>
      </c>
    </row>
    <row r="6955" spans="1:13" ht="14.4">
      <c r="A6955" s="201"/>
      <c r="B6955" s="209"/>
      <c r="C6955" s="201"/>
      <c r="D6955" s="201"/>
      <c r="E6955" s="202"/>
      <c r="F6955" s="210"/>
      <c r="G6955" s="210"/>
      <c r="H6955" s="206" t="s">
        <v>121</v>
      </c>
      <c r="I6955" s="206" t="s">
        <v>121</v>
      </c>
      <c r="J6955" s="206" t="s">
        <v>121</v>
      </c>
      <c r="K6955" s="206" t="s">
        <v>121</v>
      </c>
      <c r="L6955" s="206" t="str">
        <v/>
      </c>
      <c r="M6955" s="206" t="str">
        <v/>
      </c>
    </row>
    <row r="6956" spans="1:13" ht="14.4">
      <c r="A6956" s="201"/>
      <c r="B6956" s="209"/>
      <c r="C6956" s="201"/>
      <c r="D6956" s="201"/>
      <c r="E6956" s="202"/>
      <c r="F6956" s="210"/>
      <c r="G6956" s="210"/>
      <c r="H6956" s="206" t="s">
        <v>121</v>
      </c>
      <c r="I6956" s="206" t="s">
        <v>121</v>
      </c>
      <c r="J6956" s="206" t="s">
        <v>121</v>
      </c>
      <c r="K6956" s="206" t="s">
        <v>121</v>
      </c>
      <c r="L6956" s="206" t="str">
        <v/>
      </c>
      <c r="M6956" s="206" t="str">
        <v/>
      </c>
    </row>
    <row r="6957" spans="1:13" ht="14.4">
      <c r="A6957" s="201"/>
      <c r="B6957" s="209"/>
      <c r="C6957" s="201"/>
      <c r="D6957" s="201"/>
      <c r="E6957" s="202"/>
      <c r="F6957" s="210"/>
      <c r="G6957" s="210"/>
      <c r="H6957" s="206" t="s">
        <v>121</v>
      </c>
      <c r="I6957" s="206" t="s">
        <v>121</v>
      </c>
      <c r="J6957" s="206" t="s">
        <v>121</v>
      </c>
      <c r="K6957" s="206" t="s">
        <v>121</v>
      </c>
      <c r="L6957" s="206" t="str">
        <v/>
      </c>
      <c r="M6957" s="206" t="str">
        <v/>
      </c>
    </row>
    <row r="6958" spans="1:13" ht="14.4">
      <c r="A6958" s="201"/>
      <c r="B6958" s="209"/>
      <c r="C6958" s="201"/>
      <c r="D6958" s="201"/>
      <c r="E6958" s="202"/>
      <c r="F6958" s="210"/>
      <c r="G6958" s="210"/>
      <c r="H6958" s="206" t="s">
        <v>121</v>
      </c>
      <c r="I6958" s="206" t="s">
        <v>121</v>
      </c>
      <c r="J6958" s="206" t="s">
        <v>121</v>
      </c>
      <c r="K6958" s="206" t="s">
        <v>121</v>
      </c>
      <c r="L6958" s="206" t="str">
        <v/>
      </c>
      <c r="M6958" s="206" t="str">
        <v/>
      </c>
    </row>
    <row r="6959" spans="1:13" ht="14.4">
      <c r="A6959" s="201"/>
      <c r="B6959" s="209"/>
      <c r="C6959" s="201"/>
      <c r="D6959" s="201"/>
      <c r="E6959" s="202"/>
      <c r="F6959" s="210"/>
      <c r="G6959" s="210"/>
      <c r="H6959" s="206" t="s">
        <v>121</v>
      </c>
      <c r="I6959" s="206" t="s">
        <v>121</v>
      </c>
      <c r="J6959" s="206" t="s">
        <v>121</v>
      </c>
      <c r="K6959" s="206" t="s">
        <v>121</v>
      </c>
      <c r="L6959" s="206" t="str">
        <v/>
      </c>
      <c r="M6959" s="206" t="str">
        <v/>
      </c>
    </row>
    <row r="6960" spans="1:13" ht="14.4">
      <c r="A6960" s="201"/>
      <c r="B6960" s="209"/>
      <c r="C6960" s="201"/>
      <c r="D6960" s="201"/>
      <c r="E6960" s="202"/>
      <c r="F6960" s="210"/>
      <c r="G6960" s="210"/>
      <c r="H6960" s="206" t="s">
        <v>121</v>
      </c>
      <c r="I6960" s="206" t="s">
        <v>121</v>
      </c>
      <c r="J6960" s="206" t="s">
        <v>121</v>
      </c>
      <c r="K6960" s="206" t="s">
        <v>121</v>
      </c>
      <c r="L6960" s="206" t="str">
        <v/>
      </c>
      <c r="M6960" s="206" t="str">
        <v/>
      </c>
    </row>
    <row r="6961" spans="1:13" ht="14.4">
      <c r="A6961" s="201"/>
      <c r="B6961" s="209"/>
      <c r="C6961" s="201"/>
      <c r="D6961" s="201"/>
      <c r="E6961" s="202"/>
      <c r="F6961" s="210"/>
      <c r="G6961" s="210"/>
      <c r="H6961" s="206" t="s">
        <v>121</v>
      </c>
      <c r="I6961" s="206" t="s">
        <v>121</v>
      </c>
      <c r="J6961" s="206" t="s">
        <v>121</v>
      </c>
      <c r="K6961" s="206" t="s">
        <v>121</v>
      </c>
      <c r="L6961" s="206" t="str">
        <v/>
      </c>
      <c r="M6961" s="206" t="str">
        <v/>
      </c>
    </row>
    <row r="6962" spans="1:13" ht="14.4">
      <c r="A6962" s="201"/>
      <c r="B6962" s="209"/>
      <c r="C6962" s="201"/>
      <c r="D6962" s="201"/>
      <c r="E6962" s="202"/>
      <c r="F6962" s="210"/>
      <c r="G6962" s="210"/>
      <c r="H6962" s="206" t="s">
        <v>121</v>
      </c>
      <c r="I6962" s="206" t="s">
        <v>121</v>
      </c>
      <c r="J6962" s="206" t="s">
        <v>121</v>
      </c>
      <c r="K6962" s="206" t="s">
        <v>121</v>
      </c>
      <c r="L6962" s="206" t="str">
        <v/>
      </c>
      <c r="M6962" s="206" t="str">
        <v/>
      </c>
    </row>
    <row r="6963" spans="1:13" ht="14.4">
      <c r="A6963" s="201"/>
      <c r="B6963" s="209"/>
      <c r="C6963" s="201"/>
      <c r="D6963" s="201"/>
      <c r="E6963" s="202"/>
      <c r="F6963" s="210"/>
      <c r="G6963" s="210"/>
      <c r="H6963" s="206" t="s">
        <v>121</v>
      </c>
      <c r="I6963" s="206" t="s">
        <v>121</v>
      </c>
      <c r="J6963" s="206" t="s">
        <v>121</v>
      </c>
      <c r="K6963" s="206" t="s">
        <v>121</v>
      </c>
      <c r="L6963" s="206" t="str">
        <v/>
      </c>
      <c r="M6963" s="206" t="str">
        <v/>
      </c>
    </row>
    <row r="6964" spans="1:13" ht="14.4">
      <c r="A6964" s="201"/>
      <c r="B6964" s="209"/>
      <c r="C6964" s="201"/>
      <c r="D6964" s="201"/>
      <c r="E6964" s="202"/>
      <c r="F6964" s="210"/>
      <c r="G6964" s="210"/>
      <c r="H6964" s="206" t="s">
        <v>121</v>
      </c>
      <c r="I6964" s="206" t="s">
        <v>121</v>
      </c>
      <c r="J6964" s="206" t="s">
        <v>121</v>
      </c>
      <c r="K6964" s="206" t="s">
        <v>121</v>
      </c>
      <c r="L6964" s="206" t="str">
        <v/>
      </c>
      <c r="M6964" s="206" t="str">
        <v/>
      </c>
    </row>
    <row r="6965" spans="1:13" ht="14.4">
      <c r="A6965" s="201"/>
      <c r="B6965" s="209"/>
      <c r="C6965" s="201"/>
      <c r="D6965" s="201"/>
      <c r="E6965" s="202"/>
      <c r="F6965" s="210"/>
      <c r="G6965" s="210"/>
      <c r="H6965" s="206" t="s">
        <v>121</v>
      </c>
      <c r="I6965" s="206" t="s">
        <v>121</v>
      </c>
      <c r="J6965" s="206" t="s">
        <v>121</v>
      </c>
      <c r="K6965" s="206" t="s">
        <v>121</v>
      </c>
      <c r="L6965" s="206" t="str">
        <v/>
      </c>
      <c r="M6965" s="206" t="str">
        <v/>
      </c>
    </row>
    <row r="6966" spans="1:13" ht="14.4">
      <c r="A6966" s="201"/>
      <c r="B6966" s="209"/>
      <c r="C6966" s="201"/>
      <c r="D6966" s="201"/>
      <c r="E6966" s="202"/>
      <c r="F6966" s="210"/>
      <c r="G6966" s="210"/>
      <c r="H6966" s="206" t="s">
        <v>121</v>
      </c>
      <c r="I6966" s="206" t="s">
        <v>121</v>
      </c>
      <c r="J6966" s="206" t="s">
        <v>121</v>
      </c>
      <c r="K6966" s="206" t="s">
        <v>121</v>
      </c>
      <c r="L6966" s="206" t="str">
        <v/>
      </c>
      <c r="M6966" s="206" t="str">
        <v/>
      </c>
    </row>
    <row r="6967" spans="1:13" ht="14.4">
      <c r="A6967" s="201"/>
      <c r="B6967" s="209"/>
      <c r="C6967" s="201"/>
      <c r="D6967" s="201"/>
      <c r="E6967" s="202"/>
      <c r="F6967" s="210"/>
      <c r="G6967" s="210"/>
      <c r="H6967" s="206" t="s">
        <v>121</v>
      </c>
      <c r="I6967" s="206" t="s">
        <v>121</v>
      </c>
      <c r="J6967" s="206" t="s">
        <v>121</v>
      </c>
      <c r="K6967" s="206" t="s">
        <v>121</v>
      </c>
      <c r="L6967" s="206" t="str">
        <v/>
      </c>
      <c r="M6967" s="206" t="str">
        <v/>
      </c>
    </row>
    <row r="6968" spans="1:13" ht="14.4">
      <c r="A6968" s="201"/>
      <c r="B6968" s="209"/>
      <c r="C6968" s="201"/>
      <c r="D6968" s="201"/>
      <c r="E6968" s="202"/>
      <c r="F6968" s="210"/>
      <c r="G6968" s="210"/>
      <c r="H6968" s="206" t="s">
        <v>121</v>
      </c>
      <c r="I6968" s="206" t="s">
        <v>121</v>
      </c>
      <c r="J6968" s="206" t="s">
        <v>121</v>
      </c>
      <c r="K6968" s="206" t="s">
        <v>121</v>
      </c>
      <c r="L6968" s="206" t="str">
        <v/>
      </c>
      <c r="M6968" s="206" t="str">
        <v/>
      </c>
    </row>
    <row r="6969" spans="1:13" ht="14.4">
      <c r="A6969" s="201"/>
      <c r="B6969" s="209"/>
      <c r="C6969" s="201"/>
      <c r="D6969" s="201"/>
      <c r="E6969" s="202"/>
      <c r="F6969" s="210"/>
      <c r="G6969" s="210"/>
      <c r="H6969" s="206" t="s">
        <v>121</v>
      </c>
      <c r="I6969" s="206" t="s">
        <v>121</v>
      </c>
      <c r="J6969" s="206" t="s">
        <v>121</v>
      </c>
      <c r="K6969" s="206" t="s">
        <v>121</v>
      </c>
      <c r="L6969" s="206" t="str">
        <v/>
      </c>
      <c r="M6969" s="206" t="str">
        <v/>
      </c>
    </row>
    <row r="6970" spans="1:13" ht="14.4">
      <c r="A6970" s="201"/>
      <c r="B6970" s="209"/>
      <c r="C6970" s="201"/>
      <c r="D6970" s="201"/>
      <c r="E6970" s="202"/>
      <c r="F6970" s="210"/>
      <c r="G6970" s="210"/>
      <c r="H6970" s="206" t="s">
        <v>121</v>
      </c>
      <c r="I6970" s="206" t="s">
        <v>121</v>
      </c>
      <c r="J6970" s="206" t="s">
        <v>121</v>
      </c>
      <c r="K6970" s="206" t="s">
        <v>121</v>
      </c>
      <c r="L6970" s="206" t="str">
        <v/>
      </c>
      <c r="M6970" s="206" t="str">
        <v/>
      </c>
    </row>
    <row r="6971" spans="1:13" ht="14.4">
      <c r="A6971" s="201"/>
      <c r="B6971" s="209"/>
      <c r="C6971" s="201"/>
      <c r="D6971" s="201"/>
      <c r="E6971" s="202"/>
      <c r="F6971" s="210"/>
      <c r="G6971" s="210"/>
      <c r="H6971" s="206" t="s">
        <v>121</v>
      </c>
      <c r="I6971" s="206" t="s">
        <v>121</v>
      </c>
      <c r="J6971" s="206" t="s">
        <v>121</v>
      </c>
      <c r="K6971" s="206" t="s">
        <v>121</v>
      </c>
      <c r="L6971" s="206" t="str">
        <v/>
      </c>
      <c r="M6971" s="206" t="str">
        <v/>
      </c>
    </row>
    <row r="6972" spans="1:13" ht="14.4">
      <c r="A6972" s="201"/>
      <c r="B6972" s="209"/>
      <c r="C6972" s="201"/>
      <c r="D6972" s="201"/>
      <c r="E6972" s="202"/>
      <c r="F6972" s="210"/>
      <c r="G6972" s="210"/>
      <c r="H6972" s="206" t="s">
        <v>121</v>
      </c>
      <c r="I6972" s="206" t="s">
        <v>121</v>
      </c>
      <c r="J6972" s="206" t="s">
        <v>121</v>
      </c>
      <c r="K6972" s="206" t="s">
        <v>121</v>
      </c>
      <c r="L6972" s="206" t="str">
        <v/>
      </c>
      <c r="M6972" s="206" t="str">
        <v/>
      </c>
    </row>
    <row r="6973" spans="1:13" ht="14.4">
      <c r="A6973" s="201"/>
      <c r="B6973" s="209"/>
      <c r="C6973" s="201"/>
      <c r="D6973" s="201"/>
      <c r="E6973" s="202"/>
      <c r="F6973" s="210"/>
      <c r="G6973" s="210"/>
      <c r="H6973" s="206" t="s">
        <v>121</v>
      </c>
      <c r="I6973" s="206" t="s">
        <v>121</v>
      </c>
      <c r="J6973" s="206" t="s">
        <v>121</v>
      </c>
      <c r="K6973" s="206" t="s">
        <v>121</v>
      </c>
      <c r="L6973" s="206" t="str">
        <v/>
      </c>
      <c r="M6973" s="206" t="str">
        <v/>
      </c>
    </row>
    <row r="6974" spans="1:13" ht="14.4">
      <c r="A6974" s="201"/>
      <c r="B6974" s="209"/>
      <c r="C6974" s="201"/>
      <c r="D6974" s="201"/>
      <c r="E6974" s="202"/>
      <c r="F6974" s="210"/>
      <c r="G6974" s="210"/>
      <c r="H6974" s="206" t="s">
        <v>121</v>
      </c>
      <c r="I6974" s="206" t="s">
        <v>121</v>
      </c>
      <c r="J6974" s="206" t="s">
        <v>121</v>
      </c>
      <c r="K6974" s="206" t="s">
        <v>121</v>
      </c>
      <c r="L6974" s="206" t="str">
        <v/>
      </c>
      <c r="M6974" s="206" t="str">
        <v/>
      </c>
    </row>
    <row r="6975" spans="1:13" ht="14.4">
      <c r="A6975" s="201"/>
      <c r="B6975" s="209"/>
      <c r="C6975" s="201"/>
      <c r="D6975" s="201"/>
      <c r="E6975" s="202"/>
      <c r="F6975" s="210"/>
      <c r="G6975" s="210"/>
      <c r="H6975" s="206" t="s">
        <v>121</v>
      </c>
      <c r="I6975" s="206" t="s">
        <v>121</v>
      </c>
      <c r="J6975" s="206" t="s">
        <v>121</v>
      </c>
      <c r="K6975" s="206" t="s">
        <v>121</v>
      </c>
      <c r="L6975" s="206" t="str">
        <v/>
      </c>
      <c r="M6975" s="206" t="str">
        <v/>
      </c>
    </row>
    <row r="6976" spans="1:13" ht="14.4">
      <c r="A6976" s="201"/>
      <c r="B6976" s="209"/>
      <c r="C6976" s="201"/>
      <c r="D6976" s="201"/>
      <c r="E6976" s="202"/>
      <c r="F6976" s="210"/>
      <c r="G6976" s="210"/>
      <c r="H6976" s="206" t="s">
        <v>121</v>
      </c>
      <c r="I6976" s="206" t="s">
        <v>121</v>
      </c>
      <c r="J6976" s="206" t="s">
        <v>121</v>
      </c>
      <c r="K6976" s="206" t="s">
        <v>121</v>
      </c>
      <c r="L6976" s="206" t="str">
        <v/>
      </c>
      <c r="M6976" s="206" t="str">
        <v/>
      </c>
    </row>
    <row r="6977" spans="1:13" ht="14.4">
      <c r="A6977" s="201"/>
      <c r="B6977" s="209"/>
      <c r="C6977" s="201"/>
      <c r="D6977" s="201"/>
      <c r="E6977" s="202"/>
      <c r="F6977" s="210"/>
      <c r="G6977" s="210"/>
      <c r="H6977" s="206" t="s">
        <v>121</v>
      </c>
      <c r="I6977" s="206" t="s">
        <v>121</v>
      </c>
      <c r="J6977" s="206" t="s">
        <v>121</v>
      </c>
      <c r="K6977" s="206" t="s">
        <v>121</v>
      </c>
      <c r="L6977" s="206" t="str">
        <v/>
      </c>
      <c r="M6977" s="206" t="str">
        <v/>
      </c>
    </row>
    <row r="6978" spans="1:13" ht="14.4">
      <c r="A6978" s="201"/>
      <c r="B6978" s="209"/>
      <c r="C6978" s="201"/>
      <c r="D6978" s="201"/>
      <c r="E6978" s="202"/>
      <c r="F6978" s="210"/>
      <c r="G6978" s="210"/>
      <c r="H6978" s="206" t="s">
        <v>121</v>
      </c>
      <c r="I6978" s="206" t="s">
        <v>121</v>
      </c>
      <c r="J6978" s="206" t="s">
        <v>121</v>
      </c>
      <c r="K6978" s="206" t="s">
        <v>121</v>
      </c>
      <c r="L6978" s="206" t="str">
        <v/>
      </c>
      <c r="M6978" s="206" t="str">
        <v/>
      </c>
    </row>
    <row r="6979" spans="1:13" ht="14.4">
      <c r="A6979" s="201"/>
      <c r="B6979" s="209"/>
      <c r="C6979" s="201"/>
      <c r="D6979" s="201"/>
      <c r="E6979" s="202"/>
      <c r="F6979" s="210"/>
      <c r="G6979" s="210"/>
      <c r="H6979" s="206" t="s">
        <v>121</v>
      </c>
      <c r="I6979" s="206" t="s">
        <v>121</v>
      </c>
      <c r="J6979" s="206" t="s">
        <v>121</v>
      </c>
      <c r="K6979" s="206" t="s">
        <v>121</v>
      </c>
      <c r="L6979" s="206" t="str">
        <v/>
      </c>
      <c r="M6979" s="206" t="str">
        <v/>
      </c>
    </row>
    <row r="6980" spans="1:13" ht="14.4">
      <c r="A6980" s="201"/>
      <c r="B6980" s="209"/>
      <c r="C6980" s="201"/>
      <c r="D6980" s="201"/>
      <c r="E6980" s="202"/>
      <c r="F6980" s="210"/>
      <c r="G6980" s="210"/>
      <c r="H6980" s="206" t="s">
        <v>121</v>
      </c>
      <c r="I6980" s="206" t="s">
        <v>121</v>
      </c>
      <c r="J6980" s="206" t="s">
        <v>121</v>
      </c>
      <c r="K6980" s="206" t="s">
        <v>121</v>
      </c>
      <c r="L6980" s="206" t="str">
        <v/>
      </c>
      <c r="M6980" s="206" t="str">
        <v/>
      </c>
    </row>
    <row r="6981" spans="1:13" ht="14.4">
      <c r="A6981" s="201"/>
      <c r="B6981" s="209"/>
      <c r="C6981" s="201"/>
      <c r="D6981" s="201"/>
      <c r="E6981" s="202"/>
      <c r="F6981" s="210"/>
      <c r="G6981" s="210"/>
      <c r="H6981" s="206" t="s">
        <v>121</v>
      </c>
      <c r="I6981" s="206" t="s">
        <v>121</v>
      </c>
      <c r="J6981" s="206" t="s">
        <v>121</v>
      </c>
      <c r="K6981" s="206" t="s">
        <v>121</v>
      </c>
      <c r="L6981" s="206" t="str">
        <v/>
      </c>
      <c r="M6981" s="206" t="str">
        <v/>
      </c>
    </row>
    <row r="6982" spans="1:13" ht="14.4">
      <c r="A6982" s="201"/>
      <c r="B6982" s="209"/>
      <c r="C6982" s="201"/>
      <c r="D6982" s="201"/>
      <c r="E6982" s="202"/>
      <c r="F6982" s="210"/>
      <c r="G6982" s="210"/>
      <c r="H6982" s="206" t="s">
        <v>121</v>
      </c>
      <c r="I6982" s="206" t="s">
        <v>121</v>
      </c>
      <c r="J6982" s="206" t="s">
        <v>121</v>
      </c>
      <c r="K6982" s="206" t="s">
        <v>121</v>
      </c>
      <c r="L6982" s="206" t="str">
        <v/>
      </c>
      <c r="M6982" s="206" t="str">
        <v/>
      </c>
    </row>
    <row r="6983" spans="1:13" ht="14.4">
      <c r="A6983" s="201"/>
      <c r="B6983" s="209"/>
      <c r="C6983" s="201"/>
      <c r="D6983" s="201"/>
      <c r="E6983" s="202"/>
      <c r="F6983" s="210"/>
      <c r="G6983" s="210"/>
      <c r="H6983" s="206" t="s">
        <v>121</v>
      </c>
      <c r="I6983" s="206" t="s">
        <v>121</v>
      </c>
      <c r="J6983" s="206" t="s">
        <v>121</v>
      </c>
      <c r="K6983" s="206" t="s">
        <v>121</v>
      </c>
      <c r="L6983" s="206" t="str">
        <v/>
      </c>
      <c r="M6983" s="206" t="str">
        <v/>
      </c>
    </row>
    <row r="6984" spans="1:13" ht="14.4">
      <c r="A6984" s="201"/>
      <c r="B6984" s="209"/>
      <c r="C6984" s="201"/>
      <c r="D6984" s="201"/>
      <c r="E6984" s="202"/>
      <c r="F6984" s="210"/>
      <c r="G6984" s="210"/>
      <c r="H6984" s="206" t="s">
        <v>121</v>
      </c>
      <c r="I6984" s="206" t="s">
        <v>121</v>
      </c>
      <c r="J6984" s="206" t="s">
        <v>121</v>
      </c>
      <c r="K6984" s="206" t="s">
        <v>121</v>
      </c>
      <c r="L6984" s="206" t="str">
        <v/>
      </c>
      <c r="M6984" s="206" t="str">
        <v/>
      </c>
    </row>
    <row r="6985" spans="1:13" ht="14.4">
      <c r="A6985" s="201"/>
      <c r="B6985" s="209"/>
      <c r="C6985" s="201"/>
      <c r="D6985" s="201"/>
      <c r="E6985" s="202"/>
      <c r="F6985" s="210"/>
      <c r="G6985" s="210"/>
      <c r="H6985" s="206" t="s">
        <v>121</v>
      </c>
      <c r="I6985" s="206" t="s">
        <v>121</v>
      </c>
      <c r="J6985" s="206" t="s">
        <v>121</v>
      </c>
      <c r="K6985" s="206" t="s">
        <v>121</v>
      </c>
      <c r="L6985" s="206" t="str">
        <v/>
      </c>
      <c r="M6985" s="206" t="str">
        <v/>
      </c>
    </row>
    <row r="6986" spans="1:13" ht="14.4">
      <c r="A6986" s="201"/>
      <c r="B6986" s="209"/>
      <c r="C6986" s="201"/>
      <c r="D6986" s="201"/>
      <c r="E6986" s="202"/>
      <c r="F6986" s="210"/>
      <c r="G6986" s="210"/>
      <c r="H6986" s="206" t="s">
        <v>121</v>
      </c>
      <c r="I6986" s="206" t="s">
        <v>121</v>
      </c>
      <c r="J6986" s="206" t="s">
        <v>121</v>
      </c>
      <c r="K6986" s="206" t="s">
        <v>121</v>
      </c>
      <c r="L6986" s="206" t="str">
        <v/>
      </c>
      <c r="M6986" s="206" t="str">
        <v/>
      </c>
    </row>
    <row r="6987" spans="1:13" ht="14.4">
      <c r="A6987" s="201"/>
      <c r="B6987" s="209"/>
      <c r="C6987" s="201"/>
      <c r="D6987" s="201"/>
      <c r="E6987" s="202"/>
      <c r="F6987" s="210"/>
      <c r="G6987" s="210"/>
      <c r="H6987" s="206" t="s">
        <v>121</v>
      </c>
      <c r="I6987" s="206" t="s">
        <v>121</v>
      </c>
      <c r="J6987" s="206" t="s">
        <v>121</v>
      </c>
      <c r="K6987" s="206" t="s">
        <v>121</v>
      </c>
      <c r="L6987" s="206" t="str">
        <v/>
      </c>
      <c r="M6987" s="206" t="str">
        <v/>
      </c>
    </row>
    <row r="6988" spans="1:13" ht="14.4">
      <c r="A6988" s="201"/>
      <c r="B6988" s="209"/>
      <c r="C6988" s="201"/>
      <c r="D6988" s="201"/>
      <c r="E6988" s="202"/>
      <c r="F6988" s="210"/>
      <c r="G6988" s="210"/>
      <c r="H6988" s="206" t="s">
        <v>121</v>
      </c>
      <c r="I6988" s="206" t="s">
        <v>121</v>
      </c>
      <c r="J6988" s="206" t="s">
        <v>121</v>
      </c>
      <c r="K6988" s="206" t="s">
        <v>121</v>
      </c>
      <c r="L6988" s="206" t="str">
        <v/>
      </c>
      <c r="M6988" s="206" t="str">
        <v/>
      </c>
    </row>
    <row r="6989" spans="1:13" ht="14.4">
      <c r="A6989" s="201"/>
      <c r="B6989" s="209"/>
      <c r="C6989" s="201"/>
      <c r="D6989" s="201"/>
      <c r="E6989" s="202"/>
      <c r="F6989" s="210"/>
      <c r="G6989" s="210"/>
      <c r="H6989" s="206" t="s">
        <v>121</v>
      </c>
      <c r="I6989" s="206" t="s">
        <v>121</v>
      </c>
      <c r="J6989" s="206" t="s">
        <v>121</v>
      </c>
      <c r="K6989" s="206" t="s">
        <v>121</v>
      </c>
      <c r="L6989" s="206" t="str">
        <v/>
      </c>
      <c r="M6989" s="206" t="str">
        <v/>
      </c>
    </row>
    <row r="6990" spans="1:13" ht="14.4">
      <c r="A6990" s="201"/>
      <c r="B6990" s="209"/>
      <c r="C6990" s="201"/>
      <c r="D6990" s="201"/>
      <c r="E6990" s="202"/>
      <c r="F6990" s="210"/>
      <c r="G6990" s="210"/>
      <c r="H6990" s="206" t="s">
        <v>121</v>
      </c>
      <c r="I6990" s="206" t="s">
        <v>121</v>
      </c>
      <c r="J6990" s="206" t="s">
        <v>121</v>
      </c>
      <c r="K6990" s="206" t="s">
        <v>121</v>
      </c>
      <c r="L6990" s="206" t="str">
        <v/>
      </c>
      <c r="M6990" s="206" t="str">
        <v/>
      </c>
    </row>
    <row r="6991" spans="1:13" ht="14.4">
      <c r="A6991" s="201"/>
      <c r="B6991" s="209"/>
      <c r="C6991" s="201"/>
      <c r="D6991" s="201"/>
      <c r="E6991" s="202"/>
      <c r="F6991" s="210"/>
      <c r="G6991" s="210"/>
      <c r="H6991" s="206" t="s">
        <v>121</v>
      </c>
      <c r="I6991" s="206" t="s">
        <v>121</v>
      </c>
      <c r="J6991" s="206" t="s">
        <v>121</v>
      </c>
      <c r="K6991" s="206" t="s">
        <v>121</v>
      </c>
      <c r="L6991" s="206" t="str">
        <v/>
      </c>
      <c r="M6991" s="206" t="str">
        <v/>
      </c>
    </row>
    <row r="6992" spans="1:13" ht="14.4">
      <c r="A6992" s="201"/>
      <c r="B6992" s="209"/>
      <c r="C6992" s="201"/>
      <c r="D6992" s="201"/>
      <c r="E6992" s="202"/>
      <c r="F6992" s="210"/>
      <c r="G6992" s="210"/>
      <c r="H6992" s="206" t="s">
        <v>121</v>
      </c>
      <c r="I6992" s="206" t="s">
        <v>121</v>
      </c>
      <c r="J6992" s="206" t="s">
        <v>121</v>
      </c>
      <c r="K6992" s="206" t="s">
        <v>121</v>
      </c>
      <c r="L6992" s="206" t="str">
        <v/>
      </c>
      <c r="M6992" s="206" t="str">
        <v/>
      </c>
    </row>
    <row r="6993" spans="1:13" ht="14.4">
      <c r="A6993" s="201"/>
      <c r="B6993" s="209"/>
      <c r="C6993" s="201"/>
      <c r="D6993" s="201"/>
      <c r="E6993" s="202"/>
      <c r="F6993" s="210"/>
      <c r="G6993" s="210"/>
      <c r="H6993" s="206" t="s">
        <v>121</v>
      </c>
      <c r="I6993" s="206" t="s">
        <v>121</v>
      </c>
      <c r="J6993" s="206" t="s">
        <v>121</v>
      </c>
      <c r="K6993" s="206" t="s">
        <v>121</v>
      </c>
      <c r="L6993" s="206" t="str">
        <v/>
      </c>
      <c r="M6993" s="206" t="str">
        <v/>
      </c>
    </row>
    <row r="6994" spans="1:13" ht="14.4">
      <c r="A6994" s="201"/>
      <c r="B6994" s="209"/>
      <c r="C6994" s="201"/>
      <c r="D6994" s="201"/>
      <c r="E6994" s="202"/>
      <c r="F6994" s="210"/>
      <c r="G6994" s="210"/>
      <c r="H6994" s="206" t="s">
        <v>121</v>
      </c>
      <c r="I6994" s="206" t="s">
        <v>121</v>
      </c>
      <c r="J6994" s="206" t="s">
        <v>121</v>
      </c>
      <c r="K6994" s="206" t="s">
        <v>121</v>
      </c>
      <c r="L6994" s="206" t="str">
        <v/>
      </c>
      <c r="M6994" s="206" t="str">
        <v/>
      </c>
    </row>
    <row r="6995" spans="1:13" ht="14.4">
      <c r="A6995" s="201"/>
      <c r="B6995" s="209"/>
      <c r="C6995" s="201"/>
      <c r="D6995" s="201"/>
      <c r="E6995" s="202"/>
      <c r="F6995" s="210"/>
      <c r="G6995" s="210"/>
      <c r="H6995" s="206" t="s">
        <v>121</v>
      </c>
      <c r="I6995" s="206" t="s">
        <v>121</v>
      </c>
      <c r="J6995" s="206" t="s">
        <v>121</v>
      </c>
      <c r="K6995" s="206" t="s">
        <v>121</v>
      </c>
      <c r="L6995" s="206" t="str">
        <v/>
      </c>
      <c r="M6995" s="206" t="str">
        <v/>
      </c>
    </row>
    <row r="6996" spans="1:13" ht="14.4">
      <c r="A6996" s="201"/>
      <c r="B6996" s="209"/>
      <c r="C6996" s="201"/>
      <c r="D6996" s="201"/>
      <c r="E6996" s="202"/>
      <c r="F6996" s="210"/>
      <c r="G6996" s="210"/>
      <c r="H6996" s="206" t="s">
        <v>121</v>
      </c>
      <c r="I6996" s="206" t="s">
        <v>121</v>
      </c>
      <c r="J6996" s="206" t="s">
        <v>121</v>
      </c>
      <c r="K6996" s="206" t="s">
        <v>121</v>
      </c>
      <c r="L6996" s="206" t="str">
        <v/>
      </c>
      <c r="M6996" s="206" t="str">
        <v/>
      </c>
    </row>
    <row r="6997" spans="1:13" ht="14.4">
      <c r="A6997" s="201"/>
      <c r="B6997" s="209"/>
      <c r="C6997" s="201"/>
      <c r="D6997" s="201"/>
      <c r="E6997" s="202"/>
      <c r="F6997" s="210"/>
      <c r="G6997" s="210"/>
      <c r="H6997" s="206" t="s">
        <v>121</v>
      </c>
      <c r="I6997" s="206" t="s">
        <v>121</v>
      </c>
      <c r="J6997" s="206" t="s">
        <v>121</v>
      </c>
      <c r="K6997" s="206" t="s">
        <v>121</v>
      </c>
      <c r="L6997" s="206" t="str">
        <v/>
      </c>
      <c r="M6997" s="206" t="str">
        <v/>
      </c>
    </row>
    <row r="6998" spans="1:13" ht="14.4">
      <c r="A6998" s="201"/>
      <c r="B6998" s="209"/>
      <c r="C6998" s="201"/>
      <c r="D6998" s="201"/>
      <c r="E6998" s="202"/>
      <c r="F6998" s="210"/>
      <c r="G6998" s="210"/>
      <c r="H6998" s="206" t="s">
        <v>121</v>
      </c>
      <c r="I6998" s="206" t="s">
        <v>121</v>
      </c>
      <c r="J6998" s="206" t="s">
        <v>121</v>
      </c>
      <c r="K6998" s="206" t="s">
        <v>121</v>
      </c>
      <c r="L6998" s="206" t="str">
        <v/>
      </c>
      <c r="M6998" s="206" t="str">
        <v/>
      </c>
    </row>
    <row r="6999" spans="1:13" ht="14.4">
      <c r="A6999" s="201"/>
      <c r="B6999" s="209"/>
      <c r="C6999" s="201"/>
      <c r="D6999" s="201"/>
      <c r="E6999" s="202"/>
      <c r="F6999" s="210"/>
      <c r="G6999" s="210"/>
      <c r="H6999" s="206" t="s">
        <v>121</v>
      </c>
      <c r="I6999" s="206" t="s">
        <v>121</v>
      </c>
      <c r="J6999" s="206" t="s">
        <v>121</v>
      </c>
      <c r="K6999" s="206" t="s">
        <v>121</v>
      </c>
      <c r="L6999" s="206" t="str">
        <v/>
      </c>
      <c r="M6999" s="206" t="str">
        <v/>
      </c>
    </row>
    <row r="7000" spans="1:13" ht="14.4">
      <c r="A7000" s="201"/>
      <c r="B7000" s="209"/>
      <c r="C7000" s="201"/>
      <c r="D7000" s="201"/>
      <c r="E7000" s="202"/>
      <c r="F7000" s="210"/>
      <c r="G7000" s="210"/>
      <c r="H7000" s="206" t="s">
        <v>121</v>
      </c>
      <c r="I7000" s="206" t="s">
        <v>121</v>
      </c>
      <c r="J7000" s="206" t="s">
        <v>121</v>
      </c>
      <c r="K7000" s="206" t="s">
        <v>121</v>
      </c>
      <c r="L7000" s="206" t="str">
        <v/>
      </c>
      <c r="M7000" s="206" t="str">
        <v/>
      </c>
    </row>
    <row r="7001" spans="1:13" ht="14.4">
      <c r="A7001" s="201"/>
      <c r="B7001" s="209"/>
      <c r="C7001" s="201"/>
      <c r="D7001" s="201"/>
      <c r="E7001" s="202"/>
      <c r="F7001" s="210"/>
      <c r="G7001" s="210"/>
      <c r="H7001" s="206" t="s">
        <v>121</v>
      </c>
      <c r="I7001" s="206" t="s">
        <v>121</v>
      </c>
      <c r="J7001" s="206" t="s">
        <v>121</v>
      </c>
      <c r="K7001" s="206" t="s">
        <v>121</v>
      </c>
      <c r="L7001" s="206" t="str">
        <v/>
      </c>
      <c r="M7001" s="206" t="str">
        <v/>
      </c>
    </row>
    <row r="7002" spans="1:13" ht="14.4">
      <c r="A7002" s="201"/>
      <c r="B7002" s="209"/>
      <c r="C7002" s="201"/>
      <c r="D7002" s="201"/>
      <c r="E7002" s="202"/>
      <c r="F7002" s="210"/>
      <c r="G7002" s="210"/>
      <c r="H7002" s="206" t="s">
        <v>121</v>
      </c>
      <c r="I7002" s="206" t="s">
        <v>121</v>
      </c>
      <c r="J7002" s="206" t="s">
        <v>121</v>
      </c>
      <c r="K7002" s="206" t="s">
        <v>121</v>
      </c>
      <c r="L7002" s="206" t="str">
        <v/>
      </c>
      <c r="M7002" s="206" t="str">
        <v/>
      </c>
    </row>
    <row r="7003" spans="1:13" ht="14.4">
      <c r="A7003" s="201"/>
      <c r="B7003" s="209"/>
      <c r="C7003" s="201"/>
      <c r="D7003" s="201"/>
      <c r="E7003" s="202"/>
      <c r="F7003" s="210"/>
      <c r="G7003" s="210"/>
      <c r="H7003" s="206" t="s">
        <v>121</v>
      </c>
      <c r="I7003" s="206" t="s">
        <v>121</v>
      </c>
      <c r="J7003" s="206" t="s">
        <v>121</v>
      </c>
      <c r="K7003" s="206" t="s">
        <v>121</v>
      </c>
      <c r="L7003" s="206" t="str">
        <v/>
      </c>
      <c r="M7003" s="206" t="str">
        <v/>
      </c>
    </row>
    <row r="7004" spans="1:13" ht="14.4">
      <c r="A7004" s="201"/>
      <c r="B7004" s="209"/>
      <c r="C7004" s="201"/>
      <c r="D7004" s="201"/>
      <c r="E7004" s="202"/>
      <c r="F7004" s="210"/>
      <c r="G7004" s="210"/>
      <c r="H7004" s="206" t="s">
        <v>121</v>
      </c>
      <c r="I7004" s="206" t="s">
        <v>121</v>
      </c>
      <c r="J7004" s="206" t="s">
        <v>121</v>
      </c>
      <c r="K7004" s="206" t="s">
        <v>121</v>
      </c>
      <c r="L7004" s="206" t="str">
        <v/>
      </c>
      <c r="M7004" s="206" t="str">
        <v/>
      </c>
    </row>
    <row r="7005" spans="1:13" ht="14.4">
      <c r="A7005" s="201"/>
      <c r="B7005" s="209"/>
      <c r="C7005" s="201"/>
      <c r="D7005" s="201"/>
      <c r="E7005" s="202"/>
      <c r="F7005" s="210"/>
      <c r="G7005" s="210"/>
      <c r="H7005" s="206" t="s">
        <v>121</v>
      </c>
      <c r="I7005" s="206" t="s">
        <v>121</v>
      </c>
      <c r="J7005" s="206" t="s">
        <v>121</v>
      </c>
      <c r="K7005" s="206" t="s">
        <v>121</v>
      </c>
      <c r="L7005" s="206" t="str">
        <v/>
      </c>
      <c r="M7005" s="206" t="str">
        <v/>
      </c>
    </row>
    <row r="7006" spans="1:13" ht="14.4">
      <c r="A7006" s="201"/>
      <c r="B7006" s="209"/>
      <c r="C7006" s="201"/>
      <c r="D7006" s="201"/>
      <c r="E7006" s="202"/>
      <c r="F7006" s="210"/>
      <c r="G7006" s="210"/>
      <c r="H7006" s="206" t="s">
        <v>121</v>
      </c>
      <c r="I7006" s="206" t="s">
        <v>121</v>
      </c>
      <c r="J7006" s="206" t="s">
        <v>121</v>
      </c>
      <c r="K7006" s="206" t="s">
        <v>121</v>
      </c>
      <c r="L7006" s="206" t="str">
        <v/>
      </c>
      <c r="M7006" s="206" t="str">
        <v/>
      </c>
    </row>
    <row r="7007" spans="1:13" ht="14.4">
      <c r="A7007" s="201"/>
      <c r="B7007" s="209"/>
      <c r="C7007" s="201"/>
      <c r="D7007" s="201"/>
      <c r="E7007" s="202"/>
      <c r="F7007" s="210"/>
      <c r="G7007" s="210"/>
      <c r="H7007" s="206" t="s">
        <v>121</v>
      </c>
      <c r="I7007" s="206" t="s">
        <v>121</v>
      </c>
      <c r="J7007" s="206" t="s">
        <v>121</v>
      </c>
      <c r="K7007" s="206" t="s">
        <v>121</v>
      </c>
      <c r="L7007" s="206" t="str">
        <v/>
      </c>
      <c r="M7007" s="206" t="str">
        <v/>
      </c>
    </row>
    <row r="7008" spans="1:13" ht="14.4">
      <c r="A7008" s="201"/>
      <c r="B7008" s="209"/>
      <c r="C7008" s="201"/>
      <c r="D7008" s="201"/>
      <c r="E7008" s="202"/>
      <c r="F7008" s="210"/>
      <c r="G7008" s="210"/>
      <c r="H7008" s="206" t="s">
        <v>121</v>
      </c>
      <c r="I7008" s="206" t="s">
        <v>121</v>
      </c>
      <c r="J7008" s="206" t="s">
        <v>121</v>
      </c>
      <c r="K7008" s="206" t="s">
        <v>121</v>
      </c>
      <c r="L7008" s="206" t="str">
        <v/>
      </c>
      <c r="M7008" s="206" t="str">
        <v/>
      </c>
    </row>
    <row r="7009" spans="1:13" ht="14.4">
      <c r="A7009" s="201"/>
      <c r="B7009" s="209"/>
      <c r="C7009" s="201"/>
      <c r="D7009" s="201"/>
      <c r="E7009" s="202"/>
      <c r="F7009" s="210"/>
      <c r="G7009" s="210"/>
      <c r="H7009" s="206" t="s">
        <v>121</v>
      </c>
      <c r="I7009" s="206" t="s">
        <v>121</v>
      </c>
      <c r="J7009" s="206" t="s">
        <v>121</v>
      </c>
      <c r="K7009" s="206" t="s">
        <v>121</v>
      </c>
      <c r="L7009" s="206" t="str">
        <v/>
      </c>
      <c r="M7009" s="206" t="str">
        <v/>
      </c>
    </row>
    <row r="7010" spans="1:13" ht="14.4">
      <c r="A7010" s="201"/>
      <c r="B7010" s="209"/>
      <c r="C7010" s="201"/>
      <c r="D7010" s="201"/>
      <c r="E7010" s="202"/>
      <c r="F7010" s="210"/>
      <c r="G7010" s="210"/>
      <c r="H7010" s="206" t="s">
        <v>121</v>
      </c>
      <c r="I7010" s="206" t="s">
        <v>121</v>
      </c>
      <c r="J7010" s="206" t="s">
        <v>121</v>
      </c>
      <c r="K7010" s="206" t="s">
        <v>121</v>
      </c>
      <c r="L7010" s="206" t="str">
        <v/>
      </c>
      <c r="M7010" s="206" t="str">
        <v/>
      </c>
    </row>
    <row r="7011" spans="1:13" ht="14.4">
      <c r="A7011" s="201"/>
      <c r="B7011" s="209"/>
      <c r="C7011" s="201"/>
      <c r="D7011" s="201"/>
      <c r="E7011" s="202"/>
      <c r="F7011" s="210"/>
      <c r="G7011" s="210"/>
      <c r="H7011" s="206" t="s">
        <v>121</v>
      </c>
      <c r="I7011" s="206" t="s">
        <v>121</v>
      </c>
      <c r="J7011" s="206" t="s">
        <v>121</v>
      </c>
      <c r="K7011" s="206" t="s">
        <v>121</v>
      </c>
      <c r="L7011" s="206" t="str">
        <v/>
      </c>
      <c r="M7011" s="206" t="str">
        <v/>
      </c>
    </row>
    <row r="7012" spans="1:13" ht="14.4">
      <c r="A7012" s="201"/>
      <c r="B7012" s="209"/>
      <c r="C7012" s="201"/>
      <c r="D7012" s="201"/>
      <c r="E7012" s="202"/>
      <c r="F7012" s="210"/>
      <c r="G7012" s="210"/>
      <c r="H7012" s="206" t="s">
        <v>121</v>
      </c>
      <c r="I7012" s="206" t="s">
        <v>121</v>
      </c>
      <c r="J7012" s="206" t="s">
        <v>121</v>
      </c>
      <c r="K7012" s="206" t="s">
        <v>121</v>
      </c>
      <c r="L7012" s="206" t="str">
        <v/>
      </c>
      <c r="M7012" s="206" t="str">
        <v/>
      </c>
    </row>
    <row r="7013" spans="1:13" ht="14.4">
      <c r="A7013" s="201"/>
      <c r="B7013" s="209"/>
      <c r="C7013" s="201"/>
      <c r="D7013" s="201"/>
      <c r="E7013" s="202"/>
      <c r="F7013" s="210"/>
      <c r="G7013" s="210"/>
      <c r="H7013" s="206" t="s">
        <v>121</v>
      </c>
      <c r="I7013" s="206" t="s">
        <v>121</v>
      </c>
      <c r="J7013" s="206" t="s">
        <v>121</v>
      </c>
      <c r="K7013" s="206" t="s">
        <v>121</v>
      </c>
      <c r="L7013" s="206" t="str">
        <v/>
      </c>
      <c r="M7013" s="206" t="str">
        <v/>
      </c>
    </row>
    <row r="7014" spans="1:13" ht="14.4">
      <c r="A7014" s="201"/>
      <c r="B7014" s="209"/>
      <c r="C7014" s="201"/>
      <c r="D7014" s="201"/>
      <c r="E7014" s="202"/>
      <c r="F7014" s="210"/>
      <c r="G7014" s="210"/>
      <c r="H7014" s="206" t="s">
        <v>121</v>
      </c>
      <c r="I7014" s="206" t="s">
        <v>121</v>
      </c>
      <c r="J7014" s="206" t="s">
        <v>121</v>
      </c>
      <c r="K7014" s="206" t="s">
        <v>121</v>
      </c>
      <c r="L7014" s="206" t="str">
        <v/>
      </c>
      <c r="M7014" s="206" t="str">
        <v/>
      </c>
    </row>
    <row r="7015" spans="1:13" ht="14.4">
      <c r="A7015" s="201"/>
      <c r="B7015" s="209"/>
      <c r="C7015" s="201"/>
      <c r="D7015" s="201"/>
      <c r="E7015" s="202"/>
      <c r="F7015" s="210"/>
      <c r="G7015" s="210"/>
      <c r="H7015" s="206" t="s">
        <v>121</v>
      </c>
      <c r="I7015" s="206" t="s">
        <v>121</v>
      </c>
      <c r="J7015" s="206" t="s">
        <v>121</v>
      </c>
      <c r="K7015" s="206" t="s">
        <v>121</v>
      </c>
      <c r="L7015" s="206" t="str">
        <v/>
      </c>
      <c r="M7015" s="206" t="str">
        <v/>
      </c>
    </row>
    <row r="7016" spans="1:13" ht="14.4">
      <c r="A7016" s="201"/>
      <c r="B7016" s="209"/>
      <c r="C7016" s="201"/>
      <c r="D7016" s="201"/>
      <c r="E7016" s="202"/>
      <c r="F7016" s="210"/>
      <c r="G7016" s="210"/>
      <c r="H7016" s="206" t="s">
        <v>121</v>
      </c>
      <c r="I7016" s="206" t="s">
        <v>121</v>
      </c>
      <c r="J7016" s="206" t="s">
        <v>121</v>
      </c>
      <c r="K7016" s="206" t="s">
        <v>121</v>
      </c>
      <c r="L7016" s="206" t="str">
        <v/>
      </c>
      <c r="M7016" s="206" t="str">
        <v/>
      </c>
    </row>
    <row r="7017" spans="1:13" ht="14.4">
      <c r="A7017" s="201"/>
      <c r="B7017" s="209"/>
      <c r="C7017" s="201"/>
      <c r="D7017" s="201"/>
      <c r="E7017" s="202"/>
      <c r="F7017" s="210"/>
      <c r="G7017" s="210"/>
      <c r="H7017" s="206" t="s">
        <v>121</v>
      </c>
      <c r="I7017" s="206" t="s">
        <v>121</v>
      </c>
      <c r="J7017" s="206" t="s">
        <v>121</v>
      </c>
      <c r="K7017" s="206" t="s">
        <v>121</v>
      </c>
      <c r="L7017" s="206" t="str">
        <v/>
      </c>
      <c r="M7017" s="206" t="str">
        <v/>
      </c>
    </row>
    <row r="7018" spans="1:13" ht="14.4">
      <c r="A7018" s="201"/>
      <c r="B7018" s="209"/>
      <c r="C7018" s="201"/>
      <c r="D7018" s="201"/>
      <c r="E7018" s="202"/>
      <c r="F7018" s="210"/>
      <c r="G7018" s="210"/>
      <c r="H7018" s="206" t="s">
        <v>121</v>
      </c>
      <c r="I7018" s="206" t="s">
        <v>121</v>
      </c>
      <c r="J7018" s="206" t="s">
        <v>121</v>
      </c>
      <c r="K7018" s="206" t="s">
        <v>121</v>
      </c>
      <c r="L7018" s="206" t="str">
        <v/>
      </c>
      <c r="M7018" s="206" t="str">
        <v/>
      </c>
    </row>
    <row r="7019" spans="1:13" ht="14.4">
      <c r="A7019" s="201"/>
      <c r="B7019" s="209"/>
      <c r="C7019" s="201"/>
      <c r="D7019" s="201"/>
      <c r="E7019" s="202"/>
      <c r="F7019" s="210"/>
      <c r="G7019" s="210"/>
      <c r="H7019" s="206" t="s">
        <v>121</v>
      </c>
      <c r="I7019" s="206" t="s">
        <v>121</v>
      </c>
      <c r="J7019" s="206" t="s">
        <v>121</v>
      </c>
      <c r="K7019" s="206" t="s">
        <v>121</v>
      </c>
      <c r="L7019" s="206" t="str">
        <v/>
      </c>
      <c r="M7019" s="206" t="str">
        <v/>
      </c>
    </row>
    <row r="7020" spans="1:13" ht="14.4">
      <c r="A7020" s="201"/>
      <c r="B7020" s="209"/>
      <c r="C7020" s="201"/>
      <c r="D7020" s="201"/>
      <c r="E7020" s="202"/>
      <c r="F7020" s="210"/>
      <c r="G7020" s="210"/>
      <c r="H7020" s="206" t="s">
        <v>121</v>
      </c>
      <c r="I7020" s="206" t="s">
        <v>121</v>
      </c>
      <c r="J7020" s="206" t="s">
        <v>121</v>
      </c>
      <c r="K7020" s="206" t="s">
        <v>121</v>
      </c>
      <c r="L7020" s="206" t="str">
        <v/>
      </c>
      <c r="M7020" s="206" t="str">
        <v/>
      </c>
    </row>
    <row r="7021" spans="1:13" ht="14.4">
      <c r="A7021" s="201"/>
      <c r="B7021" s="209"/>
      <c r="C7021" s="201"/>
      <c r="D7021" s="201"/>
      <c r="E7021" s="202"/>
      <c r="F7021" s="210"/>
      <c r="G7021" s="210"/>
      <c r="H7021" s="206" t="s">
        <v>121</v>
      </c>
      <c r="I7021" s="206" t="s">
        <v>121</v>
      </c>
      <c r="J7021" s="206" t="s">
        <v>121</v>
      </c>
      <c r="K7021" s="206" t="s">
        <v>121</v>
      </c>
      <c r="L7021" s="206" t="str">
        <v/>
      </c>
      <c r="M7021" s="206" t="str">
        <v/>
      </c>
    </row>
    <row r="7022" spans="1:13" ht="14.4">
      <c r="A7022" s="201"/>
      <c r="B7022" s="209"/>
      <c r="C7022" s="201"/>
      <c r="D7022" s="201"/>
      <c r="E7022" s="202"/>
      <c r="F7022" s="210"/>
      <c r="G7022" s="210"/>
      <c r="H7022" s="206" t="s">
        <v>121</v>
      </c>
      <c r="I7022" s="206" t="s">
        <v>121</v>
      </c>
      <c r="J7022" s="206" t="s">
        <v>121</v>
      </c>
      <c r="K7022" s="206" t="s">
        <v>121</v>
      </c>
      <c r="L7022" s="206" t="str">
        <v/>
      </c>
      <c r="M7022" s="206" t="str">
        <v/>
      </c>
    </row>
    <row r="7023" spans="1:13" ht="14.4">
      <c r="A7023" s="201"/>
      <c r="B7023" s="209"/>
      <c r="C7023" s="201"/>
      <c r="D7023" s="201"/>
      <c r="E7023" s="202"/>
      <c r="F7023" s="210"/>
      <c r="G7023" s="210"/>
      <c r="H7023" s="206" t="s">
        <v>121</v>
      </c>
      <c r="I7023" s="206" t="s">
        <v>121</v>
      </c>
      <c r="J7023" s="206" t="s">
        <v>121</v>
      </c>
      <c r="K7023" s="206" t="s">
        <v>121</v>
      </c>
      <c r="L7023" s="206" t="str">
        <v/>
      </c>
      <c r="M7023" s="206" t="str">
        <v/>
      </c>
    </row>
    <row r="7024" spans="1:13" ht="14.4">
      <c r="A7024" s="201"/>
      <c r="B7024" s="209"/>
      <c r="C7024" s="201"/>
      <c r="D7024" s="201"/>
      <c r="E7024" s="202"/>
      <c r="F7024" s="210"/>
      <c r="G7024" s="210"/>
      <c r="H7024" s="206" t="s">
        <v>121</v>
      </c>
      <c r="I7024" s="206" t="s">
        <v>121</v>
      </c>
      <c r="J7024" s="206" t="s">
        <v>121</v>
      </c>
      <c r="K7024" s="206" t="s">
        <v>121</v>
      </c>
      <c r="L7024" s="206" t="str">
        <v/>
      </c>
      <c r="M7024" s="206" t="str">
        <v/>
      </c>
    </row>
    <row r="7025" spans="1:13" ht="14.4">
      <c r="A7025" s="201"/>
      <c r="B7025" s="209"/>
      <c r="C7025" s="201"/>
      <c r="D7025" s="201"/>
      <c r="E7025" s="202"/>
      <c r="F7025" s="210"/>
      <c r="G7025" s="210"/>
      <c r="H7025" s="206" t="s">
        <v>121</v>
      </c>
      <c r="I7025" s="206" t="s">
        <v>121</v>
      </c>
      <c r="J7025" s="206" t="s">
        <v>121</v>
      </c>
      <c r="K7025" s="206" t="s">
        <v>121</v>
      </c>
      <c r="L7025" s="206" t="str">
        <v/>
      </c>
      <c r="M7025" s="206" t="str">
        <v/>
      </c>
    </row>
    <row r="7026" spans="1:13" ht="14.4">
      <c r="A7026" s="201"/>
      <c r="B7026" s="209"/>
      <c r="C7026" s="201"/>
      <c r="D7026" s="201"/>
      <c r="E7026" s="202"/>
      <c r="F7026" s="210"/>
      <c r="G7026" s="210"/>
      <c r="H7026" s="206" t="s">
        <v>121</v>
      </c>
      <c r="I7026" s="206" t="s">
        <v>121</v>
      </c>
      <c r="J7026" s="206" t="s">
        <v>121</v>
      </c>
      <c r="K7026" s="206" t="s">
        <v>121</v>
      </c>
      <c r="L7026" s="206" t="str">
        <v/>
      </c>
      <c r="M7026" s="206" t="str">
        <v/>
      </c>
    </row>
    <row r="7027" spans="1:13" ht="14.4">
      <c r="A7027" s="201"/>
      <c r="B7027" s="209"/>
      <c r="C7027" s="201"/>
      <c r="D7027" s="201"/>
      <c r="E7027" s="202"/>
      <c r="F7027" s="210"/>
      <c r="G7027" s="210"/>
      <c r="H7027" s="206" t="s">
        <v>121</v>
      </c>
      <c r="I7027" s="206" t="s">
        <v>121</v>
      </c>
      <c r="J7027" s="206" t="s">
        <v>121</v>
      </c>
      <c r="K7027" s="206" t="s">
        <v>121</v>
      </c>
      <c r="L7027" s="206" t="str">
        <v/>
      </c>
      <c r="M7027" s="206" t="str">
        <v/>
      </c>
    </row>
    <row r="7028" spans="1:13" ht="14.4">
      <c r="A7028" s="201"/>
      <c r="B7028" s="209"/>
      <c r="C7028" s="201"/>
      <c r="D7028" s="201"/>
      <c r="E7028" s="202"/>
      <c r="F7028" s="210"/>
      <c r="G7028" s="210"/>
      <c r="H7028" s="206" t="s">
        <v>121</v>
      </c>
      <c r="I7028" s="206" t="s">
        <v>121</v>
      </c>
      <c r="J7028" s="206" t="s">
        <v>121</v>
      </c>
      <c r="K7028" s="206" t="s">
        <v>121</v>
      </c>
      <c r="L7028" s="206" t="str">
        <v/>
      </c>
      <c r="M7028" s="206" t="str">
        <v/>
      </c>
    </row>
    <row r="7029" spans="1:13" ht="14.4">
      <c r="A7029" s="201"/>
      <c r="B7029" s="209"/>
      <c r="C7029" s="201"/>
      <c r="D7029" s="201"/>
      <c r="E7029" s="202"/>
      <c r="F7029" s="210"/>
      <c r="G7029" s="210"/>
      <c r="H7029" s="206" t="s">
        <v>121</v>
      </c>
      <c r="I7029" s="206" t="s">
        <v>121</v>
      </c>
      <c r="J7029" s="206" t="s">
        <v>121</v>
      </c>
      <c r="K7029" s="206" t="s">
        <v>121</v>
      </c>
      <c r="L7029" s="206" t="str">
        <v/>
      </c>
      <c r="M7029" s="206" t="str">
        <v/>
      </c>
    </row>
    <row r="7030" spans="1:13" ht="14.4">
      <c r="A7030" s="201"/>
      <c r="B7030" s="209"/>
      <c r="C7030" s="201"/>
      <c r="D7030" s="201"/>
      <c r="E7030" s="202"/>
      <c r="F7030" s="210"/>
      <c r="G7030" s="210"/>
      <c r="H7030" s="206" t="s">
        <v>121</v>
      </c>
      <c r="I7030" s="206" t="s">
        <v>121</v>
      </c>
      <c r="J7030" s="206" t="s">
        <v>121</v>
      </c>
      <c r="K7030" s="206" t="s">
        <v>121</v>
      </c>
      <c r="L7030" s="206" t="str">
        <v/>
      </c>
      <c r="M7030" s="206" t="str">
        <v/>
      </c>
    </row>
    <row r="7031" spans="1:13" ht="14.4">
      <c r="A7031" s="201"/>
      <c r="B7031" s="209"/>
      <c r="C7031" s="201"/>
      <c r="D7031" s="201"/>
      <c r="E7031" s="202"/>
      <c r="F7031" s="210"/>
      <c r="G7031" s="210"/>
      <c r="H7031" s="206" t="s">
        <v>121</v>
      </c>
      <c r="I7031" s="206" t="s">
        <v>121</v>
      </c>
      <c r="J7031" s="206" t="s">
        <v>121</v>
      </c>
      <c r="K7031" s="206" t="s">
        <v>121</v>
      </c>
      <c r="L7031" s="206" t="str">
        <v/>
      </c>
      <c r="M7031" s="206" t="str">
        <v/>
      </c>
    </row>
    <row r="7032" spans="1:13" ht="14.4">
      <c r="A7032" s="201"/>
      <c r="B7032" s="209"/>
      <c r="C7032" s="201"/>
      <c r="D7032" s="201"/>
      <c r="E7032" s="202"/>
      <c r="F7032" s="210"/>
      <c r="G7032" s="210"/>
      <c r="H7032" s="206" t="s">
        <v>121</v>
      </c>
      <c r="I7032" s="206" t="s">
        <v>121</v>
      </c>
      <c r="J7032" s="206" t="s">
        <v>121</v>
      </c>
      <c r="K7032" s="206" t="s">
        <v>121</v>
      </c>
      <c r="L7032" s="206" t="str">
        <v/>
      </c>
      <c r="M7032" s="206" t="str">
        <v/>
      </c>
    </row>
    <row r="7033" spans="1:13" ht="14.4">
      <c r="A7033" s="201"/>
      <c r="B7033" s="209"/>
      <c r="C7033" s="201"/>
      <c r="D7033" s="201"/>
      <c r="E7033" s="202"/>
      <c r="F7033" s="210"/>
      <c r="G7033" s="210"/>
      <c r="H7033" s="206" t="s">
        <v>121</v>
      </c>
      <c r="I7033" s="206" t="s">
        <v>121</v>
      </c>
      <c r="J7033" s="206" t="s">
        <v>121</v>
      </c>
      <c r="K7033" s="206" t="s">
        <v>121</v>
      </c>
      <c r="L7033" s="206" t="str">
        <v/>
      </c>
      <c r="M7033" s="206" t="str">
        <v/>
      </c>
    </row>
    <row r="7034" spans="1:13" ht="14.4">
      <c r="A7034" s="201"/>
      <c r="B7034" s="209"/>
      <c r="C7034" s="201"/>
      <c r="D7034" s="201"/>
      <c r="E7034" s="202"/>
      <c r="F7034" s="210"/>
      <c r="G7034" s="210"/>
      <c r="H7034" s="206" t="s">
        <v>121</v>
      </c>
      <c r="I7034" s="206" t="s">
        <v>121</v>
      </c>
      <c r="J7034" s="206" t="s">
        <v>121</v>
      </c>
      <c r="K7034" s="206" t="s">
        <v>121</v>
      </c>
      <c r="L7034" s="206" t="str">
        <v/>
      </c>
      <c r="M7034" s="206" t="str">
        <v/>
      </c>
    </row>
    <row r="7035" spans="1:13" ht="14.4">
      <c r="A7035" s="201"/>
      <c r="B7035" s="209"/>
      <c r="C7035" s="201"/>
      <c r="D7035" s="201"/>
      <c r="E7035" s="202"/>
      <c r="F7035" s="210"/>
      <c r="G7035" s="210"/>
      <c r="H7035" s="206" t="s">
        <v>121</v>
      </c>
      <c r="I7035" s="206" t="s">
        <v>121</v>
      </c>
      <c r="J7035" s="206" t="s">
        <v>121</v>
      </c>
      <c r="K7035" s="206" t="s">
        <v>121</v>
      </c>
      <c r="L7035" s="206" t="str">
        <v/>
      </c>
      <c r="M7035" s="206" t="str">
        <v/>
      </c>
    </row>
    <row r="7036" spans="1:13" ht="14.4">
      <c r="A7036" s="201"/>
      <c r="B7036" s="209"/>
      <c r="C7036" s="201"/>
      <c r="D7036" s="201"/>
      <c r="E7036" s="202"/>
      <c r="F7036" s="210"/>
      <c r="G7036" s="210"/>
      <c r="H7036" s="206" t="s">
        <v>121</v>
      </c>
      <c r="I7036" s="206" t="s">
        <v>121</v>
      </c>
      <c r="J7036" s="206" t="s">
        <v>121</v>
      </c>
      <c r="K7036" s="206" t="s">
        <v>121</v>
      </c>
      <c r="L7036" s="206" t="str">
        <v/>
      </c>
      <c r="M7036" s="206" t="str">
        <v/>
      </c>
    </row>
    <row r="7037" spans="1:13" ht="14.4">
      <c r="A7037" s="201"/>
      <c r="B7037" s="209"/>
      <c r="C7037" s="201"/>
      <c r="D7037" s="201"/>
      <c r="E7037" s="202"/>
      <c r="F7037" s="210"/>
      <c r="G7037" s="210"/>
      <c r="H7037" s="206" t="s">
        <v>121</v>
      </c>
      <c r="I7037" s="206" t="s">
        <v>121</v>
      </c>
      <c r="J7037" s="206" t="s">
        <v>121</v>
      </c>
      <c r="K7037" s="206" t="s">
        <v>121</v>
      </c>
      <c r="L7037" s="206" t="str">
        <v/>
      </c>
      <c r="M7037" s="206" t="str">
        <v/>
      </c>
    </row>
    <row r="7038" spans="1:13" ht="14.4">
      <c r="A7038" s="201"/>
      <c r="B7038" s="209"/>
      <c r="C7038" s="201"/>
      <c r="D7038" s="201"/>
      <c r="E7038" s="202"/>
      <c r="F7038" s="210"/>
      <c r="G7038" s="210"/>
      <c r="H7038" s="206" t="s">
        <v>121</v>
      </c>
      <c r="I7038" s="206" t="s">
        <v>121</v>
      </c>
      <c r="J7038" s="206" t="s">
        <v>121</v>
      </c>
      <c r="K7038" s="206" t="s">
        <v>121</v>
      </c>
      <c r="L7038" s="206" t="str">
        <v/>
      </c>
      <c r="M7038" s="206" t="str">
        <v/>
      </c>
    </row>
    <row r="7039" spans="1:13" ht="14.4">
      <c r="A7039" s="201"/>
      <c r="B7039" s="209"/>
      <c r="C7039" s="201"/>
      <c r="D7039" s="201"/>
      <c r="E7039" s="202"/>
      <c r="F7039" s="210"/>
      <c r="G7039" s="210"/>
      <c r="H7039" s="206" t="s">
        <v>121</v>
      </c>
      <c r="I7039" s="206" t="s">
        <v>121</v>
      </c>
      <c r="J7039" s="206" t="s">
        <v>121</v>
      </c>
      <c r="K7039" s="206" t="s">
        <v>121</v>
      </c>
      <c r="L7039" s="206" t="str">
        <v/>
      </c>
      <c r="M7039" s="206" t="str">
        <v/>
      </c>
    </row>
    <row r="7040" spans="1:13" ht="14.4">
      <c r="A7040" s="201"/>
      <c r="B7040" s="209"/>
      <c r="C7040" s="201"/>
      <c r="D7040" s="201"/>
      <c r="E7040" s="202"/>
      <c r="F7040" s="210"/>
      <c r="G7040" s="210"/>
      <c r="H7040" s="206" t="s">
        <v>121</v>
      </c>
      <c r="I7040" s="206" t="s">
        <v>121</v>
      </c>
      <c r="J7040" s="206" t="s">
        <v>121</v>
      </c>
      <c r="K7040" s="206" t="s">
        <v>121</v>
      </c>
      <c r="L7040" s="206" t="str">
        <v/>
      </c>
      <c r="M7040" s="206" t="str">
        <v/>
      </c>
    </row>
    <row r="7041" spans="1:13" ht="14.4">
      <c r="A7041" s="201"/>
      <c r="B7041" s="209"/>
      <c r="C7041" s="201"/>
      <c r="D7041" s="201"/>
      <c r="E7041" s="202"/>
      <c r="F7041" s="210"/>
      <c r="G7041" s="210"/>
      <c r="H7041" s="206" t="s">
        <v>121</v>
      </c>
      <c r="I7041" s="206" t="s">
        <v>121</v>
      </c>
      <c r="J7041" s="206" t="s">
        <v>121</v>
      </c>
      <c r="K7041" s="206" t="s">
        <v>121</v>
      </c>
      <c r="L7041" s="206" t="str">
        <v/>
      </c>
      <c r="M7041" s="206" t="str">
        <v/>
      </c>
    </row>
    <row r="7042" spans="1:13" ht="14.4">
      <c r="A7042" s="201"/>
      <c r="B7042" s="209"/>
      <c r="C7042" s="201"/>
      <c r="D7042" s="201"/>
      <c r="E7042" s="202"/>
      <c r="F7042" s="210"/>
      <c r="G7042" s="210"/>
      <c r="H7042" s="206" t="s">
        <v>121</v>
      </c>
      <c r="I7042" s="206" t="s">
        <v>121</v>
      </c>
      <c r="J7042" s="206" t="s">
        <v>121</v>
      </c>
      <c r="K7042" s="206" t="s">
        <v>121</v>
      </c>
      <c r="L7042" s="206" t="str">
        <v/>
      </c>
      <c r="M7042" s="206" t="str">
        <v/>
      </c>
    </row>
    <row r="7043" spans="1:13" ht="14.4">
      <c r="A7043" s="201"/>
      <c r="B7043" s="209"/>
      <c r="C7043" s="201"/>
      <c r="D7043" s="201"/>
      <c r="E7043" s="202"/>
      <c r="F7043" s="210"/>
      <c r="G7043" s="210"/>
      <c r="H7043" s="206" t="s">
        <v>121</v>
      </c>
      <c r="I7043" s="206" t="s">
        <v>121</v>
      </c>
      <c r="J7043" s="206" t="s">
        <v>121</v>
      </c>
      <c r="K7043" s="206" t="s">
        <v>121</v>
      </c>
      <c r="L7043" s="206" t="str">
        <v/>
      </c>
      <c r="M7043" s="206" t="str">
        <v/>
      </c>
    </row>
    <row r="7044" spans="1:13" ht="14.4">
      <c r="A7044" s="201"/>
      <c r="B7044" s="209"/>
      <c r="C7044" s="201"/>
      <c r="D7044" s="201"/>
      <c r="E7044" s="202"/>
      <c r="F7044" s="210"/>
      <c r="G7044" s="210"/>
      <c r="H7044" s="206" t="s">
        <v>121</v>
      </c>
      <c r="I7044" s="206" t="s">
        <v>121</v>
      </c>
      <c r="J7044" s="206" t="s">
        <v>121</v>
      </c>
      <c r="K7044" s="206" t="s">
        <v>121</v>
      </c>
      <c r="L7044" s="206" t="str">
        <v/>
      </c>
      <c r="M7044" s="206" t="str">
        <v/>
      </c>
    </row>
    <row r="7045" spans="1:13" ht="14.4">
      <c r="A7045" s="201"/>
      <c r="B7045" s="209"/>
      <c r="C7045" s="201"/>
      <c r="D7045" s="201"/>
      <c r="E7045" s="202"/>
      <c r="F7045" s="210"/>
      <c r="G7045" s="210"/>
      <c r="H7045" s="206" t="s">
        <v>121</v>
      </c>
      <c r="I7045" s="206" t="s">
        <v>121</v>
      </c>
      <c r="J7045" s="206" t="s">
        <v>121</v>
      </c>
      <c r="K7045" s="206" t="s">
        <v>121</v>
      </c>
      <c r="L7045" s="206" t="str">
        <v/>
      </c>
      <c r="M7045" s="206" t="str">
        <v/>
      </c>
    </row>
    <row r="7046" spans="1:13" ht="14.4">
      <c r="A7046" s="201"/>
      <c r="B7046" s="209"/>
      <c r="C7046" s="201"/>
      <c r="D7046" s="201"/>
      <c r="E7046" s="202"/>
      <c r="F7046" s="210"/>
      <c r="G7046" s="210"/>
      <c r="H7046" s="206" t="s">
        <v>121</v>
      </c>
      <c r="I7046" s="206" t="s">
        <v>121</v>
      </c>
      <c r="J7046" s="206" t="s">
        <v>121</v>
      </c>
      <c r="K7046" s="206" t="s">
        <v>121</v>
      </c>
      <c r="L7046" s="206" t="str">
        <v/>
      </c>
      <c r="M7046" s="206" t="str">
        <v/>
      </c>
    </row>
    <row r="7047" spans="1:13" ht="14.4">
      <c r="A7047" s="201"/>
      <c r="B7047" s="209"/>
      <c r="C7047" s="201"/>
      <c r="D7047" s="201"/>
      <c r="E7047" s="202"/>
      <c r="F7047" s="210"/>
      <c r="G7047" s="210"/>
      <c r="H7047" s="206" t="s">
        <v>121</v>
      </c>
      <c r="I7047" s="206" t="s">
        <v>121</v>
      </c>
      <c r="J7047" s="206" t="s">
        <v>121</v>
      </c>
      <c r="K7047" s="206" t="s">
        <v>121</v>
      </c>
      <c r="L7047" s="206" t="str">
        <v/>
      </c>
      <c r="M7047" s="206" t="str">
        <v/>
      </c>
    </row>
    <row r="7048" spans="1:13" ht="14.4">
      <c r="A7048" s="201"/>
      <c r="B7048" s="209"/>
      <c r="C7048" s="201"/>
      <c r="D7048" s="201"/>
      <c r="E7048" s="202"/>
      <c r="F7048" s="210"/>
      <c r="G7048" s="210"/>
      <c r="H7048" s="206" t="s">
        <v>121</v>
      </c>
      <c r="I7048" s="206" t="s">
        <v>121</v>
      </c>
      <c r="J7048" s="206" t="s">
        <v>121</v>
      </c>
      <c r="K7048" s="206" t="s">
        <v>121</v>
      </c>
      <c r="L7048" s="206" t="str">
        <v/>
      </c>
      <c r="M7048" s="206" t="str">
        <v/>
      </c>
    </row>
    <row r="7049" spans="1:13" ht="14.4">
      <c r="A7049" s="201"/>
      <c r="B7049" s="209"/>
      <c r="C7049" s="201"/>
      <c r="D7049" s="201"/>
      <c r="E7049" s="202"/>
      <c r="F7049" s="210"/>
      <c r="G7049" s="210"/>
      <c r="H7049" s="206" t="s">
        <v>121</v>
      </c>
      <c r="I7049" s="206" t="s">
        <v>121</v>
      </c>
      <c r="J7049" s="206" t="s">
        <v>121</v>
      </c>
      <c r="K7049" s="206" t="s">
        <v>121</v>
      </c>
      <c r="L7049" s="206" t="str">
        <v/>
      </c>
      <c r="M7049" s="206" t="str">
        <v/>
      </c>
    </row>
    <row r="7050" spans="1:13" ht="14.4">
      <c r="A7050" s="201"/>
      <c r="B7050" s="209"/>
      <c r="C7050" s="201"/>
      <c r="D7050" s="201"/>
      <c r="E7050" s="202"/>
      <c r="F7050" s="210"/>
      <c r="G7050" s="210"/>
      <c r="H7050" s="206" t="s">
        <v>121</v>
      </c>
      <c r="I7050" s="206" t="s">
        <v>121</v>
      </c>
      <c r="J7050" s="206" t="s">
        <v>121</v>
      </c>
      <c r="K7050" s="206" t="s">
        <v>121</v>
      </c>
      <c r="L7050" s="206" t="str">
        <v/>
      </c>
      <c r="M7050" s="206" t="str">
        <v/>
      </c>
    </row>
    <row r="7051" spans="1:13" ht="14.4">
      <c r="A7051" s="201"/>
      <c r="B7051" s="209"/>
      <c r="C7051" s="201"/>
      <c r="D7051" s="201"/>
      <c r="E7051" s="202"/>
      <c r="F7051" s="210"/>
      <c r="G7051" s="210"/>
      <c r="H7051" s="206" t="s">
        <v>121</v>
      </c>
      <c r="I7051" s="206" t="s">
        <v>121</v>
      </c>
      <c r="J7051" s="206" t="s">
        <v>121</v>
      </c>
      <c r="K7051" s="206" t="s">
        <v>121</v>
      </c>
      <c r="L7051" s="206" t="str">
        <v/>
      </c>
      <c r="M7051" s="206" t="str">
        <v/>
      </c>
    </row>
    <row r="7052" spans="1:13" ht="14.4">
      <c r="A7052" s="201"/>
      <c r="B7052" s="209"/>
      <c r="C7052" s="201"/>
      <c r="D7052" s="201"/>
      <c r="E7052" s="202"/>
      <c r="F7052" s="210"/>
      <c r="G7052" s="210"/>
      <c r="H7052" s="206" t="s">
        <v>121</v>
      </c>
      <c r="I7052" s="206" t="s">
        <v>121</v>
      </c>
      <c r="J7052" s="206" t="s">
        <v>121</v>
      </c>
      <c r="K7052" s="206" t="s">
        <v>121</v>
      </c>
      <c r="L7052" s="206" t="str">
        <v/>
      </c>
      <c r="M7052" s="206" t="str">
        <v/>
      </c>
    </row>
    <row r="7053" spans="1:13" ht="14.4">
      <c r="A7053" s="201"/>
      <c r="B7053" s="209"/>
      <c r="C7053" s="201"/>
      <c r="D7053" s="201"/>
      <c r="E7053" s="202"/>
      <c r="F7053" s="210"/>
      <c r="G7053" s="210"/>
      <c r="H7053" s="206" t="s">
        <v>121</v>
      </c>
      <c r="I7053" s="206" t="s">
        <v>121</v>
      </c>
      <c r="J7053" s="206" t="s">
        <v>121</v>
      </c>
      <c r="K7053" s="206" t="s">
        <v>121</v>
      </c>
      <c r="L7053" s="206" t="str">
        <v/>
      </c>
      <c r="M7053" s="206" t="str">
        <v/>
      </c>
    </row>
    <row r="7054" spans="1:13" ht="14.4">
      <c r="A7054" s="201"/>
      <c r="B7054" s="209"/>
      <c r="C7054" s="201"/>
      <c r="D7054" s="201"/>
      <c r="E7054" s="202"/>
      <c r="F7054" s="210"/>
      <c r="G7054" s="210"/>
      <c r="H7054" s="206" t="s">
        <v>121</v>
      </c>
      <c r="I7054" s="206" t="s">
        <v>121</v>
      </c>
      <c r="J7054" s="206" t="s">
        <v>121</v>
      </c>
      <c r="K7054" s="206" t="s">
        <v>121</v>
      </c>
      <c r="L7054" s="206" t="str">
        <v/>
      </c>
      <c r="M7054" s="206" t="str">
        <v/>
      </c>
    </row>
    <row r="7055" spans="1:13" ht="14.4">
      <c r="A7055" s="201"/>
      <c r="B7055" s="209"/>
      <c r="C7055" s="201"/>
      <c r="D7055" s="201"/>
      <c r="E7055" s="202"/>
      <c r="F7055" s="210"/>
      <c r="G7055" s="210"/>
      <c r="H7055" s="206" t="s">
        <v>121</v>
      </c>
      <c r="I7055" s="206" t="s">
        <v>121</v>
      </c>
      <c r="J7055" s="206" t="s">
        <v>121</v>
      </c>
      <c r="K7055" s="206" t="s">
        <v>121</v>
      </c>
      <c r="L7055" s="206" t="str">
        <v/>
      </c>
      <c r="M7055" s="206" t="str">
        <v/>
      </c>
    </row>
    <row r="7056" spans="1:13" ht="14.4">
      <c r="A7056" s="201"/>
      <c r="B7056" s="209"/>
      <c r="C7056" s="201"/>
      <c r="D7056" s="201"/>
      <c r="E7056" s="202"/>
      <c r="F7056" s="210"/>
      <c r="G7056" s="210"/>
      <c r="H7056" s="206" t="s">
        <v>121</v>
      </c>
      <c r="I7056" s="206" t="s">
        <v>121</v>
      </c>
      <c r="J7056" s="206" t="s">
        <v>121</v>
      </c>
      <c r="K7056" s="206" t="s">
        <v>121</v>
      </c>
      <c r="L7056" s="206" t="str">
        <v/>
      </c>
      <c r="M7056" s="206" t="str">
        <v/>
      </c>
    </row>
    <row r="7057" spans="1:13" ht="14.4">
      <c r="A7057" s="201"/>
      <c r="B7057" s="209"/>
      <c r="C7057" s="201"/>
      <c r="D7057" s="201"/>
      <c r="E7057" s="202"/>
      <c r="F7057" s="210"/>
      <c r="G7057" s="210"/>
      <c r="H7057" s="206" t="s">
        <v>121</v>
      </c>
      <c r="I7057" s="206" t="s">
        <v>121</v>
      </c>
      <c r="J7057" s="206" t="s">
        <v>121</v>
      </c>
      <c r="K7057" s="206" t="s">
        <v>121</v>
      </c>
      <c r="L7057" s="206" t="str">
        <v/>
      </c>
      <c r="M7057" s="206" t="str">
        <v/>
      </c>
    </row>
    <row r="7058" spans="1:13" ht="14.4">
      <c r="A7058" s="201"/>
      <c r="B7058" s="209"/>
      <c r="C7058" s="201"/>
      <c r="D7058" s="201"/>
      <c r="E7058" s="202"/>
      <c r="F7058" s="210"/>
      <c r="G7058" s="210"/>
      <c r="H7058" s="206" t="s">
        <v>121</v>
      </c>
      <c r="I7058" s="206" t="s">
        <v>121</v>
      </c>
      <c r="J7058" s="206" t="s">
        <v>121</v>
      </c>
      <c r="K7058" s="206" t="s">
        <v>121</v>
      </c>
      <c r="L7058" s="206" t="str">
        <v/>
      </c>
      <c r="M7058" s="206" t="str">
        <v/>
      </c>
    </row>
    <row r="7059" spans="1:13" ht="14.4">
      <c r="A7059" s="201"/>
      <c r="B7059" s="209"/>
      <c r="C7059" s="201"/>
      <c r="D7059" s="201"/>
      <c r="E7059" s="202"/>
      <c r="F7059" s="210"/>
      <c r="G7059" s="210"/>
      <c r="H7059" s="206" t="s">
        <v>121</v>
      </c>
      <c r="I7059" s="206" t="s">
        <v>121</v>
      </c>
      <c r="J7059" s="206" t="s">
        <v>121</v>
      </c>
      <c r="K7059" s="206" t="s">
        <v>121</v>
      </c>
      <c r="L7059" s="206" t="str">
        <v/>
      </c>
      <c r="M7059" s="206" t="str">
        <v/>
      </c>
    </row>
    <row r="7060" spans="1:13" ht="14.4">
      <c r="A7060" s="201"/>
      <c r="B7060" s="209"/>
      <c r="C7060" s="201"/>
      <c r="D7060" s="201"/>
      <c r="E7060" s="202"/>
      <c r="F7060" s="210"/>
      <c r="G7060" s="210"/>
      <c r="H7060" s="206" t="s">
        <v>121</v>
      </c>
      <c r="I7060" s="206" t="s">
        <v>121</v>
      </c>
      <c r="J7060" s="206" t="s">
        <v>121</v>
      </c>
      <c r="K7060" s="206" t="s">
        <v>121</v>
      </c>
      <c r="L7060" s="206" t="str">
        <v/>
      </c>
      <c r="M7060" s="206" t="str">
        <v/>
      </c>
    </row>
    <row r="7061" spans="1:13" ht="14.4">
      <c r="A7061" s="201"/>
      <c r="B7061" s="209"/>
      <c r="C7061" s="201"/>
      <c r="D7061" s="201"/>
      <c r="E7061" s="202"/>
      <c r="F7061" s="210"/>
      <c r="G7061" s="210"/>
      <c r="H7061" s="206" t="s">
        <v>121</v>
      </c>
      <c r="I7061" s="206" t="s">
        <v>121</v>
      </c>
      <c r="J7061" s="206" t="s">
        <v>121</v>
      </c>
      <c r="K7061" s="206" t="s">
        <v>121</v>
      </c>
      <c r="L7061" s="206" t="str">
        <v/>
      </c>
      <c r="M7061" s="206" t="str">
        <v/>
      </c>
    </row>
    <row r="7062" spans="1:13" ht="14.4">
      <c r="A7062" s="201"/>
      <c r="B7062" s="209"/>
      <c r="C7062" s="201"/>
      <c r="D7062" s="201"/>
      <c r="E7062" s="202"/>
      <c r="F7062" s="210"/>
      <c r="G7062" s="210"/>
      <c r="H7062" s="206" t="s">
        <v>121</v>
      </c>
      <c r="I7062" s="206" t="s">
        <v>121</v>
      </c>
      <c r="J7062" s="206" t="s">
        <v>121</v>
      </c>
      <c r="K7062" s="206" t="s">
        <v>121</v>
      </c>
      <c r="L7062" s="206" t="str">
        <v/>
      </c>
      <c r="M7062" s="206" t="str">
        <v/>
      </c>
    </row>
    <row r="7063" spans="1:13" ht="14.4">
      <c r="A7063" s="201"/>
      <c r="B7063" s="209"/>
      <c r="C7063" s="201"/>
      <c r="D7063" s="201"/>
      <c r="E7063" s="202"/>
      <c r="F7063" s="210"/>
      <c r="G7063" s="210"/>
      <c r="H7063" s="206" t="s">
        <v>121</v>
      </c>
      <c r="I7063" s="206" t="s">
        <v>121</v>
      </c>
      <c r="J7063" s="206" t="s">
        <v>121</v>
      </c>
      <c r="K7063" s="206" t="s">
        <v>121</v>
      </c>
      <c r="L7063" s="206" t="str">
        <v/>
      </c>
      <c r="M7063" s="206" t="str">
        <v/>
      </c>
    </row>
    <row r="7064" spans="1:13" ht="14.4">
      <c r="A7064" s="201"/>
      <c r="B7064" s="209"/>
      <c r="C7064" s="201"/>
      <c r="D7064" s="201"/>
      <c r="E7064" s="202"/>
      <c r="F7064" s="210"/>
      <c r="G7064" s="210"/>
      <c r="H7064" s="206" t="s">
        <v>121</v>
      </c>
      <c r="I7064" s="206" t="s">
        <v>121</v>
      </c>
      <c r="J7064" s="206" t="s">
        <v>121</v>
      </c>
      <c r="K7064" s="206" t="s">
        <v>121</v>
      </c>
      <c r="L7064" s="206" t="str">
        <v/>
      </c>
      <c r="M7064" s="206" t="str">
        <v/>
      </c>
    </row>
    <row r="7065" spans="1:13" ht="14.4">
      <c r="A7065" s="201"/>
      <c r="B7065" s="209"/>
      <c r="C7065" s="201"/>
      <c r="D7065" s="201"/>
      <c r="E7065" s="202"/>
      <c r="F7065" s="210"/>
      <c r="G7065" s="210"/>
      <c r="H7065" s="206" t="s">
        <v>121</v>
      </c>
      <c r="I7065" s="206" t="s">
        <v>121</v>
      </c>
      <c r="J7065" s="206" t="s">
        <v>121</v>
      </c>
      <c r="K7065" s="206" t="s">
        <v>121</v>
      </c>
      <c r="L7065" s="206" t="str">
        <v/>
      </c>
      <c r="M7065" s="206" t="str">
        <v/>
      </c>
    </row>
    <row r="7066" spans="1:13" ht="14.4">
      <c r="A7066" s="201"/>
      <c r="B7066" s="209"/>
      <c r="C7066" s="201"/>
      <c r="D7066" s="201"/>
      <c r="E7066" s="202"/>
      <c r="F7066" s="210"/>
      <c r="G7066" s="210"/>
      <c r="H7066" s="206" t="s">
        <v>121</v>
      </c>
      <c r="I7066" s="206" t="s">
        <v>121</v>
      </c>
      <c r="J7066" s="206" t="s">
        <v>121</v>
      </c>
      <c r="K7066" s="206" t="s">
        <v>121</v>
      </c>
      <c r="L7066" s="206" t="str">
        <v/>
      </c>
      <c r="M7066" s="206" t="str">
        <v/>
      </c>
    </row>
    <row r="7067" spans="1:13" ht="14.4">
      <c r="A7067" s="201"/>
      <c r="B7067" s="209"/>
      <c r="C7067" s="201"/>
      <c r="D7067" s="201"/>
      <c r="E7067" s="202"/>
      <c r="F7067" s="210"/>
      <c r="G7067" s="210"/>
      <c r="H7067" s="206" t="s">
        <v>121</v>
      </c>
      <c r="I7067" s="206" t="s">
        <v>121</v>
      </c>
      <c r="J7067" s="206" t="s">
        <v>121</v>
      </c>
      <c r="K7067" s="206" t="s">
        <v>121</v>
      </c>
      <c r="L7067" s="206" t="str">
        <v/>
      </c>
      <c r="M7067" s="206" t="str">
        <v/>
      </c>
    </row>
    <row r="7068" spans="1:13" ht="14.4">
      <c r="A7068" s="201"/>
      <c r="B7068" s="209"/>
      <c r="C7068" s="201"/>
      <c r="D7068" s="201"/>
      <c r="E7068" s="202"/>
      <c r="F7068" s="210"/>
      <c r="G7068" s="210"/>
      <c r="H7068" s="206" t="s">
        <v>121</v>
      </c>
      <c r="I7068" s="206" t="s">
        <v>121</v>
      </c>
      <c r="J7068" s="206" t="s">
        <v>121</v>
      </c>
      <c r="K7068" s="206" t="s">
        <v>121</v>
      </c>
      <c r="L7068" s="206" t="str">
        <v/>
      </c>
      <c r="M7068" s="206" t="str">
        <v/>
      </c>
    </row>
    <row r="7069" spans="1:13" ht="14.4">
      <c r="A7069" s="201"/>
      <c r="B7069" s="209"/>
      <c r="C7069" s="201"/>
      <c r="D7069" s="201"/>
      <c r="E7069" s="202"/>
      <c r="F7069" s="210"/>
      <c r="G7069" s="210"/>
      <c r="H7069" s="206" t="s">
        <v>121</v>
      </c>
      <c r="I7069" s="206" t="s">
        <v>121</v>
      </c>
      <c r="J7069" s="206" t="s">
        <v>121</v>
      </c>
      <c r="K7069" s="206" t="s">
        <v>121</v>
      </c>
      <c r="L7069" s="206" t="str">
        <v/>
      </c>
      <c r="M7069" s="206" t="str">
        <v/>
      </c>
    </row>
    <row r="7070" spans="1:13" ht="14.4">
      <c r="A7070" s="201"/>
      <c r="B7070" s="209"/>
      <c r="C7070" s="201"/>
      <c r="D7070" s="201"/>
      <c r="E7070" s="202"/>
      <c r="F7070" s="210"/>
      <c r="G7070" s="210"/>
      <c r="H7070" s="206" t="s">
        <v>121</v>
      </c>
      <c r="I7070" s="206" t="s">
        <v>121</v>
      </c>
      <c r="J7070" s="206" t="s">
        <v>121</v>
      </c>
      <c r="K7070" s="206" t="s">
        <v>121</v>
      </c>
      <c r="L7070" s="206" t="str">
        <v/>
      </c>
      <c r="M7070" s="206" t="str">
        <v/>
      </c>
    </row>
    <row r="7071" spans="1:13" ht="14.4">
      <c r="A7071" s="201"/>
      <c r="B7071" s="209"/>
      <c r="C7071" s="201"/>
      <c r="D7071" s="201"/>
      <c r="E7071" s="202"/>
      <c r="F7071" s="210"/>
      <c r="G7071" s="210"/>
      <c r="H7071" s="206" t="s">
        <v>121</v>
      </c>
      <c r="I7071" s="206" t="s">
        <v>121</v>
      </c>
      <c r="J7071" s="206" t="s">
        <v>121</v>
      </c>
      <c r="K7071" s="206" t="s">
        <v>121</v>
      </c>
      <c r="L7071" s="206" t="str">
        <v/>
      </c>
      <c r="M7071" s="206" t="str">
        <v/>
      </c>
    </row>
    <row r="7072" spans="1:13" ht="14.4">
      <c r="A7072" s="201"/>
      <c r="B7072" s="209"/>
      <c r="C7072" s="201"/>
      <c r="D7072" s="201"/>
      <c r="E7072" s="202"/>
      <c r="F7072" s="210"/>
      <c r="G7072" s="210"/>
      <c r="H7072" s="206" t="s">
        <v>121</v>
      </c>
      <c r="I7072" s="206" t="s">
        <v>121</v>
      </c>
      <c r="J7072" s="206" t="s">
        <v>121</v>
      </c>
      <c r="K7072" s="206" t="s">
        <v>121</v>
      </c>
      <c r="L7072" s="206" t="str">
        <v/>
      </c>
      <c r="M7072" s="206" t="str">
        <v/>
      </c>
    </row>
    <row r="7073" spans="1:13" ht="14.4">
      <c r="A7073" s="201"/>
      <c r="B7073" s="209"/>
      <c r="C7073" s="201"/>
      <c r="D7073" s="201"/>
      <c r="E7073" s="202"/>
      <c r="F7073" s="210"/>
      <c r="G7073" s="210"/>
      <c r="H7073" s="206" t="s">
        <v>121</v>
      </c>
      <c r="I7073" s="206" t="s">
        <v>121</v>
      </c>
      <c r="J7073" s="206" t="s">
        <v>121</v>
      </c>
      <c r="K7073" s="206" t="s">
        <v>121</v>
      </c>
      <c r="L7073" s="206" t="str">
        <v/>
      </c>
      <c r="M7073" s="206" t="str">
        <v/>
      </c>
    </row>
    <row r="7074" spans="1:13" ht="14.4">
      <c r="A7074" s="201"/>
      <c r="B7074" s="209"/>
      <c r="C7074" s="201"/>
      <c r="D7074" s="201"/>
      <c r="E7074" s="202"/>
      <c r="F7074" s="210"/>
      <c r="G7074" s="210"/>
      <c r="H7074" s="206" t="s">
        <v>121</v>
      </c>
      <c r="I7074" s="206" t="s">
        <v>121</v>
      </c>
      <c r="J7074" s="206" t="s">
        <v>121</v>
      </c>
      <c r="K7074" s="206" t="s">
        <v>121</v>
      </c>
      <c r="L7074" s="206" t="str">
        <v/>
      </c>
      <c r="M7074" s="206" t="str">
        <v/>
      </c>
    </row>
    <row r="7075" spans="1:13" ht="14.4">
      <c r="A7075" s="201"/>
      <c r="B7075" s="209"/>
      <c r="C7075" s="201"/>
      <c r="D7075" s="201"/>
      <c r="E7075" s="202"/>
      <c r="F7075" s="210"/>
      <c r="G7075" s="210"/>
      <c r="H7075" s="206" t="s">
        <v>121</v>
      </c>
      <c r="I7075" s="206" t="s">
        <v>121</v>
      </c>
      <c r="J7075" s="206" t="s">
        <v>121</v>
      </c>
      <c r="K7075" s="206" t="s">
        <v>121</v>
      </c>
      <c r="L7075" s="206" t="str">
        <v/>
      </c>
      <c r="M7075" s="206" t="str">
        <v/>
      </c>
    </row>
    <row r="7076" spans="1:13" ht="14.4">
      <c r="A7076" s="201"/>
      <c r="B7076" s="209"/>
      <c r="C7076" s="201"/>
      <c r="D7076" s="201"/>
      <c r="E7076" s="202"/>
      <c r="F7076" s="210"/>
      <c r="G7076" s="210"/>
      <c r="H7076" s="206" t="s">
        <v>121</v>
      </c>
      <c r="I7076" s="206" t="s">
        <v>121</v>
      </c>
      <c r="J7076" s="206" t="s">
        <v>121</v>
      </c>
      <c r="K7076" s="206" t="s">
        <v>121</v>
      </c>
      <c r="L7076" s="206" t="str">
        <v/>
      </c>
      <c r="M7076" s="206" t="str">
        <v/>
      </c>
    </row>
    <row r="7077" spans="1:13" ht="14.4">
      <c r="A7077" s="201"/>
      <c r="B7077" s="209"/>
      <c r="C7077" s="201"/>
      <c r="D7077" s="201"/>
      <c r="E7077" s="202"/>
      <c r="F7077" s="210"/>
      <c r="G7077" s="210"/>
      <c r="H7077" s="206" t="s">
        <v>121</v>
      </c>
      <c r="I7077" s="206" t="s">
        <v>121</v>
      </c>
      <c r="J7077" s="206" t="s">
        <v>121</v>
      </c>
      <c r="K7077" s="206" t="s">
        <v>121</v>
      </c>
      <c r="L7077" s="206" t="str">
        <v/>
      </c>
      <c r="M7077" s="206" t="str">
        <v/>
      </c>
    </row>
    <row r="7078" spans="1:13" ht="14.4">
      <c r="A7078" s="201"/>
      <c r="B7078" s="209"/>
      <c r="C7078" s="201"/>
      <c r="D7078" s="201"/>
      <c r="E7078" s="202"/>
      <c r="F7078" s="210"/>
      <c r="G7078" s="210"/>
      <c r="H7078" s="206" t="s">
        <v>121</v>
      </c>
      <c r="I7078" s="206" t="s">
        <v>121</v>
      </c>
      <c r="J7078" s="206" t="s">
        <v>121</v>
      </c>
      <c r="K7078" s="206" t="s">
        <v>121</v>
      </c>
      <c r="L7078" s="206" t="str">
        <v/>
      </c>
      <c r="M7078" s="206" t="str">
        <v/>
      </c>
    </row>
    <row r="7079" spans="1:13" ht="14.4">
      <c r="A7079" s="201"/>
      <c r="B7079" s="209"/>
      <c r="C7079" s="201"/>
      <c r="D7079" s="201"/>
      <c r="E7079" s="202"/>
      <c r="F7079" s="210"/>
      <c r="G7079" s="210"/>
      <c r="H7079" s="206" t="s">
        <v>121</v>
      </c>
      <c r="I7079" s="206" t="s">
        <v>121</v>
      </c>
      <c r="J7079" s="206" t="s">
        <v>121</v>
      </c>
      <c r="K7079" s="206" t="s">
        <v>121</v>
      </c>
      <c r="L7079" s="206" t="str">
        <v/>
      </c>
      <c r="M7079" s="206" t="str">
        <v/>
      </c>
    </row>
    <row r="7080" spans="1:13" ht="14.4">
      <c r="A7080" s="201"/>
      <c r="B7080" s="209"/>
      <c r="C7080" s="201"/>
      <c r="D7080" s="201"/>
      <c r="E7080" s="202"/>
      <c r="F7080" s="210"/>
      <c r="G7080" s="210"/>
      <c r="H7080" s="206" t="s">
        <v>121</v>
      </c>
      <c r="I7080" s="206" t="s">
        <v>121</v>
      </c>
      <c r="J7080" s="206" t="s">
        <v>121</v>
      </c>
      <c r="K7080" s="206" t="s">
        <v>121</v>
      </c>
      <c r="L7080" s="206" t="str">
        <v/>
      </c>
      <c r="M7080" s="206" t="str">
        <v/>
      </c>
    </row>
    <row r="7081" spans="1:13" ht="14.4">
      <c r="A7081" s="201"/>
      <c r="B7081" s="209"/>
      <c r="C7081" s="201"/>
      <c r="D7081" s="201"/>
      <c r="E7081" s="202"/>
      <c r="F7081" s="210"/>
      <c r="G7081" s="210"/>
      <c r="H7081" s="206" t="s">
        <v>121</v>
      </c>
      <c r="I7081" s="206" t="s">
        <v>121</v>
      </c>
      <c r="J7081" s="206" t="s">
        <v>121</v>
      </c>
      <c r="K7081" s="206" t="s">
        <v>121</v>
      </c>
      <c r="L7081" s="206" t="str">
        <v/>
      </c>
      <c r="M7081" s="206" t="str">
        <v/>
      </c>
    </row>
    <row r="7082" spans="1:13" ht="14.4">
      <c r="A7082" s="201"/>
      <c r="B7082" s="209"/>
      <c r="C7082" s="201"/>
      <c r="D7082" s="201"/>
      <c r="E7082" s="202"/>
      <c r="F7082" s="210"/>
      <c r="G7082" s="210"/>
      <c r="H7082" s="206" t="s">
        <v>121</v>
      </c>
      <c r="I7082" s="206" t="s">
        <v>121</v>
      </c>
      <c r="J7082" s="206" t="s">
        <v>121</v>
      </c>
      <c r="K7082" s="206" t="s">
        <v>121</v>
      </c>
      <c r="L7082" s="206" t="str">
        <v/>
      </c>
      <c r="M7082" s="206" t="str">
        <v/>
      </c>
    </row>
    <row r="7083" spans="1:13" ht="14.4">
      <c r="A7083" s="201"/>
      <c r="B7083" s="209"/>
      <c r="C7083" s="201"/>
      <c r="D7083" s="201"/>
      <c r="E7083" s="202"/>
      <c r="F7083" s="210"/>
      <c r="G7083" s="210"/>
      <c r="H7083" s="206" t="s">
        <v>121</v>
      </c>
      <c r="I7083" s="206" t="s">
        <v>121</v>
      </c>
      <c r="J7083" s="206" t="s">
        <v>121</v>
      </c>
      <c r="K7083" s="206" t="s">
        <v>121</v>
      </c>
      <c r="L7083" s="206" t="str">
        <v/>
      </c>
      <c r="M7083" s="206" t="str">
        <v/>
      </c>
    </row>
    <row r="7084" spans="1:13" ht="14.4">
      <c r="A7084" s="201"/>
      <c r="B7084" s="209"/>
      <c r="C7084" s="201"/>
      <c r="D7084" s="201"/>
      <c r="E7084" s="202"/>
      <c r="F7084" s="210"/>
      <c r="G7084" s="210"/>
      <c r="H7084" s="206" t="s">
        <v>121</v>
      </c>
      <c r="I7084" s="206" t="s">
        <v>121</v>
      </c>
      <c r="J7084" s="206" t="s">
        <v>121</v>
      </c>
      <c r="K7084" s="206" t="s">
        <v>121</v>
      </c>
      <c r="L7084" s="206" t="str">
        <v/>
      </c>
      <c r="M7084" s="206" t="str">
        <v/>
      </c>
    </row>
    <row r="7085" spans="1:13" ht="14.4">
      <c r="A7085" s="201"/>
      <c r="B7085" s="209"/>
      <c r="C7085" s="201"/>
      <c r="D7085" s="201"/>
      <c r="E7085" s="202"/>
      <c r="F7085" s="210"/>
      <c r="G7085" s="210"/>
      <c r="H7085" s="206" t="s">
        <v>121</v>
      </c>
      <c r="I7085" s="206" t="s">
        <v>121</v>
      </c>
      <c r="J7085" s="206" t="s">
        <v>121</v>
      </c>
      <c r="K7085" s="206" t="s">
        <v>121</v>
      </c>
      <c r="L7085" s="206" t="str">
        <v/>
      </c>
      <c r="M7085" s="206" t="str">
        <v/>
      </c>
    </row>
    <row r="7086" spans="1:13" ht="14.4">
      <c r="A7086" s="201"/>
      <c r="B7086" s="209"/>
      <c r="C7086" s="201"/>
      <c r="D7086" s="201"/>
      <c r="E7086" s="202"/>
      <c r="F7086" s="210"/>
      <c r="G7086" s="210"/>
      <c r="H7086" s="206" t="s">
        <v>121</v>
      </c>
      <c r="I7086" s="206" t="s">
        <v>121</v>
      </c>
      <c r="J7086" s="206" t="s">
        <v>121</v>
      </c>
      <c r="K7086" s="206" t="s">
        <v>121</v>
      </c>
      <c r="L7086" s="206" t="str">
        <v/>
      </c>
      <c r="M7086" s="206" t="str">
        <v/>
      </c>
    </row>
    <row r="7087" spans="1:13" ht="14.4">
      <c r="A7087" s="201"/>
      <c r="B7087" s="209"/>
      <c r="C7087" s="201"/>
      <c r="D7087" s="201"/>
      <c r="E7087" s="202"/>
      <c r="F7087" s="210"/>
      <c r="G7087" s="210"/>
      <c r="H7087" s="206" t="s">
        <v>121</v>
      </c>
      <c r="I7087" s="206" t="s">
        <v>121</v>
      </c>
      <c r="J7087" s="206" t="s">
        <v>121</v>
      </c>
      <c r="K7087" s="206" t="s">
        <v>121</v>
      </c>
      <c r="L7087" s="206" t="str">
        <v/>
      </c>
      <c r="M7087" s="206" t="str">
        <v/>
      </c>
    </row>
    <row r="7088" spans="1:13" ht="14.4">
      <c r="A7088" s="201"/>
      <c r="B7088" s="209"/>
      <c r="C7088" s="201"/>
      <c r="D7088" s="201"/>
      <c r="E7088" s="202"/>
      <c r="F7088" s="210"/>
      <c r="G7088" s="210"/>
      <c r="H7088" s="206" t="s">
        <v>121</v>
      </c>
      <c r="I7088" s="206" t="s">
        <v>121</v>
      </c>
      <c r="J7088" s="206" t="s">
        <v>121</v>
      </c>
      <c r="K7088" s="206" t="s">
        <v>121</v>
      </c>
      <c r="L7088" s="206" t="str">
        <v/>
      </c>
      <c r="M7088" s="206" t="str">
        <v/>
      </c>
    </row>
    <row r="7089" spans="1:13" ht="14.4">
      <c r="A7089" s="201"/>
      <c r="B7089" s="209"/>
      <c r="C7089" s="201"/>
      <c r="D7089" s="201"/>
      <c r="E7089" s="202"/>
      <c r="F7089" s="210"/>
      <c r="G7089" s="210"/>
      <c r="H7089" s="206" t="s">
        <v>121</v>
      </c>
      <c r="I7089" s="206" t="s">
        <v>121</v>
      </c>
      <c r="J7089" s="206" t="s">
        <v>121</v>
      </c>
      <c r="K7089" s="206" t="s">
        <v>121</v>
      </c>
      <c r="L7089" s="206" t="str">
        <v/>
      </c>
      <c r="M7089" s="206" t="str">
        <v/>
      </c>
    </row>
    <row r="7090" spans="1:13" ht="14.4">
      <c r="A7090" s="201"/>
      <c r="B7090" s="209"/>
      <c r="C7090" s="201"/>
      <c r="D7090" s="201"/>
      <c r="E7090" s="202"/>
      <c r="F7090" s="210"/>
      <c r="G7090" s="210"/>
      <c r="H7090" s="206" t="s">
        <v>121</v>
      </c>
      <c r="I7090" s="206" t="s">
        <v>121</v>
      </c>
      <c r="J7090" s="206" t="s">
        <v>121</v>
      </c>
      <c r="K7090" s="206" t="s">
        <v>121</v>
      </c>
      <c r="L7090" s="206" t="str">
        <v/>
      </c>
      <c r="M7090" s="206" t="str">
        <v/>
      </c>
    </row>
    <row r="7091" spans="1:13" ht="14.4">
      <c r="A7091" s="201"/>
      <c r="B7091" s="209"/>
      <c r="C7091" s="201"/>
      <c r="D7091" s="201"/>
      <c r="E7091" s="202"/>
      <c r="F7091" s="210"/>
      <c r="G7091" s="210"/>
      <c r="H7091" s="206" t="s">
        <v>121</v>
      </c>
      <c r="I7091" s="206" t="s">
        <v>121</v>
      </c>
      <c r="J7091" s="206" t="s">
        <v>121</v>
      </c>
      <c r="K7091" s="206" t="s">
        <v>121</v>
      </c>
      <c r="L7091" s="206" t="str">
        <v/>
      </c>
      <c r="M7091" s="206" t="str">
        <v/>
      </c>
    </row>
    <row r="7092" spans="1:13" ht="14.4">
      <c r="A7092" s="201"/>
      <c r="B7092" s="209"/>
      <c r="C7092" s="201"/>
      <c r="D7092" s="201"/>
      <c r="E7092" s="202"/>
      <c r="F7092" s="210"/>
      <c r="G7092" s="210"/>
      <c r="H7092" s="206" t="s">
        <v>121</v>
      </c>
      <c r="I7092" s="206" t="s">
        <v>121</v>
      </c>
      <c r="J7092" s="206" t="s">
        <v>121</v>
      </c>
      <c r="K7092" s="206" t="s">
        <v>121</v>
      </c>
      <c r="L7092" s="206" t="str">
        <v/>
      </c>
      <c r="M7092" s="206" t="str">
        <v/>
      </c>
    </row>
    <row r="7093" spans="1:13" ht="14.4">
      <c r="A7093" s="201"/>
      <c r="B7093" s="209"/>
      <c r="C7093" s="201"/>
      <c r="D7093" s="201"/>
      <c r="E7093" s="202"/>
      <c r="F7093" s="210"/>
      <c r="G7093" s="210"/>
      <c r="H7093" s="206" t="s">
        <v>121</v>
      </c>
      <c r="I7093" s="206" t="s">
        <v>121</v>
      </c>
      <c r="J7093" s="206" t="s">
        <v>121</v>
      </c>
      <c r="K7093" s="206" t="s">
        <v>121</v>
      </c>
      <c r="L7093" s="206" t="str">
        <v/>
      </c>
      <c r="M7093" s="206" t="str">
        <v/>
      </c>
    </row>
    <row r="7094" spans="1:13" ht="14.4">
      <c r="A7094" s="201"/>
      <c r="B7094" s="209"/>
      <c r="C7094" s="201"/>
      <c r="D7094" s="201"/>
      <c r="E7094" s="202"/>
      <c r="F7094" s="210"/>
      <c r="G7094" s="210"/>
      <c r="H7094" s="206" t="s">
        <v>121</v>
      </c>
      <c r="I7094" s="206" t="s">
        <v>121</v>
      </c>
      <c r="J7094" s="206" t="s">
        <v>121</v>
      </c>
      <c r="K7094" s="206" t="s">
        <v>121</v>
      </c>
      <c r="L7094" s="206" t="str">
        <v/>
      </c>
      <c r="M7094" s="206" t="str">
        <v/>
      </c>
    </row>
    <row r="7095" spans="1:13" ht="14.4">
      <c r="A7095" s="201"/>
      <c r="B7095" s="209"/>
      <c r="C7095" s="201"/>
      <c r="D7095" s="201"/>
      <c r="E7095" s="202"/>
      <c r="F7095" s="210"/>
      <c r="G7095" s="210"/>
      <c r="H7095" s="206" t="s">
        <v>121</v>
      </c>
      <c r="I7095" s="206" t="s">
        <v>121</v>
      </c>
      <c r="J7095" s="206" t="s">
        <v>121</v>
      </c>
      <c r="K7095" s="206" t="s">
        <v>121</v>
      </c>
      <c r="L7095" s="206" t="str">
        <v/>
      </c>
      <c r="M7095" s="206" t="str">
        <v/>
      </c>
    </row>
    <row r="7096" spans="1:13" ht="14.4">
      <c r="A7096" s="201"/>
      <c r="B7096" s="209"/>
      <c r="C7096" s="201"/>
      <c r="D7096" s="201"/>
      <c r="E7096" s="202"/>
      <c r="F7096" s="210"/>
      <c r="G7096" s="210"/>
      <c r="H7096" s="206" t="s">
        <v>121</v>
      </c>
      <c r="I7096" s="206" t="s">
        <v>121</v>
      </c>
      <c r="J7096" s="206" t="s">
        <v>121</v>
      </c>
      <c r="K7096" s="206" t="s">
        <v>121</v>
      </c>
      <c r="L7096" s="206" t="str">
        <v/>
      </c>
      <c r="M7096" s="206" t="str">
        <v/>
      </c>
    </row>
    <row r="7097" spans="1:13" ht="14.4">
      <c r="A7097" s="201"/>
      <c r="B7097" s="209"/>
      <c r="C7097" s="201"/>
      <c r="D7097" s="201"/>
      <c r="E7097" s="202"/>
      <c r="F7097" s="210"/>
      <c r="G7097" s="210"/>
      <c r="H7097" s="206" t="s">
        <v>121</v>
      </c>
      <c r="I7097" s="206" t="s">
        <v>121</v>
      </c>
      <c r="J7097" s="206" t="s">
        <v>121</v>
      </c>
      <c r="K7097" s="206" t="s">
        <v>121</v>
      </c>
      <c r="L7097" s="206" t="str">
        <v/>
      </c>
      <c r="M7097" s="206" t="str">
        <v/>
      </c>
    </row>
    <row r="7098" spans="1:13" ht="14.4">
      <c r="A7098" s="201"/>
      <c r="B7098" s="209"/>
      <c r="C7098" s="201"/>
      <c r="D7098" s="201"/>
      <c r="E7098" s="202"/>
      <c r="F7098" s="210"/>
      <c r="G7098" s="210"/>
      <c r="H7098" s="206" t="s">
        <v>121</v>
      </c>
      <c r="I7098" s="206" t="s">
        <v>121</v>
      </c>
      <c r="J7098" s="206" t="s">
        <v>121</v>
      </c>
      <c r="K7098" s="206" t="s">
        <v>121</v>
      </c>
      <c r="L7098" s="206" t="str">
        <v/>
      </c>
      <c r="M7098" s="206" t="str">
        <v/>
      </c>
    </row>
    <row r="7099" spans="1:13" ht="14.4">
      <c r="A7099" s="201"/>
      <c r="B7099" s="209"/>
      <c r="C7099" s="201"/>
      <c r="D7099" s="201"/>
      <c r="E7099" s="202"/>
      <c r="F7099" s="210"/>
      <c r="G7099" s="210"/>
      <c r="H7099" s="206" t="s">
        <v>121</v>
      </c>
      <c r="I7099" s="206" t="s">
        <v>121</v>
      </c>
      <c r="J7099" s="206" t="s">
        <v>121</v>
      </c>
      <c r="K7099" s="206" t="s">
        <v>121</v>
      </c>
      <c r="L7099" s="206" t="str">
        <v/>
      </c>
      <c r="M7099" s="206" t="str">
        <v/>
      </c>
    </row>
    <row r="7100" spans="1:13" ht="14.4">
      <c r="A7100" s="201"/>
      <c r="B7100" s="209"/>
      <c r="C7100" s="201"/>
      <c r="D7100" s="201"/>
      <c r="E7100" s="202"/>
      <c r="F7100" s="210"/>
      <c r="G7100" s="210"/>
      <c r="H7100" s="206" t="s">
        <v>121</v>
      </c>
      <c r="I7100" s="206" t="s">
        <v>121</v>
      </c>
      <c r="J7100" s="206" t="s">
        <v>121</v>
      </c>
      <c r="K7100" s="206" t="s">
        <v>121</v>
      </c>
      <c r="L7100" s="206" t="str">
        <v/>
      </c>
      <c r="M7100" s="206" t="str">
        <v/>
      </c>
    </row>
    <row r="7101" spans="1:13" ht="14.4">
      <c r="A7101" s="201"/>
      <c r="B7101" s="209"/>
      <c r="C7101" s="201"/>
      <c r="D7101" s="201"/>
      <c r="E7101" s="202"/>
      <c r="F7101" s="210"/>
      <c r="G7101" s="210"/>
      <c r="H7101" s="206" t="s">
        <v>121</v>
      </c>
      <c r="I7101" s="206" t="s">
        <v>121</v>
      </c>
      <c r="J7101" s="206" t="s">
        <v>121</v>
      </c>
      <c r="K7101" s="206" t="s">
        <v>121</v>
      </c>
      <c r="L7101" s="206" t="str">
        <v/>
      </c>
      <c r="M7101" s="206" t="str">
        <v/>
      </c>
    </row>
    <row r="7102" spans="1:13" ht="14.4">
      <c r="A7102" s="201"/>
      <c r="B7102" s="209"/>
      <c r="C7102" s="201"/>
      <c r="D7102" s="201"/>
      <c r="E7102" s="202"/>
      <c r="F7102" s="210"/>
      <c r="G7102" s="210"/>
      <c r="H7102" s="206" t="s">
        <v>121</v>
      </c>
      <c r="I7102" s="206" t="s">
        <v>121</v>
      </c>
      <c r="J7102" s="206" t="s">
        <v>121</v>
      </c>
      <c r="K7102" s="206" t="s">
        <v>121</v>
      </c>
      <c r="L7102" s="206" t="str">
        <v/>
      </c>
      <c r="M7102" s="206" t="str">
        <v/>
      </c>
    </row>
    <row r="7103" spans="1:13" ht="14.4">
      <c r="A7103" s="201"/>
      <c r="B7103" s="209"/>
      <c r="C7103" s="201"/>
      <c r="D7103" s="201"/>
      <c r="E7103" s="202"/>
      <c r="F7103" s="210"/>
      <c r="G7103" s="210"/>
      <c r="H7103" s="206" t="s">
        <v>121</v>
      </c>
      <c r="I7103" s="206" t="s">
        <v>121</v>
      </c>
      <c r="J7103" s="206" t="s">
        <v>121</v>
      </c>
      <c r="K7103" s="206" t="s">
        <v>121</v>
      </c>
      <c r="L7103" s="206" t="str">
        <v/>
      </c>
      <c r="M7103" s="206" t="str">
        <v/>
      </c>
    </row>
    <row r="7104" spans="1:13" ht="14.4">
      <c r="A7104" s="201"/>
      <c r="B7104" s="209"/>
      <c r="C7104" s="201"/>
      <c r="D7104" s="201"/>
      <c r="E7104" s="202"/>
      <c r="F7104" s="210"/>
      <c r="G7104" s="210"/>
      <c r="H7104" s="206" t="s">
        <v>121</v>
      </c>
      <c r="I7104" s="206" t="s">
        <v>121</v>
      </c>
      <c r="J7104" s="206" t="s">
        <v>121</v>
      </c>
      <c r="K7104" s="206" t="s">
        <v>121</v>
      </c>
      <c r="L7104" s="206" t="str">
        <v/>
      </c>
      <c r="M7104" s="206" t="str">
        <v/>
      </c>
    </row>
    <row r="7105" spans="1:13" ht="14.4">
      <c r="A7105" s="201"/>
      <c r="B7105" s="209"/>
      <c r="C7105" s="201"/>
      <c r="D7105" s="201"/>
      <c r="E7105" s="202"/>
      <c r="F7105" s="210"/>
      <c r="G7105" s="210"/>
      <c r="H7105" s="206" t="s">
        <v>121</v>
      </c>
      <c r="I7105" s="206" t="s">
        <v>121</v>
      </c>
      <c r="J7105" s="206" t="s">
        <v>121</v>
      </c>
      <c r="K7105" s="206" t="s">
        <v>121</v>
      </c>
      <c r="L7105" s="206" t="str">
        <v/>
      </c>
      <c r="M7105" s="206" t="str">
        <v/>
      </c>
    </row>
    <row r="7106" spans="1:13" ht="14.4">
      <c r="A7106" s="201"/>
      <c r="B7106" s="209"/>
      <c r="C7106" s="201"/>
      <c r="D7106" s="201"/>
      <c r="E7106" s="202"/>
      <c r="F7106" s="210"/>
      <c r="G7106" s="210"/>
      <c r="H7106" s="206" t="s">
        <v>121</v>
      </c>
      <c r="I7106" s="206" t="s">
        <v>121</v>
      </c>
      <c r="J7106" s="206" t="s">
        <v>121</v>
      </c>
      <c r="K7106" s="206" t="s">
        <v>121</v>
      </c>
      <c r="L7106" s="206" t="str">
        <v/>
      </c>
      <c r="M7106" s="206" t="str">
        <v/>
      </c>
    </row>
    <row r="7107" spans="1:13" ht="14.4">
      <c r="A7107" s="201"/>
      <c r="B7107" s="209"/>
      <c r="C7107" s="201"/>
      <c r="D7107" s="201"/>
      <c r="E7107" s="202"/>
      <c r="F7107" s="210"/>
      <c r="G7107" s="210"/>
      <c r="H7107" s="206" t="s">
        <v>121</v>
      </c>
      <c r="I7107" s="206" t="s">
        <v>121</v>
      </c>
      <c r="J7107" s="206" t="s">
        <v>121</v>
      </c>
      <c r="K7107" s="206" t="s">
        <v>121</v>
      </c>
      <c r="L7107" s="206" t="str">
        <v/>
      </c>
      <c r="M7107" s="206" t="str">
        <v/>
      </c>
    </row>
    <row r="7108" spans="1:13" ht="14.4">
      <c r="A7108" s="201"/>
      <c r="B7108" s="209"/>
      <c r="C7108" s="201"/>
      <c r="D7108" s="201"/>
      <c r="E7108" s="202"/>
      <c r="F7108" s="210"/>
      <c r="G7108" s="210"/>
      <c r="H7108" s="206" t="s">
        <v>121</v>
      </c>
      <c r="I7108" s="206" t="s">
        <v>121</v>
      </c>
      <c r="J7108" s="206" t="s">
        <v>121</v>
      </c>
      <c r="K7108" s="206" t="s">
        <v>121</v>
      </c>
      <c r="L7108" s="206" t="str">
        <v/>
      </c>
      <c r="M7108" s="206" t="str">
        <v/>
      </c>
    </row>
    <row r="7109" spans="1:13" ht="14.4">
      <c r="A7109" s="201"/>
      <c r="B7109" s="209"/>
      <c r="C7109" s="201"/>
      <c r="D7109" s="201"/>
      <c r="E7109" s="202"/>
      <c r="F7109" s="210"/>
      <c r="G7109" s="210"/>
      <c r="H7109" s="206" t="s">
        <v>121</v>
      </c>
      <c r="I7109" s="206" t="s">
        <v>121</v>
      </c>
      <c r="J7109" s="206" t="s">
        <v>121</v>
      </c>
      <c r="K7109" s="206" t="s">
        <v>121</v>
      </c>
      <c r="L7109" s="206" t="str">
        <v/>
      </c>
      <c r="M7109" s="206" t="str">
        <v/>
      </c>
    </row>
    <row r="7110" spans="1:13" ht="14.4">
      <c r="A7110" s="201"/>
      <c r="B7110" s="209"/>
      <c r="C7110" s="201"/>
      <c r="D7110" s="201"/>
      <c r="E7110" s="202"/>
      <c r="F7110" s="210"/>
      <c r="G7110" s="210"/>
      <c r="H7110" s="206" t="s">
        <v>121</v>
      </c>
      <c r="I7110" s="206" t="s">
        <v>121</v>
      </c>
      <c r="J7110" s="206" t="s">
        <v>121</v>
      </c>
      <c r="K7110" s="206" t="s">
        <v>121</v>
      </c>
      <c r="L7110" s="206" t="str">
        <v/>
      </c>
      <c r="M7110" s="206" t="str">
        <v/>
      </c>
    </row>
    <row r="7111" spans="1:13" ht="14.4">
      <c r="A7111" s="201"/>
      <c r="B7111" s="209"/>
      <c r="C7111" s="201"/>
      <c r="D7111" s="201"/>
      <c r="E7111" s="202"/>
      <c r="F7111" s="210"/>
      <c r="G7111" s="210"/>
      <c r="H7111" s="206" t="s">
        <v>121</v>
      </c>
      <c r="I7111" s="206" t="s">
        <v>121</v>
      </c>
      <c r="J7111" s="206" t="s">
        <v>121</v>
      </c>
      <c r="K7111" s="206" t="s">
        <v>121</v>
      </c>
      <c r="L7111" s="206" t="str">
        <v/>
      </c>
      <c r="M7111" s="206" t="str">
        <v/>
      </c>
    </row>
    <row r="7112" spans="1:13" ht="14.4">
      <c r="A7112" s="201"/>
      <c r="B7112" s="209"/>
      <c r="C7112" s="201"/>
      <c r="D7112" s="201"/>
      <c r="E7112" s="202"/>
      <c r="F7112" s="210"/>
      <c r="G7112" s="210"/>
      <c r="H7112" s="206" t="s">
        <v>121</v>
      </c>
      <c r="I7112" s="206" t="s">
        <v>121</v>
      </c>
      <c r="J7112" s="206" t="s">
        <v>121</v>
      </c>
      <c r="K7112" s="206" t="s">
        <v>121</v>
      </c>
      <c r="L7112" s="206" t="str">
        <v/>
      </c>
      <c r="M7112" s="206" t="str">
        <v/>
      </c>
    </row>
    <row r="7113" spans="1:13" ht="14.4">
      <c r="A7113" s="201"/>
      <c r="B7113" s="209"/>
      <c r="C7113" s="201"/>
      <c r="D7113" s="201"/>
      <c r="E7113" s="202"/>
      <c r="F7113" s="210"/>
      <c r="G7113" s="210"/>
      <c r="H7113" s="206" t="s">
        <v>121</v>
      </c>
      <c r="I7113" s="206" t="s">
        <v>121</v>
      </c>
      <c r="J7113" s="206" t="s">
        <v>121</v>
      </c>
      <c r="K7113" s="206" t="s">
        <v>121</v>
      </c>
      <c r="L7113" s="206" t="str">
        <v/>
      </c>
      <c r="M7113" s="206" t="str">
        <v/>
      </c>
    </row>
    <row r="7114" spans="1:13" ht="14.4">
      <c r="A7114" s="201"/>
      <c r="B7114" s="209"/>
      <c r="C7114" s="201"/>
      <c r="D7114" s="201"/>
      <c r="E7114" s="202"/>
      <c r="F7114" s="210"/>
      <c r="G7114" s="210"/>
      <c r="H7114" s="206" t="s">
        <v>121</v>
      </c>
      <c r="I7114" s="206" t="s">
        <v>121</v>
      </c>
      <c r="J7114" s="206" t="s">
        <v>121</v>
      </c>
      <c r="K7114" s="206" t="s">
        <v>121</v>
      </c>
      <c r="L7114" s="206" t="str">
        <v/>
      </c>
      <c r="M7114" s="206" t="str">
        <v/>
      </c>
    </row>
    <row r="7115" spans="1:13" ht="14.4">
      <c r="A7115" s="201"/>
      <c r="B7115" s="209"/>
      <c r="C7115" s="201"/>
      <c r="D7115" s="201"/>
      <c r="E7115" s="202"/>
      <c r="F7115" s="210"/>
      <c r="G7115" s="210"/>
      <c r="H7115" s="206" t="s">
        <v>121</v>
      </c>
      <c r="I7115" s="206" t="s">
        <v>121</v>
      </c>
      <c r="J7115" s="206" t="s">
        <v>121</v>
      </c>
      <c r="K7115" s="206" t="s">
        <v>121</v>
      </c>
      <c r="L7115" s="206" t="str">
        <v/>
      </c>
      <c r="M7115" s="206" t="str">
        <v/>
      </c>
    </row>
    <row r="7116" spans="1:13" ht="14.4">
      <c r="A7116" s="201"/>
      <c r="B7116" s="209"/>
      <c r="C7116" s="201"/>
      <c r="D7116" s="201"/>
      <c r="E7116" s="202"/>
      <c r="F7116" s="210"/>
      <c r="G7116" s="210"/>
      <c r="H7116" s="206" t="s">
        <v>121</v>
      </c>
      <c r="I7116" s="206" t="s">
        <v>121</v>
      </c>
      <c r="J7116" s="206" t="s">
        <v>121</v>
      </c>
      <c r="K7116" s="206" t="s">
        <v>121</v>
      </c>
      <c r="L7116" s="206" t="str">
        <v/>
      </c>
      <c r="M7116" s="206" t="str">
        <v/>
      </c>
    </row>
    <row r="7117" spans="1:13" ht="14.4">
      <c r="A7117" s="201"/>
      <c r="B7117" s="209"/>
      <c r="C7117" s="201"/>
      <c r="D7117" s="201"/>
      <c r="E7117" s="202"/>
      <c r="F7117" s="210"/>
      <c r="G7117" s="210"/>
      <c r="H7117" s="206" t="s">
        <v>121</v>
      </c>
      <c r="I7117" s="206" t="s">
        <v>121</v>
      </c>
      <c r="J7117" s="206" t="s">
        <v>121</v>
      </c>
      <c r="K7117" s="206" t="s">
        <v>121</v>
      </c>
      <c r="L7117" s="206" t="str">
        <v/>
      </c>
      <c r="M7117" s="206" t="str">
        <v/>
      </c>
    </row>
    <row r="7118" spans="1:13" ht="14.4">
      <c r="A7118" s="201"/>
      <c r="B7118" s="209"/>
      <c r="C7118" s="201"/>
      <c r="D7118" s="201"/>
      <c r="E7118" s="202"/>
      <c r="F7118" s="210"/>
      <c r="G7118" s="210"/>
      <c r="H7118" s="206" t="s">
        <v>121</v>
      </c>
      <c r="I7118" s="206" t="s">
        <v>121</v>
      </c>
      <c r="J7118" s="206" t="s">
        <v>121</v>
      </c>
      <c r="K7118" s="206" t="s">
        <v>121</v>
      </c>
      <c r="L7118" s="206" t="str">
        <v/>
      </c>
      <c r="M7118" s="206" t="str">
        <v/>
      </c>
    </row>
    <row r="7119" spans="1:13" ht="14.4">
      <c r="A7119" s="201"/>
      <c r="B7119" s="209"/>
      <c r="C7119" s="201"/>
      <c r="D7119" s="201"/>
      <c r="E7119" s="202"/>
      <c r="F7119" s="210"/>
      <c r="G7119" s="210"/>
      <c r="H7119" s="206" t="s">
        <v>121</v>
      </c>
      <c r="I7119" s="206" t="s">
        <v>121</v>
      </c>
      <c r="J7119" s="206" t="s">
        <v>121</v>
      </c>
      <c r="K7119" s="206" t="s">
        <v>121</v>
      </c>
      <c r="L7119" s="206" t="str">
        <v/>
      </c>
      <c r="M7119" s="206" t="str">
        <v/>
      </c>
    </row>
    <row r="7120" spans="1:13" ht="14.4">
      <c r="A7120" s="201"/>
      <c r="B7120" s="209"/>
      <c r="C7120" s="201"/>
      <c r="D7120" s="201"/>
      <c r="E7120" s="202"/>
      <c r="F7120" s="210"/>
      <c r="G7120" s="210"/>
      <c r="H7120" s="206" t="s">
        <v>121</v>
      </c>
      <c r="I7120" s="206" t="s">
        <v>121</v>
      </c>
      <c r="J7120" s="206" t="s">
        <v>121</v>
      </c>
      <c r="K7120" s="206" t="s">
        <v>121</v>
      </c>
      <c r="L7120" s="206" t="str">
        <v/>
      </c>
      <c r="M7120" s="206" t="str">
        <v/>
      </c>
    </row>
    <row r="7121" spans="1:13" ht="14.4">
      <c r="A7121" s="201"/>
      <c r="B7121" s="209"/>
      <c r="C7121" s="201"/>
      <c r="D7121" s="201"/>
      <c r="E7121" s="202"/>
      <c r="F7121" s="210"/>
      <c r="G7121" s="210"/>
      <c r="H7121" s="206" t="s">
        <v>121</v>
      </c>
      <c r="I7121" s="206" t="s">
        <v>121</v>
      </c>
      <c r="J7121" s="206" t="s">
        <v>121</v>
      </c>
      <c r="K7121" s="206" t="s">
        <v>121</v>
      </c>
      <c r="L7121" s="206" t="str">
        <v/>
      </c>
      <c r="M7121" s="206" t="str">
        <v/>
      </c>
    </row>
    <row r="7122" spans="1:13" ht="14.4">
      <c r="A7122" s="201"/>
      <c r="B7122" s="209"/>
      <c r="C7122" s="201"/>
      <c r="D7122" s="201"/>
      <c r="E7122" s="202"/>
      <c r="F7122" s="210"/>
      <c r="G7122" s="210"/>
      <c r="H7122" s="206" t="s">
        <v>121</v>
      </c>
      <c r="I7122" s="206" t="s">
        <v>121</v>
      </c>
      <c r="J7122" s="206" t="s">
        <v>121</v>
      </c>
      <c r="K7122" s="206" t="s">
        <v>121</v>
      </c>
      <c r="L7122" s="206" t="str">
        <v/>
      </c>
      <c r="M7122" s="206" t="str">
        <v/>
      </c>
    </row>
    <row r="7123" spans="1:13" ht="14.4">
      <c r="A7123" s="201"/>
      <c r="B7123" s="209"/>
      <c r="C7123" s="201"/>
      <c r="D7123" s="201"/>
      <c r="E7123" s="202"/>
      <c r="F7123" s="210"/>
      <c r="G7123" s="210"/>
      <c r="H7123" s="206" t="s">
        <v>121</v>
      </c>
      <c r="I7123" s="206" t="s">
        <v>121</v>
      </c>
      <c r="J7123" s="206" t="s">
        <v>121</v>
      </c>
      <c r="K7123" s="206" t="s">
        <v>121</v>
      </c>
      <c r="L7123" s="206" t="str">
        <v/>
      </c>
      <c r="M7123" s="206" t="str">
        <v/>
      </c>
    </row>
    <row r="7124" spans="1:13" ht="14.4">
      <c r="A7124" s="201"/>
      <c r="B7124" s="209"/>
      <c r="C7124" s="201"/>
      <c r="D7124" s="201"/>
      <c r="E7124" s="202"/>
      <c r="F7124" s="210"/>
      <c r="G7124" s="210"/>
      <c r="H7124" s="206" t="s">
        <v>121</v>
      </c>
      <c r="I7124" s="206" t="s">
        <v>121</v>
      </c>
      <c r="J7124" s="206" t="s">
        <v>121</v>
      </c>
      <c r="K7124" s="206" t="s">
        <v>121</v>
      </c>
      <c r="L7124" s="206" t="str">
        <v/>
      </c>
      <c r="M7124" s="206" t="str">
        <v/>
      </c>
    </row>
    <row r="7125" spans="1:13" ht="14.4">
      <c r="A7125" s="201"/>
      <c r="B7125" s="209"/>
      <c r="C7125" s="201"/>
      <c r="D7125" s="201"/>
      <c r="E7125" s="202"/>
      <c r="F7125" s="210"/>
      <c r="G7125" s="210"/>
      <c r="H7125" s="206" t="s">
        <v>121</v>
      </c>
      <c r="I7125" s="206" t="s">
        <v>121</v>
      </c>
      <c r="J7125" s="206" t="s">
        <v>121</v>
      </c>
      <c r="K7125" s="206" t="s">
        <v>121</v>
      </c>
      <c r="L7125" s="206" t="str">
        <v/>
      </c>
      <c r="M7125" s="206" t="str">
        <v/>
      </c>
    </row>
    <row r="7126" spans="1:13" ht="14.4">
      <c r="A7126" s="201"/>
      <c r="B7126" s="209"/>
      <c r="C7126" s="201"/>
      <c r="D7126" s="201"/>
      <c r="E7126" s="202"/>
      <c r="F7126" s="210"/>
      <c r="G7126" s="210"/>
      <c r="H7126" s="206" t="s">
        <v>121</v>
      </c>
      <c r="I7126" s="206" t="s">
        <v>121</v>
      </c>
      <c r="J7126" s="206" t="s">
        <v>121</v>
      </c>
      <c r="K7126" s="206" t="s">
        <v>121</v>
      </c>
      <c r="L7126" s="206" t="str">
        <v/>
      </c>
      <c r="M7126" s="206" t="str">
        <v/>
      </c>
    </row>
    <row r="7127" spans="1:13" ht="14.4">
      <c r="A7127" s="201"/>
      <c r="B7127" s="209"/>
      <c r="C7127" s="201"/>
      <c r="D7127" s="201"/>
      <c r="E7127" s="202"/>
      <c r="F7127" s="210"/>
      <c r="G7127" s="210"/>
      <c r="H7127" s="206" t="s">
        <v>121</v>
      </c>
      <c r="I7127" s="206" t="s">
        <v>121</v>
      </c>
      <c r="J7127" s="206" t="s">
        <v>121</v>
      </c>
      <c r="K7127" s="206" t="s">
        <v>121</v>
      </c>
      <c r="L7127" s="206" t="str">
        <v/>
      </c>
      <c r="M7127" s="206" t="str">
        <v/>
      </c>
    </row>
    <row r="7128" spans="1:13" ht="14.4">
      <c r="A7128" s="201"/>
      <c r="B7128" s="209"/>
      <c r="C7128" s="201"/>
      <c r="D7128" s="201"/>
      <c r="E7128" s="202"/>
      <c r="F7128" s="210"/>
      <c r="G7128" s="210"/>
      <c r="H7128" s="206" t="s">
        <v>121</v>
      </c>
      <c r="I7128" s="206" t="s">
        <v>121</v>
      </c>
      <c r="J7128" s="206" t="s">
        <v>121</v>
      </c>
      <c r="K7128" s="206" t="s">
        <v>121</v>
      </c>
      <c r="L7128" s="206" t="str">
        <v/>
      </c>
      <c r="M7128" s="206" t="str">
        <v/>
      </c>
    </row>
    <row r="7129" spans="1:13" ht="14.4">
      <c r="A7129" s="201"/>
      <c r="B7129" s="209"/>
      <c r="C7129" s="201"/>
      <c r="D7129" s="201"/>
      <c r="E7129" s="202"/>
      <c r="F7129" s="210"/>
      <c r="G7129" s="210"/>
      <c r="H7129" s="206" t="s">
        <v>121</v>
      </c>
      <c r="I7129" s="206" t="s">
        <v>121</v>
      </c>
      <c r="J7129" s="206" t="s">
        <v>121</v>
      </c>
      <c r="K7129" s="206" t="s">
        <v>121</v>
      </c>
      <c r="L7129" s="206" t="str">
        <v/>
      </c>
      <c r="M7129" s="206" t="str">
        <v/>
      </c>
    </row>
    <row r="7130" spans="1:13" ht="14.4">
      <c r="A7130" s="201"/>
      <c r="B7130" s="209"/>
      <c r="C7130" s="201"/>
      <c r="D7130" s="201"/>
      <c r="E7130" s="202"/>
      <c r="F7130" s="210"/>
      <c r="G7130" s="210"/>
      <c r="H7130" s="206" t="s">
        <v>121</v>
      </c>
      <c r="I7130" s="206" t="s">
        <v>121</v>
      </c>
      <c r="J7130" s="206" t="s">
        <v>121</v>
      </c>
      <c r="K7130" s="206" t="s">
        <v>121</v>
      </c>
      <c r="L7130" s="206" t="str">
        <v/>
      </c>
      <c r="M7130" s="206" t="str">
        <v/>
      </c>
    </row>
    <row r="7131" spans="1:13" ht="14.4">
      <c r="A7131" s="201"/>
      <c r="B7131" s="209"/>
      <c r="C7131" s="201"/>
      <c r="D7131" s="201"/>
      <c r="E7131" s="202"/>
      <c r="F7131" s="210"/>
      <c r="G7131" s="210"/>
      <c r="H7131" s="206" t="s">
        <v>121</v>
      </c>
      <c r="I7131" s="206" t="s">
        <v>121</v>
      </c>
      <c r="J7131" s="206" t="s">
        <v>121</v>
      </c>
      <c r="K7131" s="206" t="s">
        <v>121</v>
      </c>
      <c r="L7131" s="206" t="str">
        <v/>
      </c>
      <c r="M7131" s="206" t="str">
        <v/>
      </c>
    </row>
    <row r="7132" spans="1:13" ht="14.4">
      <c r="A7132" s="201"/>
      <c r="B7132" s="209"/>
      <c r="C7132" s="201"/>
      <c r="D7132" s="201"/>
      <c r="E7132" s="202"/>
      <c r="F7132" s="210"/>
      <c r="G7132" s="210"/>
      <c r="H7132" s="206" t="s">
        <v>121</v>
      </c>
      <c r="I7132" s="206" t="s">
        <v>121</v>
      </c>
      <c r="J7132" s="206" t="s">
        <v>121</v>
      </c>
      <c r="K7132" s="206" t="s">
        <v>121</v>
      </c>
      <c r="L7132" s="206" t="str">
        <v/>
      </c>
      <c r="M7132" s="206" t="str">
        <v/>
      </c>
    </row>
    <row r="7133" spans="1:13" ht="14.4">
      <c r="A7133" s="201"/>
      <c r="B7133" s="209"/>
      <c r="C7133" s="201"/>
      <c r="D7133" s="201"/>
      <c r="E7133" s="202"/>
      <c r="F7133" s="210"/>
      <c r="G7133" s="210"/>
      <c r="H7133" s="206" t="s">
        <v>121</v>
      </c>
      <c r="I7133" s="206" t="s">
        <v>121</v>
      </c>
      <c r="J7133" s="206" t="s">
        <v>121</v>
      </c>
      <c r="K7133" s="206" t="s">
        <v>121</v>
      </c>
      <c r="L7133" s="206" t="str">
        <v/>
      </c>
      <c r="M7133" s="206" t="str">
        <v/>
      </c>
    </row>
    <row r="7134" spans="1:13" ht="14.4">
      <c r="A7134" s="201"/>
      <c r="B7134" s="209"/>
      <c r="C7134" s="201"/>
      <c r="D7134" s="201"/>
      <c r="E7134" s="202"/>
      <c r="F7134" s="210"/>
      <c r="G7134" s="210"/>
      <c r="H7134" s="206" t="s">
        <v>121</v>
      </c>
      <c r="I7134" s="206" t="s">
        <v>121</v>
      </c>
      <c r="J7134" s="206" t="s">
        <v>121</v>
      </c>
      <c r="K7134" s="206" t="s">
        <v>121</v>
      </c>
      <c r="L7134" s="206" t="str">
        <v/>
      </c>
      <c r="M7134" s="206" t="str">
        <v/>
      </c>
    </row>
    <row r="7135" spans="1:13" ht="14.4">
      <c r="A7135" s="201"/>
      <c r="B7135" s="209"/>
      <c r="C7135" s="201"/>
      <c r="D7135" s="201"/>
      <c r="E7135" s="202"/>
      <c r="F7135" s="210"/>
      <c r="G7135" s="210"/>
      <c r="H7135" s="206" t="s">
        <v>121</v>
      </c>
      <c r="I7135" s="206" t="s">
        <v>121</v>
      </c>
      <c r="J7135" s="206" t="s">
        <v>121</v>
      </c>
      <c r="K7135" s="206" t="s">
        <v>121</v>
      </c>
      <c r="L7135" s="206" t="str">
        <v/>
      </c>
      <c r="M7135" s="206" t="str">
        <v/>
      </c>
    </row>
    <row r="7136" spans="1:13" ht="14.4">
      <c r="A7136" s="201"/>
      <c r="B7136" s="209"/>
      <c r="C7136" s="201"/>
      <c r="D7136" s="201"/>
      <c r="E7136" s="202"/>
      <c r="F7136" s="210"/>
      <c r="G7136" s="210"/>
      <c r="H7136" s="206" t="s">
        <v>121</v>
      </c>
      <c r="I7136" s="206" t="s">
        <v>121</v>
      </c>
      <c r="J7136" s="206" t="s">
        <v>121</v>
      </c>
      <c r="K7136" s="206" t="s">
        <v>121</v>
      </c>
      <c r="L7136" s="206" t="str">
        <v/>
      </c>
      <c r="M7136" s="206" t="str">
        <v/>
      </c>
    </row>
    <row r="7137" spans="1:13" ht="14.4">
      <c r="A7137" s="201"/>
      <c r="B7137" s="209"/>
      <c r="C7137" s="201"/>
      <c r="D7137" s="201"/>
      <c r="E7137" s="202"/>
      <c r="F7137" s="210"/>
      <c r="G7137" s="210"/>
      <c r="H7137" s="206" t="s">
        <v>121</v>
      </c>
      <c r="I7137" s="206" t="s">
        <v>121</v>
      </c>
      <c r="J7137" s="206" t="s">
        <v>121</v>
      </c>
      <c r="K7137" s="206" t="s">
        <v>121</v>
      </c>
      <c r="L7137" s="206" t="str">
        <v/>
      </c>
      <c r="M7137" s="206" t="str">
        <v/>
      </c>
    </row>
    <row r="7138" spans="1:13" ht="14.4">
      <c r="A7138" s="201"/>
      <c r="B7138" s="209"/>
      <c r="C7138" s="201"/>
      <c r="D7138" s="201"/>
      <c r="E7138" s="202"/>
      <c r="F7138" s="210"/>
      <c r="G7138" s="210"/>
      <c r="H7138" s="206" t="s">
        <v>121</v>
      </c>
      <c r="I7138" s="206" t="s">
        <v>121</v>
      </c>
      <c r="J7138" s="206" t="s">
        <v>121</v>
      </c>
      <c r="K7138" s="206" t="s">
        <v>121</v>
      </c>
      <c r="L7138" s="206" t="str">
        <v/>
      </c>
      <c r="M7138" s="206" t="str">
        <v/>
      </c>
    </row>
    <row r="7139" spans="1:13" ht="14.4">
      <c r="A7139" s="201"/>
      <c r="B7139" s="209"/>
      <c r="C7139" s="201"/>
      <c r="D7139" s="201"/>
      <c r="E7139" s="202"/>
      <c r="F7139" s="210"/>
      <c r="G7139" s="210"/>
      <c r="H7139" s="206" t="s">
        <v>121</v>
      </c>
      <c r="I7139" s="206" t="s">
        <v>121</v>
      </c>
      <c r="J7139" s="206" t="s">
        <v>121</v>
      </c>
      <c r="K7139" s="206" t="s">
        <v>121</v>
      </c>
      <c r="L7139" s="206" t="str">
        <v/>
      </c>
      <c r="M7139" s="206" t="str">
        <v/>
      </c>
    </row>
    <row r="7140" spans="1:13" ht="14.4">
      <c r="A7140" s="201"/>
      <c r="B7140" s="209"/>
      <c r="C7140" s="201"/>
      <c r="D7140" s="201"/>
      <c r="E7140" s="202"/>
      <c r="F7140" s="210"/>
      <c r="G7140" s="210"/>
      <c r="H7140" s="206" t="s">
        <v>121</v>
      </c>
      <c r="I7140" s="206" t="s">
        <v>121</v>
      </c>
      <c r="J7140" s="206" t="s">
        <v>121</v>
      </c>
      <c r="K7140" s="206" t="s">
        <v>121</v>
      </c>
      <c r="L7140" s="206" t="str">
        <v/>
      </c>
      <c r="M7140" s="206" t="str">
        <v/>
      </c>
    </row>
    <row r="7141" spans="1:13" ht="14.4">
      <c r="A7141" s="201"/>
      <c r="B7141" s="209"/>
      <c r="C7141" s="201"/>
      <c r="D7141" s="201"/>
      <c r="E7141" s="202"/>
      <c r="F7141" s="210"/>
      <c r="G7141" s="210"/>
      <c r="H7141" s="206" t="s">
        <v>121</v>
      </c>
      <c r="I7141" s="206" t="s">
        <v>121</v>
      </c>
      <c r="J7141" s="206" t="s">
        <v>121</v>
      </c>
      <c r="K7141" s="206" t="s">
        <v>121</v>
      </c>
      <c r="L7141" s="206" t="str">
        <v/>
      </c>
      <c r="M7141" s="206" t="str">
        <v/>
      </c>
    </row>
    <row r="7142" spans="1:13" ht="14.4">
      <c r="A7142" s="201"/>
      <c r="B7142" s="209"/>
      <c r="C7142" s="201"/>
      <c r="D7142" s="201"/>
      <c r="E7142" s="202"/>
      <c r="F7142" s="210"/>
      <c r="G7142" s="210"/>
      <c r="H7142" s="206" t="s">
        <v>121</v>
      </c>
      <c r="I7142" s="206" t="s">
        <v>121</v>
      </c>
      <c r="J7142" s="206" t="s">
        <v>121</v>
      </c>
      <c r="K7142" s="206" t="s">
        <v>121</v>
      </c>
      <c r="L7142" s="206" t="str">
        <v/>
      </c>
      <c r="M7142" s="206" t="str">
        <v/>
      </c>
    </row>
    <row r="7143" spans="1:13" ht="14.4">
      <c r="A7143" s="201"/>
      <c r="B7143" s="209"/>
      <c r="C7143" s="201"/>
      <c r="D7143" s="201"/>
      <c r="E7143" s="202"/>
      <c r="F7143" s="210"/>
      <c r="G7143" s="210"/>
      <c r="H7143" s="206" t="s">
        <v>121</v>
      </c>
      <c r="I7143" s="206" t="s">
        <v>121</v>
      </c>
      <c r="J7143" s="206" t="s">
        <v>121</v>
      </c>
      <c r="K7143" s="206" t="s">
        <v>121</v>
      </c>
      <c r="L7143" s="206" t="str">
        <v/>
      </c>
      <c r="M7143" s="206" t="str">
        <v/>
      </c>
    </row>
    <row r="7144" spans="1:13" ht="14.4">
      <c r="A7144" s="201"/>
      <c r="B7144" s="209"/>
      <c r="C7144" s="201"/>
      <c r="D7144" s="201"/>
      <c r="E7144" s="202"/>
      <c r="F7144" s="210"/>
      <c r="G7144" s="210"/>
      <c r="H7144" s="206" t="s">
        <v>121</v>
      </c>
      <c r="I7144" s="206" t="s">
        <v>121</v>
      </c>
      <c r="J7144" s="206" t="s">
        <v>121</v>
      </c>
      <c r="K7144" s="206" t="s">
        <v>121</v>
      </c>
      <c r="L7144" s="206" t="str">
        <v/>
      </c>
      <c r="M7144" s="206" t="str">
        <v/>
      </c>
    </row>
    <row r="7145" spans="1:13" ht="14.4">
      <c r="A7145" s="201"/>
      <c r="B7145" s="209"/>
      <c r="C7145" s="201"/>
      <c r="D7145" s="201"/>
      <c r="E7145" s="202"/>
      <c r="F7145" s="210"/>
      <c r="G7145" s="210"/>
      <c r="H7145" s="206" t="s">
        <v>121</v>
      </c>
      <c r="I7145" s="206" t="s">
        <v>121</v>
      </c>
      <c r="J7145" s="206" t="s">
        <v>121</v>
      </c>
      <c r="K7145" s="206" t="s">
        <v>121</v>
      </c>
      <c r="L7145" s="206" t="str">
        <v/>
      </c>
      <c r="M7145" s="206" t="str">
        <v/>
      </c>
    </row>
    <row r="7146" spans="1:13" ht="14.4">
      <c r="A7146" s="201"/>
      <c r="B7146" s="209"/>
      <c r="C7146" s="201"/>
      <c r="D7146" s="201"/>
      <c r="E7146" s="202"/>
      <c r="F7146" s="210"/>
      <c r="G7146" s="210"/>
      <c r="H7146" s="206" t="s">
        <v>121</v>
      </c>
      <c r="I7146" s="206" t="s">
        <v>121</v>
      </c>
      <c r="J7146" s="206" t="s">
        <v>121</v>
      </c>
      <c r="K7146" s="206" t="s">
        <v>121</v>
      </c>
      <c r="L7146" s="206" t="str">
        <v/>
      </c>
      <c r="M7146" s="206" t="str">
        <v/>
      </c>
    </row>
    <row r="7147" spans="1:13" ht="14.4">
      <c r="A7147" s="201"/>
      <c r="B7147" s="209"/>
      <c r="C7147" s="201"/>
      <c r="D7147" s="201"/>
      <c r="E7147" s="202"/>
      <c r="F7147" s="210"/>
      <c r="G7147" s="210"/>
      <c r="H7147" s="206" t="s">
        <v>121</v>
      </c>
      <c r="I7147" s="206" t="s">
        <v>121</v>
      </c>
      <c r="J7147" s="206" t="s">
        <v>121</v>
      </c>
      <c r="K7147" s="206" t="s">
        <v>121</v>
      </c>
      <c r="L7147" s="206" t="str">
        <v/>
      </c>
      <c r="M7147" s="206" t="str">
        <v/>
      </c>
    </row>
    <row r="7148" spans="1:13" ht="14.4">
      <c r="A7148" s="201"/>
      <c r="B7148" s="209"/>
      <c r="C7148" s="201"/>
      <c r="D7148" s="201"/>
      <c r="E7148" s="202"/>
      <c r="F7148" s="210"/>
      <c r="G7148" s="210"/>
      <c r="H7148" s="206" t="s">
        <v>121</v>
      </c>
      <c r="I7148" s="206" t="s">
        <v>121</v>
      </c>
      <c r="J7148" s="206" t="s">
        <v>121</v>
      </c>
      <c r="K7148" s="206" t="s">
        <v>121</v>
      </c>
      <c r="L7148" s="206" t="str">
        <v/>
      </c>
      <c r="M7148" s="206" t="str">
        <v/>
      </c>
    </row>
    <row r="7149" spans="1:13" ht="14.4">
      <c r="A7149" s="201"/>
      <c r="B7149" s="209"/>
      <c r="C7149" s="201"/>
      <c r="D7149" s="201"/>
      <c r="E7149" s="202"/>
      <c r="F7149" s="210"/>
      <c r="G7149" s="210"/>
      <c r="H7149" s="206" t="s">
        <v>121</v>
      </c>
      <c r="I7149" s="206" t="s">
        <v>121</v>
      </c>
      <c r="J7149" s="206" t="s">
        <v>121</v>
      </c>
      <c r="K7149" s="206" t="s">
        <v>121</v>
      </c>
      <c r="L7149" s="206" t="str">
        <v/>
      </c>
      <c r="M7149" s="206" t="str">
        <v/>
      </c>
    </row>
    <row r="7150" spans="1:13" ht="14.4">
      <c r="A7150" s="201"/>
      <c r="B7150" s="209"/>
      <c r="C7150" s="201"/>
      <c r="D7150" s="201"/>
      <c r="E7150" s="202"/>
      <c r="F7150" s="210"/>
      <c r="G7150" s="210"/>
      <c r="H7150" s="206" t="s">
        <v>121</v>
      </c>
      <c r="I7150" s="206" t="s">
        <v>121</v>
      </c>
      <c r="J7150" s="206" t="s">
        <v>121</v>
      </c>
      <c r="K7150" s="206" t="s">
        <v>121</v>
      </c>
      <c r="L7150" s="206" t="str">
        <v/>
      </c>
      <c r="M7150" s="206" t="str">
        <v/>
      </c>
    </row>
    <row r="7151" spans="1:13" ht="14.4">
      <c r="A7151" s="201"/>
      <c r="B7151" s="209"/>
      <c r="C7151" s="201"/>
      <c r="D7151" s="201"/>
      <c r="E7151" s="202"/>
      <c r="F7151" s="210"/>
      <c r="G7151" s="210"/>
      <c r="H7151" s="206" t="s">
        <v>121</v>
      </c>
      <c r="I7151" s="206" t="s">
        <v>121</v>
      </c>
      <c r="J7151" s="206" t="s">
        <v>121</v>
      </c>
      <c r="K7151" s="206" t="s">
        <v>121</v>
      </c>
      <c r="L7151" s="206" t="str">
        <v/>
      </c>
      <c r="M7151" s="206" t="str">
        <v/>
      </c>
    </row>
    <row r="7152" spans="1:13" ht="14.4">
      <c r="A7152" s="201"/>
      <c r="B7152" s="209"/>
      <c r="C7152" s="201"/>
      <c r="D7152" s="201"/>
      <c r="E7152" s="202"/>
      <c r="F7152" s="210"/>
      <c r="G7152" s="210"/>
      <c r="H7152" s="206" t="s">
        <v>121</v>
      </c>
      <c r="I7152" s="206" t="s">
        <v>121</v>
      </c>
      <c r="J7152" s="206" t="s">
        <v>121</v>
      </c>
      <c r="K7152" s="206" t="s">
        <v>121</v>
      </c>
      <c r="L7152" s="206" t="str">
        <v/>
      </c>
      <c r="M7152" s="206" t="str">
        <v/>
      </c>
    </row>
    <row r="7153" spans="1:13" ht="14.4">
      <c r="A7153" s="201"/>
      <c r="B7153" s="209"/>
      <c r="C7153" s="201"/>
      <c r="D7153" s="201"/>
      <c r="E7153" s="202"/>
      <c r="F7153" s="210"/>
      <c r="G7153" s="210"/>
      <c r="H7153" s="206" t="s">
        <v>121</v>
      </c>
      <c r="I7153" s="206" t="s">
        <v>121</v>
      </c>
      <c r="J7153" s="206" t="s">
        <v>121</v>
      </c>
      <c r="K7153" s="206" t="s">
        <v>121</v>
      </c>
      <c r="L7153" s="206" t="str">
        <v/>
      </c>
      <c r="M7153" s="206" t="str">
        <v/>
      </c>
    </row>
    <row r="7154" spans="1:13" ht="14.4">
      <c r="A7154" s="201"/>
      <c r="B7154" s="209"/>
      <c r="C7154" s="201"/>
      <c r="D7154" s="201"/>
      <c r="E7154" s="202"/>
      <c r="F7154" s="210"/>
      <c r="G7154" s="210"/>
      <c r="H7154" s="206" t="s">
        <v>121</v>
      </c>
      <c r="I7154" s="206" t="s">
        <v>121</v>
      </c>
      <c r="J7154" s="206" t="s">
        <v>121</v>
      </c>
      <c r="K7154" s="206" t="s">
        <v>121</v>
      </c>
      <c r="L7154" s="206" t="str">
        <v/>
      </c>
      <c r="M7154" s="206" t="str">
        <v/>
      </c>
    </row>
    <row r="7155" spans="1:13" ht="14.4">
      <c r="A7155" s="201"/>
      <c r="B7155" s="209"/>
      <c r="C7155" s="201"/>
      <c r="D7155" s="201"/>
      <c r="E7155" s="202"/>
      <c r="F7155" s="210"/>
      <c r="G7155" s="210"/>
      <c r="H7155" s="206" t="s">
        <v>121</v>
      </c>
      <c r="I7155" s="206" t="s">
        <v>121</v>
      </c>
      <c r="J7155" s="206" t="s">
        <v>121</v>
      </c>
      <c r="K7155" s="206" t="s">
        <v>121</v>
      </c>
      <c r="L7155" s="206" t="str">
        <v/>
      </c>
      <c r="M7155" s="206" t="str">
        <v/>
      </c>
    </row>
    <row r="7156" spans="1:13" ht="14.4">
      <c r="A7156" s="201"/>
      <c r="B7156" s="209"/>
      <c r="C7156" s="201"/>
      <c r="D7156" s="201"/>
      <c r="E7156" s="202"/>
      <c r="F7156" s="210"/>
      <c r="G7156" s="210"/>
      <c r="H7156" s="206" t="s">
        <v>121</v>
      </c>
      <c r="I7156" s="206" t="s">
        <v>121</v>
      </c>
      <c r="J7156" s="206" t="s">
        <v>121</v>
      </c>
      <c r="K7156" s="206" t="s">
        <v>121</v>
      </c>
      <c r="L7156" s="206" t="str">
        <v/>
      </c>
      <c r="M7156" s="206" t="str">
        <v/>
      </c>
    </row>
    <row r="7157" spans="1:13" ht="14.4">
      <c r="A7157" s="201"/>
      <c r="B7157" s="209"/>
      <c r="C7157" s="201"/>
      <c r="D7157" s="201"/>
      <c r="E7157" s="202"/>
      <c r="F7157" s="210"/>
      <c r="G7157" s="210"/>
      <c r="H7157" s="206" t="s">
        <v>121</v>
      </c>
      <c r="I7157" s="206" t="s">
        <v>121</v>
      </c>
      <c r="J7157" s="206" t="s">
        <v>121</v>
      </c>
      <c r="K7157" s="206" t="s">
        <v>121</v>
      </c>
      <c r="L7157" s="206" t="str">
        <v/>
      </c>
      <c r="M7157" s="206" t="str">
        <v/>
      </c>
    </row>
    <row r="7158" spans="1:13" ht="14.4">
      <c r="A7158" s="201"/>
      <c r="B7158" s="209"/>
      <c r="C7158" s="201"/>
      <c r="D7158" s="201"/>
      <c r="E7158" s="202"/>
      <c r="F7158" s="210"/>
      <c r="G7158" s="210"/>
      <c r="H7158" s="206" t="s">
        <v>121</v>
      </c>
      <c r="I7158" s="206" t="s">
        <v>121</v>
      </c>
      <c r="J7158" s="206" t="s">
        <v>121</v>
      </c>
      <c r="K7158" s="206" t="s">
        <v>121</v>
      </c>
      <c r="L7158" s="206" t="str">
        <v/>
      </c>
      <c r="M7158" s="206" t="str">
        <v/>
      </c>
    </row>
    <row r="7159" spans="1:13" ht="14.4">
      <c r="A7159" s="201"/>
      <c r="B7159" s="209"/>
      <c r="C7159" s="201"/>
      <c r="D7159" s="201"/>
      <c r="E7159" s="202"/>
      <c r="F7159" s="210"/>
      <c r="G7159" s="210"/>
      <c r="H7159" s="206" t="s">
        <v>121</v>
      </c>
      <c r="I7159" s="206" t="s">
        <v>121</v>
      </c>
      <c r="J7159" s="206" t="s">
        <v>121</v>
      </c>
      <c r="K7159" s="206" t="s">
        <v>121</v>
      </c>
      <c r="L7159" s="206" t="str">
        <v/>
      </c>
      <c r="M7159" s="206" t="str">
        <v/>
      </c>
    </row>
    <row r="7160" spans="1:13" ht="14.4">
      <c r="A7160" s="201"/>
      <c r="B7160" s="209"/>
      <c r="C7160" s="201"/>
      <c r="D7160" s="201"/>
      <c r="E7160" s="202"/>
      <c r="F7160" s="210"/>
      <c r="G7160" s="210"/>
      <c r="H7160" s="206" t="s">
        <v>121</v>
      </c>
      <c r="I7160" s="206" t="s">
        <v>121</v>
      </c>
      <c r="J7160" s="206" t="s">
        <v>121</v>
      </c>
      <c r="K7160" s="206" t="s">
        <v>121</v>
      </c>
      <c r="L7160" s="206" t="str">
        <v/>
      </c>
      <c r="M7160" s="206" t="str">
        <v/>
      </c>
    </row>
    <row r="7161" spans="1:13" ht="14.4">
      <c r="A7161" s="201"/>
      <c r="B7161" s="209"/>
      <c r="C7161" s="201"/>
      <c r="D7161" s="201"/>
      <c r="E7161" s="202"/>
      <c r="F7161" s="210"/>
      <c r="G7161" s="210"/>
      <c r="H7161" s="206" t="s">
        <v>121</v>
      </c>
      <c r="I7161" s="206" t="s">
        <v>121</v>
      </c>
      <c r="J7161" s="206" t="s">
        <v>121</v>
      </c>
      <c r="K7161" s="206" t="s">
        <v>121</v>
      </c>
      <c r="L7161" s="206" t="str">
        <v/>
      </c>
      <c r="M7161" s="206" t="str">
        <v/>
      </c>
    </row>
    <row r="7162" spans="1:13" ht="14.4">
      <c r="A7162" s="201"/>
      <c r="B7162" s="209"/>
      <c r="C7162" s="201"/>
      <c r="D7162" s="201"/>
      <c r="E7162" s="202"/>
      <c r="F7162" s="210"/>
      <c r="G7162" s="210"/>
      <c r="H7162" s="206" t="s">
        <v>121</v>
      </c>
      <c r="I7162" s="206" t="s">
        <v>121</v>
      </c>
      <c r="J7162" s="206" t="s">
        <v>121</v>
      </c>
      <c r="K7162" s="206" t="s">
        <v>121</v>
      </c>
      <c r="L7162" s="206" t="str">
        <v/>
      </c>
      <c r="M7162" s="206" t="str">
        <v/>
      </c>
    </row>
    <row r="7163" spans="1:13" ht="14.4">
      <c r="A7163" s="201"/>
      <c r="B7163" s="209"/>
      <c r="C7163" s="201"/>
      <c r="D7163" s="201"/>
      <c r="E7163" s="202"/>
      <c r="F7163" s="210"/>
      <c r="G7163" s="210"/>
      <c r="H7163" s="206" t="s">
        <v>121</v>
      </c>
      <c r="I7163" s="206" t="s">
        <v>121</v>
      </c>
      <c r="J7163" s="206" t="s">
        <v>121</v>
      </c>
      <c r="K7163" s="206" t="s">
        <v>121</v>
      </c>
      <c r="L7163" s="206" t="str">
        <v/>
      </c>
      <c r="M7163" s="206" t="str">
        <v/>
      </c>
    </row>
    <row r="7164" spans="1:13" ht="14.4">
      <c r="A7164" s="201"/>
      <c r="B7164" s="209"/>
      <c r="C7164" s="201"/>
      <c r="D7164" s="201"/>
      <c r="E7164" s="202"/>
      <c r="F7164" s="210"/>
      <c r="G7164" s="210"/>
      <c r="H7164" s="206" t="s">
        <v>121</v>
      </c>
      <c r="I7164" s="206" t="s">
        <v>121</v>
      </c>
      <c r="J7164" s="206" t="s">
        <v>121</v>
      </c>
      <c r="K7164" s="206" t="s">
        <v>121</v>
      </c>
      <c r="L7164" s="206" t="str">
        <v/>
      </c>
      <c r="M7164" s="206" t="str">
        <v/>
      </c>
    </row>
    <row r="7165" spans="1:13" ht="14.4">
      <c r="A7165" s="201"/>
      <c r="B7165" s="209"/>
      <c r="C7165" s="201"/>
      <c r="D7165" s="201"/>
      <c r="E7165" s="202"/>
      <c r="F7165" s="210"/>
      <c r="G7165" s="210"/>
      <c r="H7165" s="206" t="s">
        <v>121</v>
      </c>
      <c r="I7165" s="206" t="s">
        <v>121</v>
      </c>
      <c r="J7165" s="206" t="s">
        <v>121</v>
      </c>
      <c r="K7165" s="206" t="s">
        <v>121</v>
      </c>
      <c r="L7165" s="206" t="str">
        <v/>
      </c>
      <c r="M7165" s="206" t="str">
        <v/>
      </c>
    </row>
    <row r="7166" spans="1:13" ht="14.4">
      <c r="A7166" s="201"/>
      <c r="B7166" s="209"/>
      <c r="C7166" s="201"/>
      <c r="D7166" s="201"/>
      <c r="E7166" s="202"/>
      <c r="F7166" s="210"/>
      <c r="G7166" s="210"/>
      <c r="H7166" s="206" t="s">
        <v>121</v>
      </c>
      <c r="I7166" s="206" t="s">
        <v>121</v>
      </c>
      <c r="J7166" s="206" t="s">
        <v>121</v>
      </c>
      <c r="K7166" s="206" t="s">
        <v>121</v>
      </c>
      <c r="L7166" s="206" t="str">
        <v/>
      </c>
      <c r="M7166" s="206" t="str">
        <v/>
      </c>
    </row>
    <row r="7167" spans="1:13" ht="14.4">
      <c r="A7167" s="201"/>
      <c r="B7167" s="209"/>
      <c r="C7167" s="201"/>
      <c r="D7167" s="201"/>
      <c r="E7167" s="202"/>
      <c r="F7167" s="210"/>
      <c r="G7167" s="210"/>
      <c r="H7167" s="206" t="s">
        <v>121</v>
      </c>
      <c r="I7167" s="206" t="s">
        <v>121</v>
      </c>
      <c r="J7167" s="206" t="s">
        <v>121</v>
      </c>
      <c r="K7167" s="206" t="s">
        <v>121</v>
      </c>
      <c r="L7167" s="206" t="str">
        <v/>
      </c>
      <c r="M7167" s="206" t="str">
        <v/>
      </c>
    </row>
    <row r="7168" spans="1:13" ht="14.4">
      <c r="A7168" s="201"/>
      <c r="B7168" s="209"/>
      <c r="C7168" s="201"/>
      <c r="D7168" s="201"/>
      <c r="E7168" s="202"/>
      <c r="F7168" s="210"/>
      <c r="G7168" s="210"/>
      <c r="H7168" s="206" t="s">
        <v>121</v>
      </c>
      <c r="I7168" s="206" t="s">
        <v>121</v>
      </c>
      <c r="J7168" s="206" t="s">
        <v>121</v>
      </c>
      <c r="K7168" s="206" t="s">
        <v>121</v>
      </c>
      <c r="L7168" s="206" t="str">
        <v/>
      </c>
      <c r="M7168" s="206" t="str">
        <v/>
      </c>
    </row>
    <row r="7169" spans="1:13" ht="14.4">
      <c r="A7169" s="201"/>
      <c r="B7169" s="209"/>
      <c r="C7169" s="201"/>
      <c r="D7169" s="201"/>
      <c r="E7169" s="202"/>
      <c r="F7169" s="210"/>
      <c r="G7169" s="210"/>
      <c r="H7169" s="206" t="s">
        <v>121</v>
      </c>
      <c r="I7169" s="206" t="s">
        <v>121</v>
      </c>
      <c r="J7169" s="206" t="s">
        <v>121</v>
      </c>
      <c r="K7169" s="206" t="s">
        <v>121</v>
      </c>
      <c r="L7169" s="206" t="str">
        <v/>
      </c>
      <c r="M7169" s="206" t="str">
        <v/>
      </c>
    </row>
    <row r="7170" spans="1:13" ht="14.4">
      <c r="A7170" s="201"/>
      <c r="B7170" s="209"/>
      <c r="C7170" s="201"/>
      <c r="D7170" s="201"/>
      <c r="E7170" s="202"/>
      <c r="F7170" s="210"/>
      <c r="G7170" s="210"/>
      <c r="H7170" s="206" t="s">
        <v>121</v>
      </c>
      <c r="I7170" s="206" t="s">
        <v>121</v>
      </c>
      <c r="J7170" s="206" t="s">
        <v>121</v>
      </c>
      <c r="K7170" s="206" t="s">
        <v>121</v>
      </c>
      <c r="L7170" s="206" t="str">
        <v/>
      </c>
      <c r="M7170" s="206" t="str">
        <v/>
      </c>
    </row>
    <row r="7171" spans="1:13" ht="14.4">
      <c r="A7171" s="201"/>
      <c r="B7171" s="209"/>
      <c r="C7171" s="201"/>
      <c r="D7171" s="201"/>
      <c r="E7171" s="202"/>
      <c r="F7171" s="210"/>
      <c r="G7171" s="210"/>
      <c r="H7171" s="206" t="s">
        <v>121</v>
      </c>
      <c r="I7171" s="206" t="s">
        <v>121</v>
      </c>
      <c r="J7171" s="206" t="s">
        <v>121</v>
      </c>
      <c r="K7171" s="206" t="s">
        <v>121</v>
      </c>
      <c r="L7171" s="206" t="str">
        <v/>
      </c>
      <c r="M7171" s="206" t="str">
        <v/>
      </c>
    </row>
    <row r="7172" spans="1:13" ht="14.4">
      <c r="A7172" s="201"/>
      <c r="B7172" s="209"/>
      <c r="C7172" s="201"/>
      <c r="D7172" s="201"/>
      <c r="E7172" s="202"/>
      <c r="F7172" s="210"/>
      <c r="G7172" s="210"/>
      <c r="H7172" s="206" t="s">
        <v>121</v>
      </c>
      <c r="I7172" s="206" t="s">
        <v>121</v>
      </c>
      <c r="J7172" s="206" t="s">
        <v>121</v>
      </c>
      <c r="K7172" s="206" t="s">
        <v>121</v>
      </c>
      <c r="L7172" s="206" t="str">
        <v/>
      </c>
      <c r="M7172" s="206" t="str">
        <v/>
      </c>
    </row>
    <row r="7173" spans="1:13" ht="14.4">
      <c r="A7173" s="201"/>
      <c r="B7173" s="209"/>
      <c r="C7173" s="201"/>
      <c r="D7173" s="201"/>
      <c r="E7173" s="202"/>
      <c r="F7173" s="210"/>
      <c r="G7173" s="210"/>
      <c r="H7173" s="206" t="s">
        <v>121</v>
      </c>
      <c r="I7173" s="206" t="s">
        <v>121</v>
      </c>
      <c r="J7173" s="206" t="s">
        <v>121</v>
      </c>
      <c r="K7173" s="206" t="s">
        <v>121</v>
      </c>
      <c r="L7173" s="206" t="str">
        <v/>
      </c>
      <c r="M7173" s="206" t="str">
        <v/>
      </c>
    </row>
    <row r="7174" spans="1:13" ht="14.4">
      <c r="A7174" s="201"/>
      <c r="B7174" s="209"/>
      <c r="C7174" s="201"/>
      <c r="D7174" s="201"/>
      <c r="E7174" s="202"/>
      <c r="F7174" s="210"/>
      <c r="G7174" s="210"/>
      <c r="H7174" s="206" t="s">
        <v>121</v>
      </c>
      <c r="I7174" s="206" t="s">
        <v>121</v>
      </c>
      <c r="J7174" s="206" t="s">
        <v>121</v>
      </c>
      <c r="K7174" s="206" t="s">
        <v>121</v>
      </c>
      <c r="L7174" s="206" t="str">
        <v/>
      </c>
      <c r="M7174" s="206" t="str">
        <v/>
      </c>
    </row>
    <row r="7175" spans="1:13" ht="14.4">
      <c r="A7175" s="201"/>
      <c r="B7175" s="209"/>
      <c r="C7175" s="201"/>
      <c r="D7175" s="201"/>
      <c r="E7175" s="202"/>
      <c r="F7175" s="210"/>
      <c r="G7175" s="210"/>
      <c r="H7175" s="206" t="s">
        <v>121</v>
      </c>
      <c r="I7175" s="206" t="s">
        <v>121</v>
      </c>
      <c r="J7175" s="206" t="s">
        <v>121</v>
      </c>
      <c r="K7175" s="206" t="s">
        <v>121</v>
      </c>
      <c r="L7175" s="206" t="str">
        <v/>
      </c>
      <c r="M7175" s="206" t="str">
        <v/>
      </c>
    </row>
    <row r="7176" spans="1:13" ht="14.4">
      <c r="A7176" s="201"/>
      <c r="B7176" s="209"/>
      <c r="C7176" s="201"/>
      <c r="D7176" s="201"/>
      <c r="E7176" s="202"/>
      <c r="F7176" s="210"/>
      <c r="G7176" s="210"/>
      <c r="H7176" s="206" t="s">
        <v>121</v>
      </c>
      <c r="I7176" s="206" t="s">
        <v>121</v>
      </c>
      <c r="J7176" s="206" t="s">
        <v>121</v>
      </c>
      <c r="K7176" s="206" t="s">
        <v>121</v>
      </c>
      <c r="L7176" s="206" t="str">
        <v/>
      </c>
      <c r="M7176" s="206" t="str">
        <v/>
      </c>
    </row>
  </sheetData>
  <conditionalFormatting sqref="C1:C7176">
    <cfRule type="cellIs" dxfId="2" priority="1" operator="lessThan">
      <formula>5</formula>
    </cfRule>
  </conditionalFormatting>
  <conditionalFormatting sqref="C1:C7176">
    <cfRule type="cellIs" dxfId="1" priority="2" operator="greaterThan">
      <formula>18</formula>
    </cfRule>
  </conditionalFormatting>
  <hyperlinks>
    <hyperlink ref="E2" r:id="rId1" xr:uid="{00000000-0004-0000-0D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tabColor rgb="FFFF0000"/>
    <outlinePr summaryBelow="0" summaryRight="0"/>
  </sheetPr>
  <dimension ref="A1:Z39"/>
  <sheetViews>
    <sheetView showGridLines="0" workbookViewId="0">
      <pane ySplit="4" topLeftCell="A5" activePane="bottomLeft" state="frozen"/>
      <selection pane="bottomLeft" activeCell="B6" sqref="B6"/>
    </sheetView>
  </sheetViews>
  <sheetFormatPr defaultColWidth="14.44140625" defaultRowHeight="15.75" customHeight="1"/>
  <cols>
    <col min="1" max="8" width="19.33203125" customWidth="1"/>
    <col min="9" max="9" width="20.44140625" customWidth="1"/>
    <col min="14" max="14" width="24.33203125" customWidth="1"/>
  </cols>
  <sheetData>
    <row r="1" spans="1:26" ht="15.75" customHeight="1">
      <c r="A1" s="211" t="s">
        <v>124</v>
      </c>
      <c r="B1" s="212"/>
      <c r="C1" s="212"/>
      <c r="D1" s="212"/>
      <c r="E1" s="212"/>
      <c r="F1" s="212"/>
      <c r="G1" s="212"/>
      <c r="H1" s="212"/>
      <c r="I1" s="213"/>
      <c r="J1" s="213"/>
      <c r="K1" s="173"/>
      <c r="L1" s="213"/>
      <c r="M1" s="213"/>
      <c r="N1" s="214"/>
      <c r="O1" s="173"/>
      <c r="P1" s="173"/>
      <c r="Q1" s="173"/>
      <c r="R1" s="173"/>
      <c r="S1" s="173"/>
      <c r="T1" s="173"/>
      <c r="U1" s="173"/>
      <c r="V1" s="173"/>
      <c r="W1" s="173"/>
      <c r="X1" s="173"/>
      <c r="Y1" s="173"/>
      <c r="Z1" s="173"/>
    </row>
    <row r="2" spans="1:26" ht="15.75" customHeight="1">
      <c r="A2" s="212"/>
      <c r="B2" s="212"/>
      <c r="C2" s="212"/>
      <c r="D2" s="212"/>
      <c r="E2" s="212"/>
      <c r="F2" s="212"/>
      <c r="G2" s="212"/>
      <c r="H2" s="212"/>
      <c r="I2" s="213"/>
      <c r="J2" s="213"/>
      <c r="K2" s="173"/>
      <c r="L2" s="213"/>
      <c r="M2" s="213"/>
      <c r="N2" s="214"/>
      <c r="O2" s="173"/>
      <c r="P2" s="173"/>
      <c r="Q2" s="173"/>
      <c r="R2" s="173"/>
      <c r="S2" s="173"/>
      <c r="T2" s="173"/>
      <c r="U2" s="173"/>
      <c r="V2" s="173"/>
      <c r="W2" s="173"/>
      <c r="X2" s="173"/>
      <c r="Y2" s="173"/>
      <c r="Z2" s="173"/>
    </row>
    <row r="3" spans="1:26" ht="15.75" customHeight="1">
      <c r="A3" s="277" t="str">
        <f ca="1">IFERROR(__xludf.DUMMYFUNCTION("importrange(""https://docs.google.com/spreadsheets/d/1-JXYCYIAvtmiIJj4y5uFNPzMrtPUC6JAnZaXl789pwQ"", ""Prep-Div-Emails!A1:H25"")"),"Divisions")</f>
        <v>Divisions</v>
      </c>
      <c r="B3" s="226"/>
      <c r="C3" s="226"/>
      <c r="D3" s="226"/>
      <c r="E3" s="226"/>
      <c r="F3" s="226"/>
      <c r="G3" s="226"/>
      <c r="H3" s="226"/>
      <c r="I3" s="1"/>
      <c r="J3" s="1"/>
      <c r="L3" s="1"/>
      <c r="M3" s="1"/>
      <c r="N3" s="216"/>
    </row>
    <row r="4" spans="1:26" ht="15.75" customHeight="1">
      <c r="A4" s="215">
        <f ca="1">IFERROR(__xludf.DUMMYFUNCTION("""COMPUTED_VALUE"""),1)</f>
        <v>1</v>
      </c>
      <c r="B4" s="215">
        <f ca="1">IFERROR(__xludf.DUMMYFUNCTION("""COMPUTED_VALUE"""),2)</f>
        <v>2</v>
      </c>
      <c r="C4" s="215">
        <f ca="1">IFERROR(__xludf.DUMMYFUNCTION("""COMPUTED_VALUE"""),3)</f>
        <v>3</v>
      </c>
      <c r="D4" s="215">
        <f ca="1">IFERROR(__xludf.DUMMYFUNCTION("""COMPUTED_VALUE"""),4)</f>
        <v>4</v>
      </c>
      <c r="E4" s="215">
        <f ca="1">IFERROR(__xludf.DUMMYFUNCTION("""COMPUTED_VALUE"""),5)</f>
        <v>5</v>
      </c>
      <c r="F4" s="215">
        <f ca="1">IFERROR(__xludf.DUMMYFUNCTION("""COMPUTED_VALUE"""),6)</f>
        <v>6</v>
      </c>
      <c r="G4" s="215">
        <f ca="1">IFERROR(__xludf.DUMMYFUNCTION("""COMPUTED_VALUE"""),7)</f>
        <v>7</v>
      </c>
      <c r="H4" s="215">
        <f ca="1">IFERROR(__xludf.DUMMYFUNCTION("""COMPUTED_VALUE"""),8)</f>
        <v>8</v>
      </c>
      <c r="I4" s="1"/>
      <c r="J4" s="1"/>
      <c r="L4" s="1"/>
      <c r="M4" s="1"/>
      <c r="N4" s="216"/>
      <c r="O4" s="217"/>
      <c r="P4" s="217"/>
      <c r="Q4" s="217"/>
      <c r="R4" s="217"/>
    </row>
    <row r="5" spans="1:26" ht="15.75" customHeight="1">
      <c r="A5" s="218" t="str">
        <f ca="1">IFERROR(__xludf.DUMMYFUNCTION("""COMPUTED_VALUE"""),"apripeton@gmail.com")</f>
        <v>apripeton@gmail.com</v>
      </c>
      <c r="B5" s="219" t="str">
        <f ca="1">IFERROR(__xludf.DUMMYFUNCTION("""COMPUTED_VALUE"""),"dive@kgrc.org")</f>
        <v>dive@kgrc.org</v>
      </c>
      <c r="C5" t="str">
        <f ca="1">IFERROR(__xludf.DUMMYFUNCTION("""COMPUTED_VALUE"""),"crottycrew@hotmail.com")</f>
        <v>crottycrew@hotmail.com</v>
      </c>
      <c r="D5" t="str">
        <f ca="1">IFERROR(__xludf.DUMMYFUNCTION("""COMPUTED_VALUE"""),"mikejudy@cox.net")</f>
        <v>mikejudy@cox.net</v>
      </c>
      <c r="E5" t="str">
        <f ca="1">IFERROR(__xludf.DUMMYFUNCTION("""COMPUTED_VALUE"""),"susan.mitchell8894@gmail.com")</f>
        <v>susan.mitchell8894@gmail.com</v>
      </c>
      <c r="F5" t="str">
        <f ca="1">IFERROR(__xludf.DUMMYFUNCTION("""COMPUTED_VALUE"""),"ksmcclure@gmail.com")</f>
        <v>ksmcclure@gmail.com</v>
      </c>
      <c r="G5" t="str">
        <f ca="1">IFERROR(__xludf.DUMMYFUNCTION("""COMPUTED_VALUE"""),"hamletdiveteam@gmail.com")</f>
        <v>hamletdiveteam@gmail.com</v>
      </c>
      <c r="H5" t="str">
        <f ca="1">IFERROR(__xludf.DUMMYFUNCTION("""COMPUTED_VALUE"""),"betsy.yarrison@gmail.com")</f>
        <v>betsy.yarrison@gmail.com</v>
      </c>
      <c r="O5" s="220"/>
      <c r="P5" s="220"/>
      <c r="Q5" s="220"/>
      <c r="R5" s="220"/>
    </row>
    <row r="6" spans="1:26" ht="15.75" customHeight="1">
      <c r="A6" s="218" t="str">
        <f ca="1">IFERROR(__xludf.DUMMYFUNCTION("""COMPUTED_VALUE"""),"albosta@gmail.com")</f>
        <v>albosta@gmail.com</v>
      </c>
      <c r="B6" s="218" t="str">
        <f ca="1">IFERROR(__xludf.DUMMYFUNCTION("""COMPUTED_VALUE"""),"amyvroom@me.com")</f>
        <v>amyvroom@me.com</v>
      </c>
      <c r="C6" s="218" t="str">
        <f ca="1">IFERROR(__xludf.DUMMYFUNCTION("""COMPUTED_VALUE"""),"acjhs@juno.com")</f>
        <v>acjhs@juno.com</v>
      </c>
      <c r="D6" s="218" t="str">
        <f ca="1">IFERROR(__xludf.DUMMYFUNCTION("""COMPUTED_VALUE"""),"beth.hogan@gmail.com")</f>
        <v>beth.hogan@gmail.com</v>
      </c>
      <c r="E6" s="218" t="str">
        <f ca="1">IFERROR(__xludf.DUMMYFUNCTION("""COMPUTED_VALUE"""),"aimee@callahanfamily.net")</f>
        <v>aimee@callahanfamily.net</v>
      </c>
      <c r="F6" s="218" t="str">
        <f ca="1">IFERROR(__xludf.DUMMYFUNCTION("""COMPUTED_VALUE"""),"h2odirt2@gmail.com")</f>
        <v>h2odirt2@gmail.com</v>
      </c>
      <c r="G6" s="218" t="str">
        <f ca="1">IFERROR(__xludf.DUMMYFUNCTION("""COMPUTED_VALUE"""),"candrukonis@hotmail.com")</f>
        <v>candrukonis@hotmail.com</v>
      </c>
      <c r="H6" s="218" t="str">
        <f ca="1">IFERROR(__xludf.DUMMYFUNCTION("""COMPUTED_VALUE"""),"Adrienne.Baldree@gmail.com")</f>
        <v>Adrienne.Baldree@gmail.com</v>
      </c>
    </row>
    <row r="7" spans="1:26" ht="15.75" customHeight="1">
      <c r="A7" t="str">
        <f ca="1">IFERROR(__xludf.DUMMYFUNCTION("""COMPUTED_VALUE"""),"bruinxctnf@aol.com")</f>
        <v>bruinxctnf@aol.com</v>
      </c>
      <c r="B7" s="219" t="str">
        <f ca="1">IFERROR(__xludf.DUMMYFUNCTION("""COMPUTED_VALUE"""),"cabriojak@gmail.com")</f>
        <v>cabriojak@gmail.com</v>
      </c>
      <c r="C7" t="str">
        <f ca="1">IFERROR(__xludf.DUMMYFUNCTION("""COMPUTED_VALUE"""),"aogrodnyit@gmail.com")</f>
        <v>aogrodnyit@gmail.com</v>
      </c>
      <c r="D7" t="str">
        <f ca="1">IFERROR(__xludf.DUMMYFUNCTION("""COMPUTED_VALUE"""),"dagrannis@gmail.com")</f>
        <v>dagrannis@gmail.com</v>
      </c>
      <c r="E7" t="str">
        <f ca="1">IFERROR(__xludf.DUMMYFUNCTION("""COMPUTED_VALUE"""),"bgagermeier@gmail.com ")</f>
        <v xml:space="preserve">bgagermeier@gmail.com </v>
      </c>
      <c r="F7" t="str">
        <f ca="1">IFERROR(__xludf.DUMMYFUNCTION("""COMPUTED_VALUE"""),"ironwoman.77@gmail.com")</f>
        <v>ironwoman.77@gmail.com</v>
      </c>
      <c r="G7" t="str">
        <f ca="1">IFERROR(__xludf.DUMMYFUNCTION("""COMPUTED_VALUE"""),"caroldavis1988@yahoo.com")</f>
        <v>caroldavis1988@yahoo.com</v>
      </c>
      <c r="H7" t="str">
        <f ca="1">IFERROR(__xludf.DUMMYFUNCTION("""COMPUTED_VALUE"""),"celesteleyhe@yahoo.com")</f>
        <v>celesteleyhe@yahoo.com</v>
      </c>
      <c r="I7" s="2"/>
    </row>
    <row r="8" spans="1:26" ht="15.75" customHeight="1">
      <c r="A8" t="str">
        <f ca="1">IFERROR(__xludf.DUMMYFUNCTION("""COMPUTED_VALUE"""),"Cindy.hatchl@gmail.com")</f>
        <v>Cindy.hatchl@gmail.com</v>
      </c>
      <c r="B8" s="221" t="str">
        <f ca="1">IFERROR(__xludf.DUMMYFUNCTION("""COMPUTED_VALUE"""),"christesenmary@gmail.com")</f>
        <v>christesenmary@gmail.com</v>
      </c>
      <c r="C8" t="str">
        <f ca="1">IFERROR(__xludf.DUMMYFUNCTION("""COMPUTED_VALUE"""),"camille_mccarthy@yahoo.ca")</f>
        <v>camille_mccarthy@yahoo.ca</v>
      </c>
      <c r="D8" t="str">
        <f ca="1">IFERROR(__xludf.DUMMYFUNCTION("""COMPUTED_VALUE"""),"datroskey@gmail.com")</f>
        <v>datroskey@gmail.com</v>
      </c>
      <c r="E8" t="str">
        <f ca="1">IFERROR(__xludf.DUMMYFUNCTION("""COMPUTED_VALUE"""),"camelotdive@gmail.com")</f>
        <v>camelotdive@gmail.com</v>
      </c>
      <c r="F8" t="str">
        <f ca="1">IFERROR(__xludf.DUMMYFUNCTION("""COMPUTED_VALUE"""),"ksmcclure@gmail.com")</f>
        <v>ksmcclure@gmail.com</v>
      </c>
      <c r="G8" t="str">
        <f ca="1">IFERROR(__xludf.DUMMYFUNCTION("""COMPUTED_VALUE"""),"carylin_mother2@yahoo.com")</f>
        <v>carylin_mother2@yahoo.com</v>
      </c>
      <c r="H8" t="str">
        <f ca="1">IFERROR(__xludf.DUMMYFUNCTION("""COMPUTED_VALUE"""),"dave.galway176@gmail.com")</f>
        <v>dave.galway176@gmail.com</v>
      </c>
    </row>
    <row r="9" spans="1:26" ht="15.75" customHeight="1">
      <c r="A9" t="str">
        <f ca="1">IFERROR(__xludf.DUMMYFUNCTION("""COMPUTED_VALUE"""),"debncohen@gmail.com")</f>
        <v>debncohen@gmail.com</v>
      </c>
      <c r="B9" s="221" t="str">
        <f ca="1">IFERROR(__xludf.DUMMYFUNCTION("""COMPUTED_VALUE"""),"comtnclimr@gmail.com ")</f>
        <v xml:space="preserve">comtnclimr@gmail.com </v>
      </c>
      <c r="C9" t="str">
        <f ca="1">IFERROR(__xludf.DUMMYFUNCTION("""COMPUTED_VALUE"""),"crottycrew@hotmail.com")</f>
        <v>crottycrew@hotmail.com</v>
      </c>
      <c r="D9" t="str">
        <f ca="1">IFERROR(__xludf.DUMMYFUNCTION("""COMPUTED_VALUE"""),"dive@tuckahoe.club")</f>
        <v>dive@tuckahoe.club</v>
      </c>
      <c r="E9" t="str">
        <f ca="1">IFERROR(__xludf.DUMMYFUNCTION("""COMPUTED_VALUE"""),"cpdiveteamrep@gmail.com")</f>
        <v>cpdiveteamrep@gmail.com</v>
      </c>
      <c r="F9" t="str">
        <f ca="1">IFERROR(__xludf.DUMMYFUNCTION("""COMPUTED_VALUE"""),"leannparente@gmail.com")</f>
        <v>leannparente@gmail.com</v>
      </c>
      <c r="G9" t="str">
        <f ca="1">IFERROR(__xludf.DUMMYFUNCTION("""COMPUTED_VALUE"""),"cjwade@gmail.com")</f>
        <v>cjwade@gmail.com</v>
      </c>
      <c r="H9" t="str">
        <f ca="1">IFERROR(__xludf.DUMMYFUNCTION("""COMPUTED_VALUE"""),"denisehdu@gmail.com")</f>
        <v>denisehdu@gmail.com</v>
      </c>
    </row>
    <row r="10" spans="1:26" ht="15.75" customHeight="1">
      <c r="A10" t="str">
        <f ca="1">IFERROR(__xludf.DUMMYFUNCTION("""COMPUTED_VALUE"""),"dive@trurohomes.org")</f>
        <v>dive@trurohomes.org</v>
      </c>
      <c r="B10" s="221" t="str">
        <f ca="1">IFERROR(__xludf.DUMMYFUNCTION("""COMPUTED_VALUE"""),"dive@kgrc.org")</f>
        <v>dive@kgrc.org</v>
      </c>
      <c r="C10" t="str">
        <f ca="1">IFERROR(__xludf.DUMMYFUNCTION("""COMPUTED_VALUE"""),"jennifer.mulchandani@gmail.com")</f>
        <v>jennifer.mulchandani@gmail.com</v>
      </c>
      <c r="D10" t="str">
        <f ca="1">IFERROR(__xludf.DUMMYFUNCTION("""COMPUTED_VALUE"""),"drjenniferlager@gmail.com")</f>
        <v>drjenniferlager@gmail.com</v>
      </c>
      <c r="E10" t="str">
        <f ca="1">IFERROR(__xludf.DUMMYFUNCTION("""COMPUTED_VALUE"""),"diving@shbr.org")</f>
        <v>diving@shbr.org</v>
      </c>
      <c r="F10" t="str">
        <f ca="1">IFERROR(__xludf.DUMMYFUNCTION("""COMPUTED_VALUE"""),"michellembutler@gmail.com")</f>
        <v>michellembutler@gmail.com</v>
      </c>
      <c r="G10" t="str">
        <f ca="1">IFERROR(__xludf.DUMMYFUNCTION("""COMPUTED_VALUE"""),"divesra@gmail.com")</f>
        <v>divesra@gmail.com</v>
      </c>
      <c r="H10" t="str">
        <f ca="1">IFERROR(__xludf.DUMMYFUNCTION("""COMPUTED_VALUE"""),"diveemails@gmail.com")</f>
        <v>diveemails@gmail.com</v>
      </c>
    </row>
    <row r="11" spans="1:26" ht="15.75" customHeight="1">
      <c r="A11" t="str">
        <f ca="1">IFERROR(__xludf.DUMMYFUNCTION("""COMPUTED_VALUE"""),"divingboar@verizon.net")</f>
        <v>divingboar@verizon.net</v>
      </c>
      <c r="B11" s="221" t="str">
        <f ca="1">IFERROR(__xludf.DUMMYFUNCTION("""COMPUTED_VALUE"""),"diverep@mansionhouseclub.com")</f>
        <v>diverep@mansionhouseclub.com</v>
      </c>
      <c r="C11" t="str">
        <f ca="1">IFERROR(__xludf.DUMMYFUNCTION("""COMPUTED_VALUE"""),"jessicakennedy05@gmail.com")</f>
        <v>jessicakennedy05@gmail.com</v>
      </c>
      <c r="D11" t="str">
        <f ca="1">IFERROR(__xludf.DUMMYFUNCTION("""COMPUTED_VALUE"""),"highlandsdive@gmail.com")</f>
        <v>highlandsdive@gmail.com</v>
      </c>
      <c r="E11" t="str">
        <f ca="1">IFERROR(__xludf.DUMMYFUNCTION("""COMPUTED_VALUE"""),"lakeview.diveteam@gmail.com")</f>
        <v>lakeview.diveteam@gmail.com</v>
      </c>
      <c r="F11" t="str">
        <f ca="1">IFERROR(__xludf.DUMMYFUNCTION("""COMPUTED_VALUE"""),"mlbertman@msn.com")</f>
        <v>mlbertman@msn.com</v>
      </c>
      <c r="G11" t="str">
        <f ca="1">IFERROR(__xludf.DUMMYFUNCTION("""COMPUTED_VALUE"""),"diveteam@mantuastc.org")</f>
        <v>diveteam@mantuastc.org</v>
      </c>
      <c r="H11" t="str">
        <f ca="1">IFERROR(__xludf.DUMMYFUNCTION("""COMPUTED_VALUE"""),"jbflinn79@gmail.com")</f>
        <v>jbflinn79@gmail.com</v>
      </c>
    </row>
    <row r="12" spans="1:26" ht="15.75" customHeight="1">
      <c r="A12" t="str">
        <f ca="1">IFERROR(__xludf.DUMMYFUNCTION("""COMPUTED_VALUE"""),"jamespmchugh@gmail.com")</f>
        <v>jamespmchugh@gmail.com</v>
      </c>
      <c r="B12" s="221" t="str">
        <f ca="1">IFERROR(__xludf.DUMMYFUNCTION("""COMPUTED_VALUE"""),"jar.rabe24@gmail.com")</f>
        <v>jar.rabe24@gmail.com</v>
      </c>
      <c r="C12" t="str">
        <f ca="1">IFERROR(__xludf.DUMMYFUNCTION("""COMPUTED_VALUE"""),"jjconner14@gmail.com")</f>
        <v>jjconner14@gmail.com</v>
      </c>
      <c r="D12" t="str">
        <f ca="1">IFERROR(__xludf.DUMMYFUNCTION("""COMPUTED_VALUE"""),"mmohney@gmail.com")</f>
        <v>mmohney@gmail.com</v>
      </c>
      <c r="E12" t="str">
        <f ca="1">IFERROR(__xludf.DUMMYFUNCTION("""COMPUTED_VALUE"""),"mbchamplin@petconnectrescue.org")</f>
        <v>mbchamplin@petconnectrescue.org</v>
      </c>
      <c r="F12" t="str">
        <f ca="1">IFERROR(__xludf.DUMMYFUNCTION("""COMPUTED_VALUE"""),"mmclarke@yahoo.com")</f>
        <v>mmclarke@yahoo.com</v>
      </c>
      <c r="G12" t="str">
        <f ca="1">IFERROR(__xludf.DUMMYFUNCTION("""COMPUTED_VALUE"""),"hamletdiveteam@gmail.com")</f>
        <v>hamletdiveteam@gmail.com</v>
      </c>
      <c r="H12" t="str">
        <f ca="1">IFERROR(__xludf.DUMMYFUNCTION("""COMPUTED_VALUE"""),"krisgarcia15@gmail.com")</f>
        <v>krisgarcia15@gmail.com</v>
      </c>
    </row>
    <row r="13" spans="1:26" ht="15.75" customHeight="1">
      <c r="A13" t="str">
        <f ca="1">IFERROR(__xludf.DUMMYFUNCTION("""COMPUTED_VALUE"""),"marianlittleton@gmail.com")</f>
        <v>marianlittleton@gmail.com</v>
      </c>
      <c r="B13" s="221" t="str">
        <f ca="1">IFERROR(__xludf.DUMMYFUNCTION("""COMPUTED_VALUE"""),"JayandLisaVaughan@yahoo.com")</f>
        <v>JayandLisaVaughan@yahoo.com</v>
      </c>
      <c r="C13" t="str">
        <f ca="1">IFERROR(__xludf.DUMMYFUNCTION("""COMPUTED_VALUE"""),"jjconner14@verizon.net")</f>
        <v>jjconner14@verizon.net</v>
      </c>
      <c r="D13" t="str">
        <f ca="1">IFERROR(__xludf.DUMMYFUNCTION("""COMPUTED_VALUE"""),"tadb1@verizon.net")</f>
        <v>tadb1@verizon.net</v>
      </c>
      <c r="E13" t="str">
        <f ca="1">IFERROR(__xludf.DUMMYFUNCTION("""COMPUTED_VALUE"""),"MBChamplin2@yahoo.com")</f>
        <v>MBChamplin2@yahoo.com</v>
      </c>
      <c r="F13" t="str">
        <f ca="1">IFERROR(__xludf.DUMMYFUNCTION("""COMPUTED_VALUE"""),"paige22554@gmail.com")</f>
        <v>paige22554@gmail.com</v>
      </c>
      <c r="G13" t="str">
        <f ca="1">IFERROR(__xludf.DUMMYFUNCTION("""COMPUTED_VALUE"""),"Haudafamily6@gmail.com")</f>
        <v>Haudafamily6@gmail.com</v>
      </c>
      <c r="H13" t="str">
        <f ca="1">IFERROR(__xludf.DUMMYFUNCTION("""COMPUTED_VALUE"""),"maureenbushisnice@gmail.com")</f>
        <v>maureenbushisnice@gmail.com</v>
      </c>
    </row>
    <row r="14" spans="1:26" ht="15.75" customHeight="1">
      <c r="A14" t="str">
        <f ca="1">IFERROR(__xludf.DUMMYFUNCTION("""COMPUTED_VALUE"""),"marsdengirls@gmail.com")</f>
        <v>marsdengirls@gmail.com</v>
      </c>
      <c r="B14" s="221" t="str">
        <f ca="1">IFERROR(__xludf.DUMMYFUNCTION("""COMPUTED_VALUE"""),"kathmoyer39@gmail.com ")</f>
        <v xml:space="preserve">kathmoyer39@gmail.com </v>
      </c>
      <c r="C14" t="str">
        <f ca="1">IFERROR(__xludf.DUMMYFUNCTION("""COMPUTED_VALUE"""),"judy.baltas@gmail.com")</f>
        <v>judy.baltas@gmail.com</v>
      </c>
      <c r="D14" t="str">
        <f ca="1">IFERROR(__xludf.DUMMYFUNCTION("""COMPUTED_VALUE"""),"tjoyce@outlook.com")</f>
        <v>tjoyce@outlook.com</v>
      </c>
      <c r="E14" t="str">
        <f ca="1">IFERROR(__xludf.DUMMYFUNCTION("""COMPUTED_VALUE"""),"Mdkuo@yahoo.com")</f>
        <v>Mdkuo@yahoo.com</v>
      </c>
      <c r="F14" t="str">
        <f ca="1">IFERROR(__xludf.DUMMYFUNCTION("""COMPUTED_VALUE"""),"PanamaForever@aol.com")</f>
        <v>PanamaForever@aol.com</v>
      </c>
      <c r="G14" t="str">
        <f ca="1">IFERROR(__xludf.DUMMYFUNCTION("""COMPUTED_VALUE"""),"Presley.Julio@gmail.com")</f>
        <v>Presley.Julio@gmail.com</v>
      </c>
      <c r="H14" t="str">
        <f ca="1">IFERROR(__xludf.DUMMYFUNCTION("""COMPUTED_VALUE"""),"RaeTran@gmail.com")</f>
        <v>RaeTran@gmail.com</v>
      </c>
    </row>
    <row r="15" spans="1:26" ht="15.75" customHeight="1">
      <c r="A15" t="str">
        <f ca="1">IFERROR(__xludf.DUMMYFUNCTION("""COMPUTED_VALUE"""),"rachelpaci@gmail.com")</f>
        <v>rachelpaci@gmail.com</v>
      </c>
      <c r="B15" s="221" t="str">
        <f ca="1">IFERROR(__xludf.DUMMYFUNCTION("""COMPUTED_VALUE"""),"ktibabuzo@gmail.com")</f>
        <v>ktibabuzo@gmail.com</v>
      </c>
      <c r="C15" t="str">
        <f ca="1">IFERROR(__xludf.DUMMYFUNCTION("""COMPUTED_VALUE"""),"kbletsis@yahoo.com")</f>
        <v>kbletsis@yahoo.com</v>
      </c>
      <c r="D15" t="str">
        <f ca="1">IFERROR(__xludf.DUMMYFUNCTION("""COMPUTED_VALUE"""),"wvdive@gmail.com")</f>
        <v>wvdive@gmail.com</v>
      </c>
      <c r="E15" t="str">
        <f ca="1">IFERROR(__xludf.DUMMYFUNCTION("""COMPUTED_VALUE"""),"melandstu@verizon.net")</f>
        <v>melandstu@verizon.net</v>
      </c>
      <c r="F15" t="str">
        <f ca="1">IFERROR(__xludf.DUMMYFUNCTION("""COMPUTED_VALUE"""),"panthersdive@gmail.com")</f>
        <v>panthersdive@gmail.com</v>
      </c>
      <c r="G15" t="str">
        <f ca="1">IFERROR(__xludf.DUMMYFUNCTION("""COMPUTED_VALUE"""),"woodleydiverep@gmail.com")</f>
        <v>woodleydiverep@gmail.com</v>
      </c>
      <c r="H15" t="str">
        <f ca="1">IFERROR(__xludf.DUMMYFUNCTION("""COMPUTED_VALUE"""),"thorntonmandiq@gmail.com")</f>
        <v>thorntonmandiq@gmail.com</v>
      </c>
    </row>
    <row r="16" spans="1:26" ht="15.75" customHeight="1">
      <c r="A16" t="str">
        <f ca="1">IFERROR(__xludf.DUMMYFUNCTION("""COMPUTED_VALUE"""),"shalla.ross@gmail.com")</f>
        <v>shalla.ross@gmail.com</v>
      </c>
      <c r="B16" s="221" t="str">
        <f ca="1">IFERROR(__xludf.DUMMYFUNCTION("""COMPUTED_VALUE"""),"lisanv@hotmail.com")</f>
        <v>lisanv@hotmail.com</v>
      </c>
      <c r="C16" t="str">
        <f ca="1">IFERROR(__xludf.DUMMYFUNCTION("""COMPUTED_VALUE"""),"laura.n.ballou@gmail.com")</f>
        <v>laura.n.ballou@gmail.com</v>
      </c>
      <c r="E16" t="str">
        <f ca="1">IFERROR(__xludf.DUMMYFUNCTION("""COMPUTED_VALUE"""),"rhscdiveteamrep@gmail.com")</f>
        <v>rhscdiveteamrep@gmail.com</v>
      </c>
      <c r="F16" t="str">
        <f ca="1">IFERROR(__xludf.DUMMYFUNCTION("""COMPUTED_VALUE"""),"rdbray4@verizon.net")</f>
        <v>rdbray4@verizon.net</v>
      </c>
    </row>
    <row r="17" spans="1:11" ht="15.75" customHeight="1">
      <c r="A17" t="str">
        <f ca="1">IFERROR(__xludf.DUMMYFUNCTION("""COMPUTED_VALUE"""),"Shalla.Ross@verizon.net")</f>
        <v>Shalla.Ross@verizon.net</v>
      </c>
      <c r="B17" s="221" t="str">
        <f ca="1">IFERROR(__xludf.DUMMYFUNCTION("""COMPUTED_VALUE"""),"lnvasiliadis@gmail.com")</f>
        <v>lnvasiliadis@gmail.com</v>
      </c>
      <c r="C17" t="str">
        <f ca="1">IFERROR(__xludf.DUMMYFUNCTION("""COMPUTED_VALUE"""),"lesleym10@yahoo.com")</f>
        <v>lesleym10@yahoo.com</v>
      </c>
      <c r="E17" t="str">
        <f ca="1">IFERROR(__xludf.DUMMYFUNCTION("""COMPUTED_VALUE"""),"shbrdiving@gmail.com")</f>
        <v>shbrdiving@gmail.com</v>
      </c>
      <c r="F17" t="str">
        <f ca="1">IFERROR(__xludf.DUMMYFUNCTION("""COMPUTED_VALUE"""),"sailtricia@gmail.com")</f>
        <v>sailtricia@gmail.com</v>
      </c>
    </row>
    <row r="18" spans="1:11" ht="15.75" customHeight="1">
      <c r="A18" t="str">
        <f ca="1">IFERROR(__xludf.DUMMYFUNCTION("""COMPUTED_VALUE"""),"veronicacmiller2@gmail.com")</f>
        <v>veronicacmiller2@gmail.com</v>
      </c>
      <c r="B18" s="221" t="str">
        <f ca="1">IFERROR(__xludf.DUMMYFUNCTION("""COMPUTED_VALUE"""),"lorihbrown@gmail.com")</f>
        <v>lorihbrown@gmail.com</v>
      </c>
      <c r="C18" t="str">
        <f ca="1">IFERROR(__xludf.DUMMYFUNCTION("""COMPUTED_VALUE"""),"lgdivedolphins@gmail.com")</f>
        <v>lgdivedolphins@gmail.com</v>
      </c>
      <c r="E18" t="str">
        <f ca="1">IFERROR(__xludf.DUMMYFUNCTION("""COMPUTED_VALUE"""),"ssmitchell@earthlink.net")</f>
        <v>ssmitchell@earthlink.net</v>
      </c>
      <c r="F18" t="str">
        <f ca="1">IFERROR(__xludf.DUMMYFUNCTION("""COMPUTED_VALUE"""),"waterfieldfamily@verizon.net")</f>
        <v>waterfieldfamily@verizon.net</v>
      </c>
    </row>
    <row r="19" spans="1:11" ht="15.75" customHeight="1">
      <c r="A19" t="str">
        <f ca="1">IFERROR(__xludf.DUMMYFUNCTION("""COMPUTED_VALUE"""),"webberxctnf@gmail.com ")</f>
        <v xml:space="preserve">webberxctnf@gmail.com </v>
      </c>
      <c r="B19" s="221" t="str">
        <f ca="1">IFERROR(__xludf.DUMMYFUNCTION("""COMPUTED_VALUE"""),"mackenzieduffield@gmail.com")</f>
        <v>mackenzieduffield@gmail.com</v>
      </c>
      <c r="C19" t="str">
        <f ca="1">IFERROR(__xludf.DUMMYFUNCTION("""COMPUTED_VALUE"""),"tsmialowicz@gmail.com")</f>
        <v>tsmialowicz@gmail.com</v>
      </c>
      <c r="E19" t="str">
        <f ca="1">IFERROR(__xludf.DUMMYFUNCTION("""COMPUTED_VALUE"""),"susan.mitchell8894@gmail.com")</f>
        <v>susan.mitchell8894@gmail.com</v>
      </c>
    </row>
    <row r="20" spans="1:11" ht="15.75" customHeight="1">
      <c r="A20" t="str">
        <f ca="1">IFERROR(__xludf.DUMMYFUNCTION("""COMPUTED_VALUE"""),"Whitcobey@hotmail.com")</f>
        <v>Whitcobey@hotmail.com</v>
      </c>
      <c r="B20" s="221" t="str">
        <f ca="1">IFERROR(__xludf.DUMMYFUNCTION("""COMPUTED_VALUE"""),"Maliaa@aol.com")</f>
        <v>Maliaa@aol.com</v>
      </c>
      <c r="C20" t="str">
        <f ca="1">IFERROR(__xludf.DUMMYFUNCTION("""COMPUTED_VALUE"""),"vilheim@hotmail.com")</f>
        <v>vilheim@hotmail.com</v>
      </c>
      <c r="E20" t="str">
        <f ca="1">IFERROR(__xludf.DUMMYFUNCTION("""COMPUTED_VALUE"""),"vicky.palazzo@gmail.com")</f>
        <v>vicky.palazzo@gmail.com</v>
      </c>
    </row>
    <row r="21" spans="1:11" ht="15.75" customHeight="1">
      <c r="A21" t="str">
        <f ca="1">IFERROR(__xludf.DUMMYFUNCTION("""COMPUTED_VALUE"""),"Yogita.dhond@gmail.com")</f>
        <v>Yogita.dhond@gmail.com</v>
      </c>
      <c r="B21" s="221" t="str">
        <f ca="1">IFERROR(__xludf.DUMMYFUNCTION("""COMPUTED_VALUE"""),"marysstinnett@gmail.com")</f>
        <v>marysstinnett@gmail.com</v>
      </c>
    </row>
    <row r="22" spans="1:11" ht="15.75" customHeight="1">
      <c r="B22" s="221" t="str">
        <f ca="1">IFERROR(__xludf.DUMMYFUNCTION("""COMPUTED_VALUE"""),"mrodjom@yahoo.com")</f>
        <v>mrodjom@yahoo.com</v>
      </c>
    </row>
    <row r="23" spans="1:11" ht="15.75" customHeight="1">
      <c r="B23" s="221" t="str">
        <f ca="1">IFERROR(__xludf.DUMMYFUNCTION("""COMPUTED_VALUE"""),"ottersdivereps@gmail.com")</f>
        <v>ottersdivereps@gmail.com</v>
      </c>
    </row>
    <row r="24" spans="1:11" ht="15.75" customHeight="1">
      <c r="B24" s="221" t="str">
        <f ca="1">IFERROR(__xludf.DUMMYFUNCTION("""COMPUTED_VALUE"""),"susan.brown.estes@gmail.com")</f>
        <v>susan.brown.estes@gmail.com</v>
      </c>
    </row>
    <row r="25" spans="1:11" ht="15.75" customHeight="1">
      <c r="B25" s="221"/>
    </row>
    <row r="26" spans="1:11" ht="15.75" customHeight="1">
      <c r="B26" s="221"/>
    </row>
    <row r="27" spans="1:11" ht="15.75" customHeight="1">
      <c r="B27" s="221"/>
    </row>
    <row r="28" spans="1:11" ht="15.75" customHeight="1">
      <c r="B28" s="221"/>
    </row>
    <row r="29" spans="1:11" ht="15.75" customHeight="1">
      <c r="A29" s="1"/>
      <c r="B29" s="222"/>
    </row>
    <row r="30" spans="1:11" ht="15.75" customHeight="1">
      <c r="A30" s="1"/>
      <c r="B30" s="221"/>
    </row>
    <row r="31" spans="1:11" ht="15.75" customHeight="1">
      <c r="A31" s="223"/>
      <c r="B31" s="229"/>
      <c r="C31" s="226"/>
      <c r="D31" s="226"/>
      <c r="E31" s="226"/>
      <c r="F31" s="226"/>
      <c r="G31" s="226"/>
      <c r="H31" s="226"/>
      <c r="I31" s="226"/>
      <c r="J31" s="226"/>
      <c r="K31" s="226"/>
    </row>
    <row r="32" spans="1:11" ht="15.75" customHeight="1">
      <c r="A32" s="224"/>
    </row>
    <row r="36" spans="1:9" ht="13.2">
      <c r="A36" s="224"/>
      <c r="B36" s="229"/>
      <c r="C36" s="226"/>
      <c r="D36" s="226"/>
      <c r="E36" s="226"/>
      <c r="F36" s="226"/>
      <c r="G36" s="226"/>
      <c r="H36" s="226"/>
      <c r="I36" s="226"/>
    </row>
    <row r="37" spans="1:9" ht="13.2">
      <c r="A37" s="224"/>
      <c r="B37" s="229"/>
      <c r="C37" s="226"/>
      <c r="D37" s="226"/>
      <c r="E37" s="226"/>
      <c r="F37" s="226"/>
      <c r="G37" s="226"/>
      <c r="H37" s="226"/>
      <c r="I37" s="226"/>
    </row>
    <row r="38" spans="1:9" ht="13.2">
      <c r="A38" s="224"/>
      <c r="B38" s="229"/>
      <c r="C38" s="226"/>
      <c r="D38" s="226"/>
      <c r="E38" s="226"/>
      <c r="F38" s="226"/>
      <c r="G38" s="226"/>
      <c r="H38" s="226"/>
      <c r="I38" s="226"/>
    </row>
    <row r="39" spans="1:9" ht="13.2">
      <c r="A39" s="224"/>
      <c r="B39" s="226"/>
      <c r="C39" s="226"/>
      <c r="D39" s="226"/>
      <c r="E39" s="226"/>
      <c r="F39" s="226"/>
      <c r="G39" s="226"/>
      <c r="H39" s="226"/>
      <c r="I39" s="226"/>
    </row>
  </sheetData>
  <mergeCells count="6">
    <mergeCell ref="B39:I39"/>
    <mergeCell ref="A3:H3"/>
    <mergeCell ref="B31:K31"/>
    <mergeCell ref="B36:I36"/>
    <mergeCell ref="B37:I37"/>
    <mergeCell ref="B38:I38"/>
  </mergeCells>
  <conditionalFormatting sqref="A5:H30">
    <cfRule type="colorScale" priority="1">
      <colorScale>
        <cfvo type="min"/>
        <cfvo type="percentile" val="50"/>
        <cfvo type="max"/>
        <color rgb="FF57BB8A"/>
        <color rgb="FFFFD666"/>
        <color rgb="FFE67C73"/>
      </colorScale>
    </cfRule>
  </conditionalFormatting>
  <conditionalFormatting sqref="A1:H981">
    <cfRule type="expression" dxfId="0" priority="2">
      <formula>MATCH(A1,$J:$J,0)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AdminNotes</vt:lpstr>
      <vt:lpstr>D1-MeetResults</vt:lpstr>
      <vt:lpstr>D2-MeetResults</vt:lpstr>
      <vt:lpstr>D3-MeetResults</vt:lpstr>
      <vt:lpstr>D4-MeetResults</vt:lpstr>
      <vt:lpstr>D5-MeetResults</vt:lpstr>
      <vt:lpstr>D6-MeetResults</vt:lpstr>
      <vt:lpstr>D7-MeetResults</vt:lpstr>
      <vt:lpstr>D8-MeetResults</vt:lpstr>
      <vt:lpstr>AdminDashboard</vt:lpstr>
      <vt:lpstr>Lookup-TOC</vt:lpstr>
      <vt:lpstr>Lookup-DiverRoster</vt:lpstr>
      <vt:lpstr>Prep-Div-Emails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2021-11-14T20:01:44Z</dcterms:created>
  <dcterms:modified xsi:type="dcterms:W3CDTF">2021-11-14T20:02:17Z</dcterms:modified>
</cp:coreProperties>
</file>